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03013376-E703-46FD-BC1A-599779548536}" xr6:coauthVersionLast="47" xr6:coauthVersionMax="47" xr10:uidLastSave="{00000000-0000-0000-0000-000000000000}"/>
  <bookViews>
    <workbookView xWindow="2868" yWindow="2868" windowWidth="16589" windowHeight="9539" firstSheet="2" activeTab="2"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80" l="1"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35" i="69" l="1"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B139"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P175" i="69" l="1"/>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<sst xmlns="http://schemas.openxmlformats.org/spreadsheetml/2006/main" count="4089" uniqueCount="182">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</sst>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0" fontId="75" fillId="0" borderId="55" xfId="0" applyFont="1" applyBorder="1" applyAlignment="1">
      <alignment horizontal="right" vertical="center" wrapText="1"/>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faxPQuLKkfM3u0Vpr+vVG6ohiTS9Az1WpE2ASu9evzumJv5+i+bvzTZwWm/TMuDI0DgS9I7wFHjKJR3x9vLQ==" saltValue="k73n8lTYWl9V3IApU26h6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179</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7oaREyYfs6CjXqEWw6eIjL00MAxnF52PG+lwUWGGjduHuBBT3EDuypqyTwzCamNI2aeTkUM/g5JpdHcEtrI4nQ==" saltValue="BTpUMeq2M8NZ1sE3sRgim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180</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BAr1x1WvljByqxIh3/At5x6Psc3RfdgcqJjx7QUpsRi7iXjg4d54qeAhe9HlWcXXcbMqi2vCV1Xq9xKQD3plA==" saltValue="Gl6LDu9zIhhqtl+mkMr8Z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181</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0.95" hidden="1" outlineLevel="1">
      <c r="A59" s="214"/>
      <c r="B59" s="214"/>
      <c r="C59" s="214"/>
      <c r="D59" s="215"/>
      <c r="E59" s="215"/>
      <c r="F59" s="215"/>
      <c r="G59" s="215"/>
      <c r="H59" s="215"/>
      <c r="I59" s="215"/>
      <c r="J59" s="215"/>
      <c r="K59" s="214"/>
      <c r="L59" s="378">
        <f>H54+J54</f>
        <v>0</v>
      </c>
      <c r="M59" s="379"/>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qbs41E2Nkobukan2Nn5zLmU7+rYFp1eZDITnC0Xx2QTAP33a7oHdbRabtPqqC+nCOUGSY9e6sm/PCI9ROjdjg==" saltValue="rp+jdKuQtEBGlJ9gfGBmp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167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18</v>
      </c>
      <c r="C10" s="473" t="str">
        <f>"←稼働"&amp;F54&amp;"日
 + "&amp;"休暇"&amp;E54&amp;"日"</f>
        <v>←稼働18日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8DCuqASZOmOCQRj/cw6ofW9vwAx9cLIReLE204mny/KdlTPfFT0x39Q2TYIyKPLXo8WE5Ye1kifXSCwEgihyw==" saltValue="HlCD//fEcoFLJwOqQwL6t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8:M58"/>
    <mergeCell ref="A46:I46"/>
    <mergeCell ref="J46:Q46"/>
    <mergeCell ref="D47:E47"/>
    <mergeCell ref="J47:Q47"/>
    <mergeCell ref="B48:C48"/>
    <mergeCell ref="D48:E48"/>
    <mergeCell ref="G48:J48"/>
    <mergeCell ref="L48:P48"/>
    <mergeCell ref="J13:Q19"/>
    <mergeCell ref="J20:Q27"/>
    <mergeCell ref="J28:Q35"/>
    <mergeCell ref="J36:Q43"/>
    <mergeCell ref="A50:Q51"/>
    <mergeCell ref="L53:M53"/>
    <mergeCell ref="L54:M54"/>
    <mergeCell ref="L56:M56"/>
    <mergeCell ref="L57:M5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tabSelected="1"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172</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g/yUZUcS0uHO377FRDUzBb3DkyMGHQODXBTTka7nEaraA8QU3vGfUi5lWkChngVZ4uDo95elcliy3Is8ebVSw==" saltValue="i5V5J5E23NS0kIzHWmAff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173</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22</v>
      </c>
      <c r="C10" s="473" t="str">
        <f>"←稼働"&amp;F54&amp;"日
 + "&amp;"休暇"&amp;E54&amp;"日"</f>
        <v>←稼働22日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apE0tfk6ae5lRVsxAfKTuF/7xIhUIYf0ycvrAog+KfsRTqaTrKLnGwCfmiq0EfpGWte1/zqCkUnpGYVzvFDkQ==" saltValue="cShKSfbi2ZvkS2eg6UlW6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174</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20</v>
      </c>
      <c r="C10" s="473" t="str">
        <f>"←稼働"&amp;F54&amp;"日
 + "&amp;"休暇"&amp;E54&amp;"日"</f>
        <v>←稼働20日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kN24NnJ3kj5QKKsJaRC8/U+dZ6xfGUgn7cfvf6LED8NpqMjJyhw0+ZYgOd+MYG3BU1XeqiZRKidgYwOkb4IcQ==" saltValue="L8umhqBfR+Qy5lsYmaNV3Q=="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175</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YjrXbxdcLV72OMuRaYg911GkRYGQSU7jzu9w2fyfkQn2w8hEf2DxIuat3XLL7Pyj1TBGyWbkhc1kwOf3j4LQg==" saltValue="We1WhYbxMBp4HqBYvSE3gg=="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176</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21</v>
      </c>
      <c r="C10" s="473" t="str">
        <f>"←稼働"&amp;F54&amp;"日
 + "&amp;"休暇"&amp;E54&amp;"日"</f>
        <v>←稼働21日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hg2MFlauy9q/iRQ1pGfi93soptkk2guwFFp37xKeWjw8nYZu710PYAhdKhWltvJKPSZuqz20JI0erRwz0caZYA==" saltValue="sO0NCMiYa2EpqrV3JonXaA=="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177</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19</v>
      </c>
      <c r="C10" s="473" t="str">
        <f>"←稼働"&amp;F54&amp;"日
 + "&amp;"休暇"&amp;E54&amp;"日"</f>
        <v>←稼働19日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ys5GteLB7+TNQEzEOXKD9S9BrL3jbUpzEz+POjEJeTaNW7mFcMAv3Ntmnmm+Qz8iQEQI3YLiDRghskHOVobiQ==" saltValue="eWuQpgR4qFZ6ww82L5Fc/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451" t="s">
        <v>178</v>
      </c>
      <c r="B1" s="452"/>
      <c r="C1" s="452"/>
      <c r="D1" s="452"/>
      <c r="E1" s="452"/>
      <c r="F1" s="461" t="s">
        <v>105</v>
      </c>
      <c r="G1" s="462"/>
      <c r="H1" s="462"/>
      <c r="I1" s="463" t="str">
        <f>IF(AI1="エラーなし","-","コメント(S列)をご確認ください。")</f>
        <v>コメント(S列)をご確認ください。</v>
      </c>
      <c r="J1" s="464"/>
      <c r="K1" s="464"/>
      <c r="L1" s="464"/>
      <c r="M1" s="464"/>
      <c r="N1" s="29" t="str">
        <f>IF($F$1="委託業務従事日誌","契約管理番号：","事業番号：")</f>
        <v>契約管理番号：</v>
      </c>
      <c r="O1" s="465" t="s">
        <v>152</v>
      </c>
      <c r="P1" s="466"/>
      <c r="Q1" s="10" t="str">
        <f>IF($F$1="委託業務従事日誌","別紙８","")</f>
        <v>別紙８</v>
      </c>
      <c r="R1" s="467" t="s">
        <v>46</v>
      </c>
      <c r="S1" s="326" t="s">
        <v>89</v>
      </c>
      <c r="T1" s="94"/>
      <c r="U1" s="71"/>
      <c r="V1" s="71"/>
      <c r="W1" s="71"/>
      <c r="X1" s="71"/>
      <c r="Y1" s="441" t="s">
        <v>72</v>
      </c>
      <c r="Z1" s="441" t="s">
        <v>73</v>
      </c>
      <c r="AA1" s="441" t="s">
        <v>74</v>
      </c>
      <c r="AB1" s="441" t="s">
        <v>75</v>
      </c>
      <c r="AC1" s="441" t="s">
        <v>78</v>
      </c>
      <c r="AD1" s="441" t="s">
        <v>76</v>
      </c>
      <c r="AE1" s="441" t="s">
        <v>77</v>
      </c>
      <c r="AF1" s="441" t="s">
        <v>121</v>
      </c>
      <c r="AG1" s="4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43" t="s">
        <v>162</v>
      </c>
      <c r="B2" s="444"/>
      <c r="C2" s="444"/>
      <c r="D2" s="444"/>
      <c r="E2" s="444"/>
      <c r="F2" s="444"/>
      <c r="G2" s="444"/>
      <c r="H2" s="91"/>
      <c r="I2" s="92"/>
      <c r="J2" s="92"/>
      <c r="K2" s="92"/>
      <c r="L2" s="92"/>
      <c r="M2" s="92"/>
      <c r="N2" s="92"/>
      <c r="O2" s="92"/>
      <c r="P2" s="92" t="s">
        <v>161</v>
      </c>
      <c r="Q2" s="70"/>
      <c r="R2" s="468"/>
      <c r="S2" s="327" t="str" cm="1">
        <f t="array" ref="S2">IF(AND(AI2="○",AI3="○"),"○",_xlfn.IFS(AI2="○","",AI2="✕","✕　"&amp;AJ2&amp;"　　")&amp;_xlfn.IFS(AI3="○","",AI3="✕","✕　"&amp;AJ3))</f>
        <v>○</v>
      </c>
      <c r="T2" s="71"/>
      <c r="W2" s="71"/>
      <c r="X2" s="71"/>
      <c r="Y2" s="441"/>
      <c r="Z2" s="441"/>
      <c r="AA2" s="441"/>
      <c r="AB2" s="441"/>
      <c r="AC2" s="441"/>
      <c r="AD2" s="441"/>
      <c r="AE2" s="441"/>
      <c r="AF2" s="441"/>
      <c r="AG2" s="442"/>
      <c r="AH2" s="166" t="s">
        <v>29</v>
      </c>
      <c r="AI2" s="167" t="str">
        <f>IF(A1="","✕","○")</f>
        <v>○</v>
      </c>
      <c r="AJ2" s="69" t="s">
        <v>39</v>
      </c>
    </row>
    <row r="3" spans="1:108" ht="17.149999999999999" customHeight="1" thickBot="1">
      <c r="A3" s="445" t="str">
        <f>IF($F$1="委託業務従事日誌","委託業務の名称：","補助事業の名称：")</f>
        <v>委託業務の名称：</v>
      </c>
      <c r="B3" s="446"/>
      <c r="C3" s="446"/>
      <c r="D3" s="446"/>
      <c r="E3" s="447" t="s">
        <v>125</v>
      </c>
      <c r="F3" s="448"/>
      <c r="G3" s="448"/>
      <c r="H3" s="448"/>
      <c r="I3" s="448"/>
      <c r="J3" s="448"/>
      <c r="K3" s="448"/>
      <c r="L3" s="448"/>
      <c r="M3" s="448"/>
      <c r="N3" s="448"/>
      <c r="O3" s="448"/>
      <c r="P3" s="448"/>
      <c r="Q3" s="88"/>
      <c r="R3" s="468"/>
      <c r="S3" s="327" t="str" cm="1">
        <f t="array" ref="S3">IF(AND(AI4="○",AI5="○"),"○",_xlfn.IFS(AI4="○","",AI4="✕","✕　"&amp;AJ4&amp;"　　")&amp;_xlfn.IFS(AI5="○","",AI5="✕","✕　"&amp;AJ5))</f>
        <v>✕　“他のNEDO事業有無”が未選択。　　✕　“他の公的事業有無”が未選択。</v>
      </c>
      <c r="T3" s="71"/>
      <c r="W3" s="71"/>
      <c r="X3" s="71"/>
      <c r="Y3" s="441"/>
      <c r="Z3" s="441"/>
      <c r="AA3" s="441"/>
      <c r="AB3" s="441"/>
      <c r="AC3" s="441"/>
      <c r="AD3" s="441"/>
      <c r="AE3" s="441"/>
      <c r="AF3" s="441"/>
      <c r="AG3" s="442"/>
      <c r="AH3" s="168" t="s">
        <v>28</v>
      </c>
      <c r="AI3" s="169" t="str">
        <f>IF(O1="","✕","○")</f>
        <v>○</v>
      </c>
      <c r="AJ3" s="69" t="s">
        <v>34</v>
      </c>
      <c r="AO3" s="155" t="s">
        <v>109</v>
      </c>
      <c r="AP3" s="157" t="s">
        <v>108</v>
      </c>
      <c r="AQ3" s="3"/>
      <c r="AR3" s="3"/>
      <c r="AS3" s="3"/>
    </row>
    <row r="4" spans="1:108" ht="17.149999999999999" customHeight="1" thickBot="1">
      <c r="A4" s="449"/>
      <c r="B4" s="450"/>
      <c r="C4" s="450"/>
      <c r="D4" s="450"/>
      <c r="E4" s="447" t="s">
        <v>124</v>
      </c>
      <c r="F4" s="448"/>
      <c r="G4" s="448"/>
      <c r="H4" s="448"/>
      <c r="I4" s="448"/>
      <c r="J4" s="448"/>
      <c r="K4" s="448"/>
      <c r="L4" s="448"/>
      <c r="M4" s="448"/>
      <c r="N4" s="448"/>
      <c r="O4" s="448"/>
      <c r="P4" s="448"/>
      <c r="Q4" s="88"/>
      <c r="S4" s="327" t="str">
        <f>IF(COUNTA(E3:P5)&gt;=1,"○","✕ "&amp;AJ6)</f>
        <v>○</v>
      </c>
      <c r="T4" s="71"/>
      <c r="W4" s="71"/>
      <c r="X4" s="71"/>
      <c r="Y4" s="441"/>
      <c r="Z4" s="441"/>
      <c r="AA4" s="441"/>
      <c r="AB4" s="441"/>
      <c r="AC4" s="441"/>
      <c r="AD4" s="441"/>
      <c r="AE4" s="441"/>
      <c r="AF4" s="441"/>
      <c r="AG4" s="442"/>
      <c r="AH4" s="168" t="s">
        <v>27</v>
      </c>
      <c r="AI4" s="169" t="str" cm="1">
        <f t="array" ref="AI4">_xlfn.IFS(H2="あり","○",H2="なし","○",TRUE,"✕")</f>
        <v>✕</v>
      </c>
      <c r="AJ4" s="69" t="s">
        <v>35</v>
      </c>
      <c r="AO4" s="156">
        <f>I9</f>
        <v>0</v>
      </c>
      <c r="AP4" s="158" t="e">
        <f>VLOOKUP($AO$4,$AO$11:$AS$19,2,)</f>
        <v>#N/A</v>
      </c>
      <c r="AQ4" s="3"/>
      <c r="AR4" s="3"/>
      <c r="AS4" s="3"/>
    </row>
    <row r="5" spans="1:108" ht="17.149999999999999" customHeight="1">
      <c r="A5" s="449"/>
      <c r="B5" s="450"/>
      <c r="C5" s="450"/>
      <c r="D5" s="450"/>
      <c r="E5" s="447" t="s">
        <v>153</v>
      </c>
      <c r="F5" s="448"/>
      <c r="G5" s="448"/>
      <c r="H5" s="448"/>
      <c r="I5" s="448"/>
      <c r="J5" s="448"/>
      <c r="K5" s="448"/>
      <c r="L5" s="448"/>
      <c r="M5" s="448"/>
      <c r="N5" s="448"/>
      <c r="O5" s="448"/>
      <c r="P5" s="448"/>
      <c r="Q5" s="88"/>
      <c r="R5" s="73"/>
      <c r="S5" s="327"/>
      <c r="T5" s="71"/>
      <c r="U5" s="24"/>
      <c r="V5" s="24"/>
      <c r="W5" s="71"/>
      <c r="X5" s="71"/>
      <c r="Y5" s="441"/>
      <c r="Z5" s="441"/>
      <c r="AA5" s="441"/>
      <c r="AB5" s="441"/>
      <c r="AC5" s="441"/>
      <c r="AD5" s="441"/>
      <c r="AE5" s="441"/>
      <c r="AF5" s="441"/>
      <c r="AG5" s="442"/>
      <c r="AH5" s="168" t="s">
        <v>26</v>
      </c>
      <c r="AI5" s="169" t="str" cm="1">
        <f t="array" ref="AI5">_xlfn.IFS(Q2="あり","○",Q2="なし","○",TRUE,"✕")</f>
        <v>✕</v>
      </c>
      <c r="AJ5" s="69" t="s">
        <v>90</v>
      </c>
      <c r="AO5" s="145"/>
      <c r="AP5" s="159" t="e">
        <f>VLOOKUP($AO$4,$AO$11:$AS$19,3,)</f>
        <v>#N/A</v>
      </c>
      <c r="AQ5" s="3"/>
      <c r="AR5" s="3"/>
      <c r="AS5" s="3"/>
    </row>
    <row r="6" spans="1:108" ht="17.149999999999999" customHeight="1">
      <c r="A6" s="445" t="str">
        <f>IF($F$1="委託業務従事日誌","再委託等項目：","委託・共同研究項目：")</f>
        <v>再委託等項目：</v>
      </c>
      <c r="B6" s="446"/>
      <c r="C6" s="446"/>
      <c r="D6" s="446"/>
      <c r="E6" s="447" t="s">
        <v>12</v>
      </c>
      <c r="F6" s="448"/>
      <c r="G6" s="448"/>
      <c r="H6" s="448"/>
      <c r="I6" s="448"/>
      <c r="J6" s="448"/>
      <c r="K6" s="448"/>
      <c r="L6" s="448"/>
      <c r="M6" s="448"/>
      <c r="N6" s="448"/>
      <c r="O6" s="448"/>
      <c r="P6" s="448"/>
      <c r="Q6" s="88"/>
      <c r="S6" s="327"/>
      <c r="T6" s="71"/>
      <c r="W6" s="71"/>
      <c r="X6" s="71"/>
      <c r="Y6" s="441"/>
      <c r="Z6" s="441"/>
      <c r="AA6" s="441"/>
      <c r="AB6" s="441"/>
      <c r="AC6" s="441"/>
      <c r="AD6" s="441"/>
      <c r="AE6" s="441"/>
      <c r="AF6" s="441"/>
      <c r="AG6" s="442"/>
      <c r="AH6" s="168" t="s">
        <v>25</v>
      </c>
      <c r="AI6" s="169" t="str">
        <f>IF(COUNTA(E3:P5)&gt;=1,"○","✕")</f>
        <v>○</v>
      </c>
      <c r="AJ6" s="69" t="s">
        <v>36</v>
      </c>
      <c r="AO6" s="145"/>
      <c r="AP6" s="159" t="e">
        <f>VLOOKUP($AO$4,$AO$11:$AS$19,4,)</f>
        <v>#N/A</v>
      </c>
      <c r="AQ6" s="3"/>
      <c r="AR6" s="3"/>
      <c r="AS6" s="3"/>
    </row>
    <row r="7" spans="1:108" ht="17.149999999999999" customHeight="1" thickBot="1">
      <c r="A7" s="87"/>
      <c r="B7" s="93"/>
      <c r="C7" s="446" t="str">
        <f>IF($F$1="委託業務従事日誌","委託先等名称：","補助先等名称：")</f>
        <v>委託先等名称：</v>
      </c>
      <c r="D7" s="454"/>
      <c r="E7" s="447" t="s">
        <v>122</v>
      </c>
      <c r="F7" s="448"/>
      <c r="G7" s="448"/>
      <c r="H7" s="448"/>
      <c r="I7" s="448"/>
      <c r="J7" s="448"/>
      <c r="K7" s="448"/>
      <c r="L7" s="448"/>
      <c r="M7" s="448"/>
      <c r="N7" s="448"/>
      <c r="O7" s="448"/>
      <c r="P7" s="448"/>
      <c r="Q7" s="88"/>
      <c r="R7" s="72" t="s">
        <v>45</v>
      </c>
      <c r="S7" s="327" t="str" cm="1">
        <f t="array" ref="S7">IF(COUNTA(E7)&gt;=1,_xlfn.IFS(E7=" ","✕"&amp;AJ7,E7="　","✕"&amp;AJ7,TRUE,"○"),"✕"&amp;AJ7)</f>
        <v>○</v>
      </c>
      <c r="T7" s="71"/>
      <c r="U7" s="25"/>
      <c r="V7" s="25"/>
      <c r="W7" s="71"/>
      <c r="X7" s="71"/>
      <c r="Y7" s="441"/>
      <c r="Z7" s="441"/>
      <c r="AA7" s="441"/>
      <c r="AB7" s="441"/>
      <c r="AC7" s="441"/>
      <c r="AD7" s="441"/>
      <c r="AE7" s="441"/>
      <c r="AF7" s="441"/>
      <c r="AG7" s="442"/>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53" t="s">
        <v>70</v>
      </c>
      <c r="D8" s="454"/>
      <c r="E8" s="429" t="s">
        <v>160</v>
      </c>
      <c r="F8" s="430"/>
      <c r="G8" s="430"/>
      <c r="H8" s="430"/>
      <c r="I8" s="431"/>
      <c r="J8" s="431"/>
      <c r="K8" s="45"/>
      <c r="L8" s="45"/>
      <c r="M8" s="45" t="str">
        <f>IF($F$1="委託業務従事日誌","業務管理者等","主任研究者等")&amp;"　所属："</f>
        <v>業務管理者等　所属：</v>
      </c>
      <c r="N8" s="429" t="s">
        <v>126</v>
      </c>
      <c r="O8" s="430"/>
      <c r="P8" s="430"/>
      <c r="Q8" s="89"/>
      <c r="R8" s="72" t="s">
        <v>45</v>
      </c>
      <c r="S8" s="327" t="str" cm="1">
        <f t="array" ref="S8">_xlfn.IFS(AND(COUNTA(E8)&gt;=1,COUNTA(N8)&gt;=1,COUNTA(I8)&gt;=1),"○",TRUE,IF(COUNTA(E8)&gt;=1,"","✕ "&amp;AJ8&amp;" ")&amp;IF(COUNTA(N8)&gt;=1,"","✕ "&amp;AJ10)&amp;IF(COUNTA(I8)&gt;=1,"","✕ "&amp;AJ23))</f>
        <v>✕ “雇用形態”が未入力。</v>
      </c>
      <c r="T8" s="71"/>
      <c r="W8" s="71"/>
      <c r="X8" s="71"/>
      <c r="Y8" s="441"/>
      <c r="Z8" s="441"/>
      <c r="AA8" s="441"/>
      <c r="AB8" s="441"/>
      <c r="AC8" s="441"/>
      <c r="AD8" s="441"/>
      <c r="AE8" s="441"/>
      <c r="AF8" s="441"/>
      <c r="AG8" s="442"/>
      <c r="AH8" s="170" t="s">
        <v>92</v>
      </c>
      <c r="AI8" s="169" t="str">
        <f>IF(COUNTA(E8)&gt;=1,"○","✕")</f>
        <v>○</v>
      </c>
      <c r="AJ8" s="69" t="s">
        <v>91</v>
      </c>
      <c r="AO8" s="145"/>
      <c r="AP8" s="176"/>
      <c r="AQ8" s="3"/>
      <c r="AR8" s="3"/>
      <c r="AS8" s="3"/>
    </row>
    <row r="9" spans="1:108" ht="21.05" customHeight="1">
      <c r="A9" s="469" t="s">
        <v>102</v>
      </c>
      <c r="B9" s="143"/>
      <c r="C9" s="96"/>
      <c r="D9" s="95" t="s">
        <v>3</v>
      </c>
      <c r="E9" s="429" t="s">
        <v>156</v>
      </c>
      <c r="F9" s="429"/>
      <c r="G9" s="429"/>
      <c r="H9" s="429"/>
      <c r="I9" s="471"/>
      <c r="J9" s="472"/>
      <c r="K9" s="44"/>
      <c r="L9" s="44"/>
      <c r="M9" s="309" t="s">
        <v>6</v>
      </c>
      <c r="N9" s="429" t="s">
        <v>123</v>
      </c>
      <c r="O9" s="430"/>
      <c r="P9" s="430"/>
      <c r="Q9" s="89"/>
      <c r="R9" s="72" t="s">
        <v>45</v>
      </c>
      <c r="S9" s="327" t="str" cm="1">
        <f t="array" ref="S9">_xlfn.IFS(AND(COUNTA(E9)&gt;=1,COUNTA(N9)&gt;=1,COUNTA(I9)&gt;=1),"○",TRUE,IF(COUNTA(E9)&gt;=1,"","✕ "&amp;AJ9&amp;" ")&amp;IF(COUNTA(N9)&gt;=1,"","✕ "&amp;AJ11)&amp;IF(COUNTA(I9)&gt;=1,"","✕ "&amp;AJ22))</f>
        <v>✕ “勤務体系”が未入力。</v>
      </c>
      <c r="T9" s="71"/>
      <c r="W9" s="71"/>
      <c r="X9" s="71"/>
      <c r="Y9" s="441"/>
      <c r="Z9" s="441"/>
      <c r="AA9" s="441"/>
      <c r="AB9" s="441"/>
      <c r="AC9" s="441"/>
      <c r="AD9" s="441"/>
      <c r="AE9" s="441"/>
      <c r="AF9" s="441"/>
      <c r="AG9" s="442"/>
      <c r="AH9" s="168" t="s">
        <v>94</v>
      </c>
      <c r="AI9" s="169" t="str">
        <f>IF(COUNTA(E9)&gt;=1,"○","✕")</f>
        <v>○</v>
      </c>
      <c r="AJ9" s="69" t="s">
        <v>93</v>
      </c>
      <c r="AO9" s="145"/>
      <c r="AP9" s="144"/>
      <c r="AQ9" s="3"/>
      <c r="AR9" s="3"/>
      <c r="AS9" s="3"/>
    </row>
    <row r="10" spans="1:108" ht="29.95" customHeight="1" thickBot="1">
      <c r="A10" s="470"/>
      <c r="B10" s="61">
        <f>COUNTIF($B$13:$B$43,"月")+COUNTIF($B$13:$B$43,"火")+COUNTIF($B$13:$B$43,"水")+COUNTIF($B$13:$B$43,"木")+COUNTIF($B$13:$B$43,"金")+COUNTIF($B$13:$B$43,"土")+COUNTIF($B$13:$B$43,"日")-COUNTIF($C$13:$C$43,"休日")-COUNTIF($C$13:$C$43,"休日出勤")-COUNTIF($C$13:$C$43,"振休")-COUNTIF($C$13:$C$43,"代休")</f>
        <v>23</v>
      </c>
      <c r="C10" s="473" t="str">
        <f>"←稼働"&amp;F54&amp;"日
 + "&amp;"休暇"&amp;E54&amp;"日"</f>
        <v>←稼働23日
 + 休暇0日</v>
      </c>
      <c r="D10" s="474"/>
      <c r="E10" s="475" t="str">
        <f>IF(OR(I9="管理職/高プロ",I9="固定残業代有",I9="(大学・国研等)管理職/高プロ"),"所定労働時間                                                                                                                                                                                              (hh:mm/日)","")</f>
        <v/>
      </c>
      <c r="F10" s="476"/>
      <c r="G10" s="311"/>
      <c r="H10" s="426" t="str" cm="1">
        <f t="array" ref="H10">_xlfn.IFS(OR(N54="管理職",N54="裁量労働制",N54="固定残業制"),"半休・時間休　(hh:mm/月)",OR(N54="(大学・国研等)裁量労働制"),"給与支給上の休日労働時間(hh:mm/月)",TRUE,"")</f>
        <v/>
      </c>
      <c r="I10" s="426"/>
      <c r="J10" s="308"/>
      <c r="K10" s="426" t="str" cm="1">
        <f t="array" ref="K10">_xlfn.IFS(OR(N54="裁量労働制",N54="(大学・国研等)裁量労働制"),"労基提出した協定上
の みなし時間(hh:mm/日)",N54="固定残業制","雇用契約に記載の
固定残業時間(hh:mm/月)",TRUE,"")</f>
        <v/>
      </c>
      <c r="L10" s="426"/>
      <c r="M10" s="426"/>
      <c r="N10" s="308"/>
      <c r="O10" s="427" t="str" cm="1">
        <f t="array" ref="O10">_xlfn.IFS(AND(OR(H2="あり",Q2="あり"),I9&lt;&gt;"通常勤務"),"他の公的事業
従事(hh:mm/月)",AND(H2="なし",Q2="なし"),"",TRUE,"")</f>
        <v/>
      </c>
      <c r="P10" s="42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41"/>
      <c r="Z10" s="441"/>
      <c r="AA10" s="441"/>
      <c r="AB10" s="441"/>
      <c r="AC10" s="441"/>
      <c r="AD10" s="441"/>
      <c r="AE10" s="441"/>
      <c r="AF10" s="441"/>
      <c r="AG10" s="442"/>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55" t="s">
        <v>0</v>
      </c>
      <c r="B11" s="457" t="s">
        <v>1</v>
      </c>
      <c r="C11" s="459" t="s">
        <v>87</v>
      </c>
      <c r="D11" s="432" t="s">
        <v>169</v>
      </c>
      <c r="E11" s="433"/>
      <c r="F11" s="433"/>
      <c r="G11" s="434"/>
      <c r="H11" s="435" t="s">
        <v>7</v>
      </c>
      <c r="I11" s="435" t="s">
        <v>8</v>
      </c>
      <c r="J11" s="437" t="s">
        <v>86</v>
      </c>
      <c r="K11" s="437"/>
      <c r="L11" s="437"/>
      <c r="M11" s="437"/>
      <c r="N11" s="437"/>
      <c r="O11" s="437"/>
      <c r="P11" s="437"/>
      <c r="Q11" s="438"/>
      <c r="R11" s="72"/>
      <c r="S11" s="328"/>
      <c r="T11" s="71"/>
      <c r="W11" s="71"/>
      <c r="X11" s="71"/>
      <c r="Y11" s="441"/>
      <c r="Z11" s="441"/>
      <c r="AA11" s="441"/>
      <c r="AB11" s="441"/>
      <c r="AC11" s="441"/>
      <c r="AD11" s="441"/>
      <c r="AE11" s="441"/>
      <c r="AF11" s="441"/>
      <c r="AG11" s="442"/>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56"/>
      <c r="B12" s="458"/>
      <c r="C12" s="460"/>
      <c r="D12" s="41" t="s">
        <v>4</v>
      </c>
      <c r="E12" s="4" t="s">
        <v>5</v>
      </c>
      <c r="F12" s="5" t="s">
        <v>4</v>
      </c>
      <c r="G12" s="4" t="s">
        <v>5</v>
      </c>
      <c r="H12" s="436"/>
      <c r="I12" s="436"/>
      <c r="J12" s="439"/>
      <c r="K12" s="439"/>
      <c r="L12" s="439"/>
      <c r="M12" s="439"/>
      <c r="N12" s="439"/>
      <c r="O12" s="439"/>
      <c r="P12" s="439"/>
      <c r="Q12" s="440"/>
      <c r="R12" s="72"/>
      <c r="S12" s="328" t="str">
        <f>IF(TEXT(ABS((E23-D23)+(G23-F23)-H23),IF((E23-D23)+(G23-F23)&lt;H23,"-[h]:mm","[h]:mm"))&lt;"0:00"*1,"✕","○")</f>
        <v>○</v>
      </c>
      <c r="T12" s="71"/>
      <c r="W12" s="71"/>
      <c r="X12" s="71"/>
      <c r="Y12" s="441"/>
      <c r="Z12" s="441"/>
      <c r="AA12" s="441"/>
      <c r="AB12" s="441"/>
      <c r="AC12" s="441"/>
      <c r="AD12" s="441"/>
      <c r="AE12" s="441"/>
      <c r="AF12" s="441"/>
      <c r="AG12" s="442"/>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17"/>
      <c r="K13" s="418"/>
      <c r="L13" s="418"/>
      <c r="M13" s="418"/>
      <c r="N13" s="418"/>
      <c r="O13" s="418"/>
      <c r="P13" s="418"/>
      <c r="Q13" s="41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20"/>
      <c r="K14" s="421"/>
      <c r="L14" s="421"/>
      <c r="M14" s="421"/>
      <c r="N14" s="421"/>
      <c r="O14" s="421"/>
      <c r="P14" s="421"/>
      <c r="Q14" s="42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20"/>
      <c r="K15" s="421"/>
      <c r="L15" s="421"/>
      <c r="M15" s="421"/>
      <c r="N15" s="421"/>
      <c r="O15" s="421"/>
      <c r="P15" s="421"/>
      <c r="Q15" s="42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20"/>
      <c r="K16" s="421"/>
      <c r="L16" s="421"/>
      <c r="M16" s="421"/>
      <c r="N16" s="421"/>
      <c r="O16" s="421"/>
      <c r="P16" s="421"/>
      <c r="Q16" s="42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159</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20"/>
      <c r="K17" s="421"/>
      <c r="L17" s="421"/>
      <c r="M17" s="421"/>
      <c r="N17" s="421"/>
      <c r="O17" s="421"/>
      <c r="P17" s="421"/>
      <c r="Q17" s="42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20"/>
      <c r="K18" s="421"/>
      <c r="L18" s="421"/>
      <c r="M18" s="421"/>
      <c r="N18" s="421"/>
      <c r="O18" s="421"/>
      <c r="P18" s="421"/>
      <c r="Q18" s="42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23"/>
      <c r="K19" s="424"/>
      <c r="L19" s="424"/>
      <c r="M19" s="424"/>
      <c r="N19" s="424"/>
      <c r="O19" s="424"/>
      <c r="P19" s="424"/>
      <c r="Q19" s="42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05"/>
      <c r="K20" s="406"/>
      <c r="L20" s="406"/>
      <c r="M20" s="406"/>
      <c r="N20" s="406"/>
      <c r="O20" s="406"/>
      <c r="P20" s="406"/>
      <c r="Q20" s="40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08"/>
      <c r="K21" s="409"/>
      <c r="L21" s="409"/>
      <c r="M21" s="409"/>
      <c r="N21" s="409"/>
      <c r="O21" s="409"/>
      <c r="P21" s="409"/>
      <c r="Q21" s="410"/>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155</v>
      </c>
      <c r="AI21" s="169" t="str" cm="1">
        <f t="array" ref="AI21">_xlfn.IFS(AND(OR(I9="管理職/高プロ",I9="裁量",$I$9="固定残業代有"),AND(ISNUMBER(J10),J10&lt;=100)),"○",AND(I9="(大学・国研等)裁量",AND(ISNUMBER(J10),J10&lt;=100)),"○",I9="通常勤務","○",I9="出向","○",I9="(大学・国研等)管理職/高プロ","○",I9="その他","○",TRUE,"✕")</f>
        <v>✕</v>
      </c>
      <c r="AJ21" s="69" t="s">
        <v>154</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08"/>
      <c r="K22" s="409"/>
      <c r="L22" s="409"/>
      <c r="M22" s="409"/>
      <c r="N22" s="409"/>
      <c r="O22" s="409"/>
      <c r="P22" s="409"/>
      <c r="Q22" s="410"/>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157</v>
      </c>
      <c r="AI22" s="169" t="str">
        <f>IF(COUNTA(I9)&gt;=1,"○","✕")</f>
        <v>✕</v>
      </c>
      <c r="AJ22" s="69" t="s">
        <v>158</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08"/>
      <c r="K23" s="409"/>
      <c r="L23" s="409"/>
      <c r="M23" s="409"/>
      <c r="N23" s="409"/>
      <c r="O23" s="409"/>
      <c r="P23" s="409"/>
      <c r="Q23" s="410"/>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163</v>
      </c>
      <c r="AI23" s="171" t="str">
        <f>IF(COUNTA(I8)&gt;=1,"○","✕")</f>
        <v>✕</v>
      </c>
      <c r="AJ23" s="69" t="s">
        <v>164</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8"/>
      <c r="K24" s="409"/>
      <c r="L24" s="409"/>
      <c r="M24" s="409"/>
      <c r="N24" s="409"/>
      <c r="O24" s="409"/>
      <c r="P24" s="409"/>
      <c r="Q24" s="410"/>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8"/>
      <c r="K25" s="409"/>
      <c r="L25" s="409"/>
      <c r="M25" s="409"/>
      <c r="N25" s="409"/>
      <c r="O25" s="409"/>
      <c r="P25" s="409"/>
      <c r="Q25" s="410"/>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08"/>
      <c r="K26" s="409"/>
      <c r="L26" s="409"/>
      <c r="M26" s="409"/>
      <c r="N26" s="409"/>
      <c r="O26" s="409"/>
      <c r="P26" s="409"/>
      <c r="Q26" s="410"/>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4"/>
      <c r="K27" s="415"/>
      <c r="L27" s="415"/>
      <c r="M27" s="415"/>
      <c r="N27" s="415"/>
      <c r="O27" s="415"/>
      <c r="P27" s="415"/>
      <c r="Q27" s="416"/>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05"/>
      <c r="K28" s="406"/>
      <c r="L28" s="406"/>
      <c r="M28" s="406"/>
      <c r="N28" s="406"/>
      <c r="O28" s="406"/>
      <c r="P28" s="406"/>
      <c r="Q28" s="40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08"/>
      <c r="K29" s="409"/>
      <c r="L29" s="409"/>
      <c r="M29" s="409"/>
      <c r="N29" s="409"/>
      <c r="O29" s="409"/>
      <c r="P29" s="409"/>
      <c r="Q29" s="41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08"/>
      <c r="K30" s="409"/>
      <c r="L30" s="409"/>
      <c r="M30" s="409"/>
      <c r="N30" s="409"/>
      <c r="O30" s="409"/>
      <c r="P30" s="409"/>
      <c r="Q30" s="410"/>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8"/>
      <c r="K31" s="409"/>
      <c r="L31" s="409"/>
      <c r="M31" s="409"/>
      <c r="N31" s="409"/>
      <c r="O31" s="409"/>
      <c r="P31" s="409"/>
      <c r="Q31" s="410"/>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8"/>
      <c r="K32" s="409"/>
      <c r="L32" s="409"/>
      <c r="M32" s="409"/>
      <c r="N32" s="409"/>
      <c r="O32" s="409"/>
      <c r="P32" s="409"/>
      <c r="Q32" s="410"/>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08"/>
      <c r="K33" s="409"/>
      <c r="L33" s="409"/>
      <c r="M33" s="409"/>
      <c r="N33" s="409"/>
      <c r="O33" s="409"/>
      <c r="P33" s="409"/>
      <c r="Q33" s="41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08"/>
      <c r="K34" s="409"/>
      <c r="L34" s="409"/>
      <c r="M34" s="409"/>
      <c r="N34" s="409"/>
      <c r="O34" s="409"/>
      <c r="P34" s="409"/>
      <c r="Q34" s="41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4"/>
      <c r="K35" s="415"/>
      <c r="L35" s="415"/>
      <c r="M35" s="415"/>
      <c r="N35" s="415"/>
      <c r="O35" s="415"/>
      <c r="P35" s="415"/>
      <c r="Q35" s="416"/>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05"/>
      <c r="K36" s="406"/>
      <c r="L36" s="406"/>
      <c r="M36" s="406"/>
      <c r="N36" s="406"/>
      <c r="O36" s="406"/>
      <c r="P36" s="406"/>
      <c r="Q36" s="40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08"/>
      <c r="K37" s="409"/>
      <c r="L37" s="409"/>
      <c r="M37" s="409"/>
      <c r="N37" s="409"/>
      <c r="O37" s="409"/>
      <c r="P37" s="409"/>
      <c r="Q37" s="41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8"/>
      <c r="K38" s="409"/>
      <c r="L38" s="409"/>
      <c r="M38" s="409"/>
      <c r="N38" s="409"/>
      <c r="O38" s="409"/>
      <c r="P38" s="409"/>
      <c r="Q38" s="410"/>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8"/>
      <c r="K39" s="409"/>
      <c r="L39" s="409"/>
      <c r="M39" s="409"/>
      <c r="N39" s="409"/>
      <c r="O39" s="409"/>
      <c r="P39" s="409"/>
      <c r="Q39" s="410"/>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08"/>
      <c r="K40" s="409"/>
      <c r="L40" s="409"/>
      <c r="M40" s="409"/>
      <c r="N40" s="409"/>
      <c r="O40" s="409"/>
      <c r="P40" s="409"/>
      <c r="Q40" s="410"/>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08"/>
      <c r="K41" s="409"/>
      <c r="L41" s="409"/>
      <c r="M41" s="409"/>
      <c r="N41" s="409"/>
      <c r="O41" s="409"/>
      <c r="P41" s="409"/>
      <c r="Q41" s="410"/>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08"/>
      <c r="K42" s="409"/>
      <c r="L42" s="409"/>
      <c r="M42" s="409"/>
      <c r="N42" s="409"/>
      <c r="O42" s="409"/>
      <c r="P42" s="409"/>
      <c r="Q42" s="410"/>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1"/>
      <c r="K43" s="412"/>
      <c r="L43" s="412"/>
      <c r="M43" s="412"/>
      <c r="N43" s="412"/>
      <c r="O43" s="412"/>
      <c r="P43" s="412"/>
      <c r="Q43" s="41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150</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391" t="s">
        <v>165</v>
      </c>
      <c r="B46" s="392"/>
      <c r="C46" s="392"/>
      <c r="D46" s="392"/>
      <c r="E46" s="392"/>
      <c r="F46" s="392"/>
      <c r="G46" s="392"/>
      <c r="H46" s="392"/>
      <c r="I46" s="392"/>
      <c r="J46" s="393" t="s">
        <v>166</v>
      </c>
      <c r="K46" s="393"/>
      <c r="L46" s="393"/>
      <c r="M46" s="393"/>
      <c r="N46" s="393"/>
      <c r="O46" s="393"/>
      <c r="P46" s="393"/>
      <c r="Q46" s="394"/>
      <c r="AO46" s="25"/>
      <c r="AP46" s="25"/>
      <c r="AQ46" s="25"/>
      <c r="AR46" s="25"/>
      <c r="AS46" s="25"/>
    </row>
    <row r="47" spans="1:45" ht="7.05" customHeight="1" thickBot="1">
      <c r="A47" s="35"/>
      <c r="B47" s="56"/>
      <c r="C47" s="56"/>
      <c r="D47" s="395"/>
      <c r="E47" s="395"/>
      <c r="F47" s="57"/>
      <c r="G47" s="57"/>
      <c r="H47" s="57"/>
      <c r="I47" s="57"/>
      <c r="J47" s="395"/>
      <c r="K47" s="395"/>
      <c r="L47" s="395"/>
      <c r="M47" s="395"/>
      <c r="N47" s="395"/>
      <c r="O47" s="395"/>
      <c r="P47" s="395"/>
      <c r="Q47" s="396"/>
      <c r="AO47" s="25"/>
      <c r="AP47" s="25"/>
      <c r="AQ47" s="25"/>
      <c r="AR47" s="25"/>
      <c r="AS47" s="25"/>
    </row>
    <row r="48" spans="1:45" ht="16.600000000000001" customHeight="1" thickBot="1">
      <c r="A48" s="9"/>
      <c r="B48" s="397" t="s">
        <v>10</v>
      </c>
      <c r="C48" s="398"/>
      <c r="D48" s="399"/>
      <c r="E48" s="400"/>
      <c r="F48" s="55" t="s">
        <v>11</v>
      </c>
      <c r="G48" s="401"/>
      <c r="H48" s="402"/>
      <c r="I48" s="402"/>
      <c r="J48" s="403"/>
      <c r="K48" s="55" t="s">
        <v>9</v>
      </c>
      <c r="L48" s="404"/>
      <c r="M48" s="402"/>
      <c r="N48" s="402"/>
      <c r="O48" s="402"/>
      <c r="P48" s="403"/>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87" t="s">
        <v>170</v>
      </c>
      <c r="B50" s="387"/>
      <c r="C50" s="387"/>
      <c r="D50" s="387"/>
      <c r="E50" s="387"/>
      <c r="F50" s="387"/>
      <c r="G50" s="387"/>
      <c r="H50" s="387"/>
      <c r="I50" s="387"/>
      <c r="J50" s="387"/>
      <c r="K50" s="387"/>
      <c r="L50" s="387"/>
      <c r="M50" s="387"/>
      <c r="N50" s="387"/>
      <c r="O50" s="387"/>
      <c r="P50" s="387"/>
      <c r="Q50" s="387"/>
      <c r="AO50" s="25"/>
      <c r="AP50" s="25"/>
      <c r="AQ50" s="25"/>
      <c r="AR50" s="25"/>
      <c r="AS50" s="25"/>
    </row>
    <row r="51" spans="1:45" ht="17.45" customHeight="1">
      <c r="A51" s="388"/>
      <c r="B51" s="388"/>
      <c r="C51" s="388"/>
      <c r="D51" s="388"/>
      <c r="E51" s="388"/>
      <c r="F51" s="388"/>
      <c r="G51" s="388"/>
      <c r="H51" s="388"/>
      <c r="I51" s="388"/>
      <c r="J51" s="388"/>
      <c r="K51" s="388"/>
      <c r="L51" s="388"/>
      <c r="M51" s="388"/>
      <c r="N51" s="388"/>
      <c r="O51" s="388"/>
      <c r="P51" s="388"/>
      <c r="Q51" s="388"/>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135</v>
      </c>
      <c r="B53" s="195" t="s">
        <v>134</v>
      </c>
      <c r="C53" s="194"/>
      <c r="D53" s="194" t="str" cm="1">
        <f t="array" ref="D53">_xlfn.IFS(N54="裁量労働制","みなし労働時間(h/日)",N54="固定残業制","固定残業時間(h/月)",N54="(大学・国研等)裁量労働制","みなし労働時間(h/日)",TRUE,"-")</f>
        <v>-</v>
      </c>
      <c r="E53" s="194" t="s">
        <v>128</v>
      </c>
      <c r="F53" s="194" t="s">
        <v>129</v>
      </c>
      <c r="G53" s="196" t="s">
        <v>130</v>
      </c>
      <c r="H53" s="194" t="s">
        <v>131</v>
      </c>
      <c r="I53" s="197" t="s">
        <v>132</v>
      </c>
      <c r="J53" s="197" t="s">
        <v>133</v>
      </c>
      <c r="K53" s="198"/>
      <c r="L53" s="389" t="s">
        <v>136</v>
      </c>
      <c r="M53" s="390"/>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8" t="str" cm="1">
        <f t="array" ref="L54">_xlfn.IFS(N54="裁量労働制",L57,N54="固定残業制",L58,N54="管理職",L56,N54="一般従業員",L59,N54="(大学・国研等)管理職",L60,N54="(大学・国研等)裁量労働制",L61,TRUE,"-")</f>
        <v>-</v>
      </c>
      <c r="M54" s="379"/>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78">
        <f>ROUNDDOWN(IF((B56*F56-G56)&gt;=(H56+I56+J56),H56+J56,IF((B56*F56-G56)&lt;=(H56+I56+J56),(B56*F56-G56)*(H56+J56)/(H56+I56+J56))),2)</f>
        <v>0</v>
      </c>
      <c r="M56" s="379"/>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8">
        <f>ROUNDDOWN(IF((D57*F57-G57)&gt;=(H57+I57),H57,IF((D57*F57-G57)&lt;(H57+I57),(D57*F57-G57)/(H57+I57)*H57))+J57,2)</f>
        <v>0</v>
      </c>
      <c r="M57" s="379"/>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8">
        <f>ROUNDDOWN(IF((B58*F58-G58)&gt;=(H58+I58),H58,IF((H58+I58)&lt;(B58*F58-G58+D58),(B58*F58-G58)*H58/(H58+I58),(B58*F58-G58)*H58/(H58+I58)+((H58+I58)-(B58*F58-G58+D58))*H58/(H58+I58)))+J58,2)</f>
        <v>0</v>
      </c>
      <c r="M58" s="379"/>
      <c r="N58" s="207" t="s">
        <v>14</v>
      </c>
      <c r="O58" s="207"/>
      <c r="P58" s="207"/>
      <c r="Q58" s="207"/>
    </row>
    <row r="59" spans="1:45" ht="11.55" hidden="1" outlineLevel="1" thickBot="1">
      <c r="A59" s="214"/>
      <c r="B59" s="214"/>
      <c r="C59" s="214"/>
      <c r="D59" s="215"/>
      <c r="E59" s="215"/>
      <c r="F59" s="215"/>
      <c r="G59" s="215"/>
      <c r="H59" s="215"/>
      <c r="I59" s="215"/>
      <c r="J59" s="215"/>
      <c r="K59" s="214"/>
      <c r="L59" s="378">
        <f>H54+J54</f>
        <v>0</v>
      </c>
      <c r="M59" s="379"/>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78">
        <f>ROUNDDOWN(IF((A60*B60)&gt;=(H60+J60+I60),(A60*B60),IF((A60*B60)&lt;(H60+J60+I60),(H60+J60+I60))),2)</f>
        <v>0</v>
      </c>
      <c r="M60" s="380"/>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8">
        <f>ROUNDDOWN(IF((A61*D61)+G61&gt;=(H61+J61+I61),(A61*D61)+G61,IF((A61*D61)+G61&lt;(H61+J61+I61),(H61+J61+I61))),2)</f>
        <v>0</v>
      </c>
      <c r="M61" s="38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38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2"/>
      <c r="D64" s="383" t="str" cm="1">
        <f t="array" ref="D64">IF(AND(B95="",B126="",B157=""),"●",IF(_xlfn.IFS($N$54="管理職",B95,$N$54="裁量労働制",B126,$N$54="固定残業制",B157,TRUE,"")=0,"",_xlfn.IFS($N$54="管理職",B95,$N$54="裁量労働制",B126,$N$54="固定残業制",B157,TRUE,"")))</f>
        <v/>
      </c>
      <c r="E64" s="38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38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0"/>
      <c r="N68" s="370"/>
      <c r="O68" s="37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2"/>
      <c r="Q68" s="105"/>
    </row>
    <row r="69" spans="1:18" ht="16.600000000000001" customHeight="1">
      <c r="A69" s="101"/>
      <c r="B69" s="37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4"/>
      <c r="D69" s="37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366" t="str" cm="1">
        <f t="array" ref="B71">IF(AND(B101="",B132="",B163=""),"●",IF(_xlfn.IFS($N$54="管理職",B101,$N$54="裁量労働制",B132,$N$54="固定残業制",B163,TRUE,"")=0,"",_xlfn.IFS($N$54="管理職",B101,$N$54="裁量労働制",B132,$N$54="固定残業制",B163,TRUE,"")))</f>
        <v/>
      </c>
      <c r="C71" s="366"/>
      <c r="D71" s="366"/>
      <c r="E71" s="366"/>
      <c r="F71" s="366"/>
      <c r="G71" s="377" t="str" cm="1">
        <f t="array" ref="G71">IF(AND(H101="",H132="",H163=""),"●",IF(_xlfn.IFS($N$54="管理職",H101,$N$54="裁量労働制",H132,$N$54="固定残業制",H163,TRUE,"")=0,"",_xlfn.IFS($N$54="管理職",H101,$N$54="裁量労働制",H132,$N$54="固定残業制",H163,TRUE,"")))</f>
        <v/>
      </c>
      <c r="H71" s="377"/>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363" t="str" cm="1">
        <f t="array" ref="B72">IF(AND(B102="",B133="",B164=""),"●",IF(_xlfn.IFS($N$54="管理職",B102,$N$54="裁量労働制",B133,$N$54="固定残業制",B164,TRUE,"")=0,"",_xlfn.IFS($N$54="管理職",B102,$N$54="裁量労働制",B133,$N$54="固定残業制",B164,TRUE,"")))</f>
        <v/>
      </c>
      <c r="C72" s="364"/>
      <c r="D72" s="365"/>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366" t="str" cm="1">
        <f t="array" ref="B76">IF(AND(B106="",B137="",B166=""),"●",IF(_xlfn.IFS($N$54="管理職",B106,$N$54="裁量労働制",B137,$N$54="固定残業制",B166,TRUE,"")=0,"",_xlfn.IFS($N$54="管理職",B106,$N$54="裁量労働制",B137,$N$54="固定残業制",B166,TRUE,"")))</f>
        <v/>
      </c>
      <c r="C76" s="366"/>
      <c r="D76" s="366"/>
      <c r="E76" s="366"/>
      <c r="F76" s="366"/>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367" t="str" cm="1">
        <f t="array" ref="B78">IF(AND(B108="",B139="",B168=""),"●",IF(_xlfn.IFS($N$54="管理職",B108,$N$54="裁量労働制",B139,$N$54="固定残業制",B168,TRUE,"")=0,"",_xlfn.IFS($N$54="管理職",B108,$N$54="裁量労働制",B139,$N$54="固定残業制",B168,TRUE,"")))</f>
        <v/>
      </c>
      <c r="C78" s="368"/>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353" t="str" cm="1">
        <f t="array" ref="B83">IF(AND(B114="",B145="",B174=""),"●",IF(_xlfn.IFS($N$54="管理職",B114,$N$54="裁量労働制",B145,$N$54="固定残業制",B174,TRUE,"")=0,"",_xlfn.IFS($N$54="管理職",B114,$N$54="裁量労働制",B145,$N$54="固定残業制",B174,TRUE,"")))</f>
        <v/>
      </c>
      <c r="C83" s="354"/>
      <c r="D83" s="354"/>
      <c r="E83" s="355"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6"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357" t="str" cm="1">
        <f t="array" ref="B84">IF(AND(B115="",B146="",B175=""),"●",IF(_xlfn.IFS($N$54="管理職",B115,$N$54="裁量労働制",B146,$N$54="固定残業制",B175,TRUE,"")=0,"",_xlfn.IFS($N$54="管理職",B115,$N$54="裁量労働制",B146,$N$54="固定残業制",B175,TRUE,"")))</f>
        <v/>
      </c>
      <c r="C84" s="358" t="str" cm="1">
        <f t="array" ref="C84">IF(AND(C115="",C146="",C175=""),"●",IF(_xlfn.IFS($N$54="管理職",C115,$N$54="裁量労働制",C146,$N$54="固定残業制",C175,TRUE,"")=0,"",_xlfn.IFS($N$54="管理職",C115,$N$54="裁量労働制",C146,$N$54="固定残業制",C175,TRUE,"")))</f>
        <v>●</v>
      </c>
      <c r="D84" s="359"/>
      <c r="E84" s="354"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6"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353" t="str" cm="1">
        <f t="array" ref="B87">IF(AND(B118="",B149="",B178=""),"●",IF(_xlfn.IFS($N$54="管理職",B118,$N$54="裁量労働制",B149,$N$54="固定残業制",B178,TRUE,"")=0,"",_xlfn.IFS($N$54="管理職",B118,$N$54="裁量労働制",B149,$N$54="固定残業制",B178,TRUE,"")))</f>
        <v/>
      </c>
      <c r="C87" s="354"/>
      <c r="D87" s="354"/>
      <c r="E87" s="355"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6"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357" t="str" cm="1">
        <f t="array" ref="B88">IF(AND(B119="",B150="",B179=""),"●",IF(_xlfn.IFS($N$54="管理職",B119,$N$54="裁量労働制",B150,$N$54="固定残業制",B179,TRUE,"")=0,"",_xlfn.IFS($N$54="管理職",B119,$N$54="裁量労働制",B150,$N$54="固定残業制",B179,TRUE,"")))</f>
        <v/>
      </c>
      <c r="C88" s="358" t="str" cm="1">
        <f t="array" ref="C88">IF(AND(C119="",C150="",C179=""),"●",IF(_xlfn.IFS($N$54="管理職",C119,$N$54="裁量労働制",C150,$N$54="固定残業制",C179,TRUE,"")=0,"",_xlfn.IFS($N$54="管理職",C119,$N$54="裁量労働制",C150,$N$54="固定残業制",C179,TRUE,"")))</f>
        <v>●</v>
      </c>
      <c r="D88" s="359"/>
      <c r="E88" s="354"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6"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5"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60" t="str" cm="1">
        <f t="array" ref="M90">IF(AND(M121="",M152="",M181=""),"●",IF(_xlfn.IFS($N$54="管理職",M121,$N$54="裁量労働制",M152,$N$54="固定残業制",M181,TRUE,"")=0,"",_xlfn.IFS($N$54="管理職",M121,$N$54="裁量労働制",M152,$N$54="固定残業制",M181,TRUE,"")))</f>
        <v/>
      </c>
      <c r="N90" s="361"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362" t="str" cm="1">
        <f t="array" ref="B91">IF(AND(B122="",B153="",B182=""),"●",IF(_xlfn.IFS($N$54="管理職",B122,$N$54="裁量労働制",B153,$N$54="固定残業制",B182,TRUE,"")=0,"",_xlfn.IFS($N$54="管理職",B122,$N$54="裁量労働制",B153,$N$54="固定残業制",B182,TRUE,"")))</f>
        <v/>
      </c>
      <c r="C91" s="359"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4"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127</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168</v>
      </c>
      <c r="O94" s="238" t="s">
        <v>138</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138</v>
      </c>
      <c r="C98" s="253"/>
      <c r="D98" s="252"/>
      <c r="E98" s="253"/>
      <c r="F98" s="247"/>
      <c r="G98" s="254"/>
      <c r="H98" s="256" t="s">
        <v>151</v>
      </c>
      <c r="I98" s="254"/>
      <c r="J98" s="235" t="str">
        <f>$H$53</f>
        <v>NEDO事業の従事時間(h/月)</v>
      </c>
      <c r="M98" s="266" t="str">
        <f>$I$53</f>
        <v>他の公的事業従事時間(h/月)</v>
      </c>
      <c r="N98" s="236"/>
      <c r="O98" s="294" t="s">
        <v>137</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347">
        <f>O95</f>
        <v>0</v>
      </c>
      <c r="C99" s="348"/>
      <c r="D99" s="249"/>
      <c r="E99" s="259" t="str" cm="1">
        <f t="array" ref="E99">_xlfn.IFS(B99&lt;G99,"＜",B99&gt;=G99,"≧",TRUE,"")</f>
        <v>≧</v>
      </c>
      <c r="F99" s="247"/>
      <c r="G99" s="260">
        <f>$H$54+$I$54+$J$54</f>
        <v>0</v>
      </c>
      <c r="H99" s="231" t="s">
        <v>52</v>
      </c>
      <c r="I99" s="254" t="s">
        <v>53</v>
      </c>
      <c r="J99" s="260">
        <f>$H$54</f>
        <v>0</v>
      </c>
      <c r="K99" s="259" t="s">
        <v>81</v>
      </c>
      <c r="L99" s="349">
        <f>$I$54</f>
        <v>0</v>
      </c>
      <c r="M99" s="350"/>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140</v>
      </c>
      <c r="N107" s="281">
        <f>J56</f>
        <v>0</v>
      </c>
      <c r="O107" s="240"/>
      <c r="P107" s="349"/>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342">
        <f>O95</f>
        <v>0</v>
      </c>
      <c r="C108" s="343"/>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8"/>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168</v>
      </c>
      <c r="N125" s="198"/>
      <c r="O125" s="253" t="s">
        <v>138</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138</v>
      </c>
      <c r="C129" s="253"/>
      <c r="D129" s="252"/>
      <c r="E129" s="253"/>
      <c r="F129" s="247"/>
      <c r="G129" s="254"/>
      <c r="H129" s="255" t="s">
        <v>139</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342">
        <f>O126</f>
        <v>0</v>
      </c>
      <c r="C130" s="343"/>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137</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1"/>
      <c r="N138" s="240"/>
      <c r="O138" s="337"/>
      <c r="P138" s="349"/>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342">
        <f>$O$126</f>
        <v>0</v>
      </c>
      <c r="C139" s="343"/>
      <c r="D139" s="249"/>
      <c r="E139" s="240" t="s">
        <v>47</v>
      </c>
      <c r="F139" s="270" t="str">
        <f>"("&amp;$H$138&amp;" "&amp;$K$138&amp;" + "&amp;$I$53&amp;" "&amp;$I$54&amp;")"</f>
        <v>(NEDO事業の従事時間(h/月) 0 + 他の公的事業従事時間(h/月) 0)</v>
      </c>
      <c r="G139" s="271"/>
      <c r="H139" s="272"/>
      <c r="I139" s="272"/>
      <c r="J139" s="272"/>
      <c r="K139" s="272"/>
      <c r="L139" s="272"/>
      <c r="M139" s="352"/>
      <c r="N139" s="261"/>
      <c r="O139" s="338"/>
      <c r="P139" s="338"/>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141</v>
      </c>
      <c r="I156" s="198"/>
      <c r="J156" s="236" t="s">
        <v>142</v>
      </c>
      <c r="K156" s="198"/>
      <c r="L156" s="198"/>
      <c r="M156" s="237" t="s">
        <v>168</v>
      </c>
      <c r="N156" s="198"/>
      <c r="O156" s="238" t="s">
        <v>138</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138</v>
      </c>
      <c r="C160" s="253"/>
      <c r="D160" s="252"/>
      <c r="E160" s="253"/>
      <c r="F160" s="247"/>
      <c r="G160" s="254"/>
      <c r="H160" s="255" t="s">
        <v>143</v>
      </c>
      <c r="I160" s="254"/>
      <c r="J160" s="235" t="str">
        <f>$H$53</f>
        <v>NEDO事業の従事時間(h/月)</v>
      </c>
      <c r="K160" s="256"/>
      <c r="L160" s="198"/>
      <c r="M160" s="239"/>
      <c r="N160" s="257"/>
      <c r="O160" s="257" t="str">
        <f>$I$53</f>
        <v>他の公的事業従事時間(h/月)</v>
      </c>
      <c r="P160" s="345"/>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341" t="str">
        <f>TEXT($B$58*$F$58-G58,"###.00")&amp;" /固定除く"</f>
        <v>.00 /固定除く</v>
      </c>
      <c r="C161" s="338"/>
      <c r="D161" s="338"/>
      <c r="E161" s="259" t="str" cm="1">
        <f t="array" ref="E161">_xlfn.IFS(($B$58*$F$58-G58)&lt;G161,"＜",($B$58*$F$58-G58)&gt;=G161,"≧",TRUE,"")</f>
        <v>≧</v>
      </c>
      <c r="F161" s="247"/>
      <c r="G161" s="260">
        <f>$H$54+$I$54</f>
        <v>0</v>
      </c>
      <c r="H161" s="245" t="s">
        <v>52</v>
      </c>
      <c r="I161" s="254"/>
      <c r="J161" s="346">
        <f>$H$54</f>
        <v>0</v>
      </c>
      <c r="K161" s="338"/>
      <c r="L161" s="262"/>
      <c r="M161" s="261"/>
      <c r="N161" s="245" t="s">
        <v>56</v>
      </c>
      <c r="O161" s="261">
        <f>$I$54</f>
        <v>0</v>
      </c>
      <c r="P161" s="345"/>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143</v>
      </c>
      <c r="I163" s="254"/>
      <c r="J163" s="239"/>
      <c r="K163" s="255" t="str">
        <f>$H$53</f>
        <v>NEDO事業の従事時間(h/月)</v>
      </c>
      <c r="L163" s="198"/>
      <c r="M163" s="239"/>
      <c r="N163" s="263" t="str">
        <f>$I$53</f>
        <v>他の公的事業従事時間(h/月)</v>
      </c>
      <c r="O163" s="337"/>
      <c r="P163" s="345"/>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341" t="str">
        <f>TEXT($B$58*$F$58+$D$58-G58,"###.00")&amp;" /固定含む"</f>
        <v>.00 /固定含む</v>
      </c>
      <c r="C164" s="338"/>
      <c r="D164" s="338"/>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8"/>
      <c r="P164" s="345"/>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137</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337" t="s">
        <v>47</v>
      </c>
      <c r="F174" s="231"/>
      <c r="G174" s="231"/>
      <c r="H174" s="239" t="str">
        <f>$H$53</f>
        <v>NEDO事業の従事時間(h/月)</v>
      </c>
      <c r="I174" s="216"/>
      <c r="J174" s="209"/>
      <c r="K174" s="211">
        <f>$H$54</f>
        <v>0</v>
      </c>
      <c r="L174" s="198"/>
      <c r="M174" s="198"/>
      <c r="N174" s="344" t="s">
        <v>56</v>
      </c>
      <c r="O174" s="275" t="s">
        <v>137</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341" t="str">
        <f>TEXT($B$58*$F$58-G58,"###.00")&amp;" /固定除く"</f>
        <v>.00 /固定除く</v>
      </c>
      <c r="C175" s="338"/>
      <c r="D175" s="338"/>
      <c r="E175" s="338"/>
      <c r="F175" s="270" t="str">
        <f>H174&amp;" "&amp;K$174&amp;" + "&amp;$I$53&amp;" "&amp;$I$54</f>
        <v>NEDO事業の従事時間(h/月) 0 + 他の公的事業従事時間(h/月) 0</v>
      </c>
      <c r="G175" s="271"/>
      <c r="H175" s="272"/>
      <c r="I175" s="272"/>
      <c r="J175" s="272"/>
      <c r="K175" s="272"/>
      <c r="L175" s="272"/>
      <c r="M175" s="198"/>
      <c r="N175" s="344"/>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337" t="s">
        <v>47</v>
      </c>
      <c r="F178" s="231"/>
      <c r="G178" s="231"/>
      <c r="H178" s="239" t="str">
        <f>$H$53</f>
        <v>NEDO事業の従事時間(h/月)</v>
      </c>
      <c r="I178" s="216"/>
      <c r="J178" s="209"/>
      <c r="K178" s="211">
        <f>$H$54</f>
        <v>0</v>
      </c>
      <c r="L178" s="198"/>
      <c r="M178" s="198"/>
      <c r="N178" s="344" t="s">
        <v>56</v>
      </c>
      <c r="O178" s="275" t="s">
        <v>137</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341" t="str">
        <f>TEXT($B$58*$F$58-G58,"###.00")&amp;" /固定除く"</f>
        <v>.00 /固定除く</v>
      </c>
      <c r="C179" s="338"/>
      <c r="D179" s="338"/>
      <c r="E179" s="338"/>
      <c r="F179" s="270" t="str">
        <f>H178&amp;" "&amp;K$174&amp;" + "&amp;$I$53&amp;" "&amp;$I$54</f>
        <v>NEDO事業の従事時間(h/月) 0 + 他の公的事業従事時間(h/月) 0</v>
      </c>
      <c r="G179" s="271"/>
      <c r="H179" s="272"/>
      <c r="I179" s="272"/>
      <c r="J179" s="272"/>
      <c r="K179" s="272"/>
      <c r="L179" s="272"/>
      <c r="M179" s="198"/>
      <c r="N179" s="344"/>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144</v>
      </c>
      <c r="C181" s="216"/>
      <c r="D181" s="247"/>
      <c r="E181" s="247"/>
      <c r="F181" s="280" t="str">
        <f>$O$156</f>
        <v>所定労働時間(h/月)</v>
      </c>
      <c r="G181" s="337" t="s">
        <v>47</v>
      </c>
      <c r="H181" s="231"/>
      <c r="I181" s="231"/>
      <c r="J181" s="239" t="str">
        <f>$H$53</f>
        <v>NEDO事業の従事時間(h/月)</v>
      </c>
      <c r="K181" s="216"/>
      <c r="L181" s="209"/>
      <c r="M181" s="339">
        <f>$H$54</f>
        <v>0</v>
      </c>
      <c r="N181" s="340"/>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341" t="str">
        <f>"( "&amp;H58+I58</f>
        <v>( 0</v>
      </c>
      <c r="C182" s="338"/>
      <c r="D182" s="283"/>
      <c r="E182" s="249"/>
      <c r="F182" s="284" t="str">
        <f>"ー　 "&amp;B58*F58-G58+D58&amp;"/固定含む )"</f>
        <v>ー　 0/固定含む )</v>
      </c>
      <c r="G182" s="338"/>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138</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138</v>
      </c>
      <c r="C191" s="253"/>
      <c r="D191" s="252"/>
      <c r="E191" s="253"/>
      <c r="F191" s="247"/>
      <c r="G191" s="237" t="s">
        <v>145</v>
      </c>
      <c r="H191" s="256"/>
      <c r="I191" s="254"/>
      <c r="J191" s="255" t="str">
        <f>$H$53</f>
        <v>NEDO事業の従事時間(h/月)</v>
      </c>
      <c r="K191" s="198"/>
      <c r="L191" s="198"/>
      <c r="M191" s="255" t="s">
        <v>146</v>
      </c>
      <c r="N191" s="240"/>
      <c r="O191" s="266" t="s">
        <v>147</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342">
        <f>O188</f>
        <v>0</v>
      </c>
      <c r="C192" s="343"/>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148</v>
      </c>
      <c r="N218" s="198"/>
      <c r="O218" s="293" t="s">
        <v>138</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138</v>
      </c>
      <c r="C222" s="253"/>
      <c r="D222" s="252"/>
      <c r="E222" s="253"/>
      <c r="F222" s="247"/>
      <c r="G222" s="235" t="s">
        <v>149</v>
      </c>
      <c r="H222" s="256"/>
      <c r="I222" s="254"/>
      <c r="J222" s="255" t="str">
        <f>$H$53</f>
        <v>NEDO事業の従事時間(h/月)</v>
      </c>
      <c r="K222" s="198"/>
      <c r="L222" s="198"/>
      <c r="M222" s="255" t="s">
        <v>146</v>
      </c>
      <c r="N222" s="240"/>
      <c r="O222" s="266" t="s">
        <v>147</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342">
        <f>O219</f>
        <v>0</v>
      </c>
      <c r="C223" s="343"/>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qmaaiGxoSN/jO+/CuzfvBUp6I88zivG6DTfCLWWWmQlEpIeAgiBQsodCP6hnDwW+pRePfph6ZWDKxISt6VPWw==" saltValue="oBpfa+6lIW/WsgOKbYoPvw==" spinCount="100000" sheet="1" formatRows="0" selectLockedCells="1"/>
  <dataConsolidate/>
  <mergeCells count="115">
    <mergeCell ref="O1:P1"/>
    <mergeCell ref="R1:R3"/>
    <mergeCell ref="Y1:Y12"/>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36:Q43"/>
    <mergeCell ref="J28:Q35"/>
    <mergeCell ref="J13:Q19"/>
    <mergeCell ref="J20:Q27"/>
    <mergeCell ref="K10:M10"/>
    <mergeCell ref="O10:P10"/>
    <mergeCell ref="E8:H8"/>
    <mergeCell ref="I8:J8"/>
    <mergeCell ref="N8:P8"/>
    <mergeCell ref="D11:G11"/>
    <mergeCell ref="H11:H12"/>
    <mergeCell ref="I11:I12"/>
    <mergeCell ref="J11:Q12"/>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