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1AF0FBB1-1F34-4DC6-9409-8C92B08DDF48}" xr6:coauthVersionLast="47" xr6:coauthVersionMax="47" xr10:uidLastSave="{00000000-0000-0000-0000-000000000000}"/>
  <bookViews>
    <workbookView xWindow="-120" yWindow="-120" windowWidth="27975" windowHeight="16440" xr2:uid="{27E5E646-48CA-4850-909B-B824E1E3AF96}"/>
  </bookViews>
  <sheets>
    <sheet name="○目次" sheetId="10" r:id="rId1"/>
    <sheet name="例①" sheetId="1" r:id="rId2"/>
    <sheet name="例②" sheetId="2" r:id="rId3"/>
    <sheet name="例③" sheetId="3" r:id="rId4"/>
    <sheet name="例④" sheetId="4" r:id="rId5"/>
    <sheet name="(例⑤は欠番)" sheetId="9" r:id="rId6"/>
    <sheet name="例⑥" sheetId="5" r:id="rId7"/>
    <sheet name="例⑦" sheetId="6" r:id="rId8"/>
    <sheet name="例⑧" sheetId="7" r:id="rId9"/>
    <sheet name="例⑨" sheetId="8" r:id="rId10"/>
  </sheets>
  <definedNames>
    <definedName name="_xlnm.Print_Area" localSheetId="1">例①!$A:$L</definedName>
    <definedName name="_xlnm.Print_Area" localSheetId="2">例②!$A:$L</definedName>
    <definedName name="_xlnm.Print_Area" localSheetId="3">例③!$A:$L</definedName>
    <definedName name="_xlnm.Print_Area" localSheetId="4">例④!$A:$L</definedName>
    <definedName name="_xlnm.Print_Area" localSheetId="6">例⑥!$A:$L</definedName>
    <definedName name="_xlnm.Print_Area" localSheetId="7">例⑦!$A:$L</definedName>
    <definedName name="_xlnm.Print_Area" localSheetId="8">例⑧!$A:$L</definedName>
    <definedName name="_xlnm.Print_Area" localSheetId="9">例⑨!$A:$L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9" i="8" l="1"/>
  <c r="H268" i="8"/>
  <c r="H197" i="8"/>
  <c r="H196" i="8"/>
  <c r="H121" i="8"/>
  <c r="H120" i="8"/>
  <c r="H45" i="8"/>
  <c r="H44" i="8"/>
  <c r="H269" i="7"/>
  <c r="H268" i="7"/>
  <c r="H197" i="7"/>
  <c r="H196" i="7"/>
  <c r="H121" i="7"/>
  <c r="H120" i="7"/>
  <c r="H45" i="7"/>
  <c r="H44" i="7"/>
  <c r="H269" i="6"/>
  <c r="H268" i="6"/>
  <c r="H197" i="6"/>
  <c r="H196" i="6"/>
  <c r="H121" i="6"/>
  <c r="H120" i="6"/>
  <c r="H45" i="6"/>
  <c r="H44" i="6"/>
  <c r="H269" i="5"/>
  <c r="H268" i="5"/>
  <c r="H197" i="5"/>
  <c r="H196" i="5"/>
  <c r="H121" i="5"/>
  <c r="H120" i="5"/>
  <c r="H45" i="5"/>
  <c r="H44" i="5"/>
  <c r="H269" i="4"/>
  <c r="H268" i="4"/>
  <c r="H197" i="4"/>
  <c r="H196" i="4"/>
  <c r="H121" i="4"/>
  <c r="H120" i="4"/>
  <c r="H45" i="4"/>
  <c r="H44" i="4"/>
  <c r="H269" i="3"/>
  <c r="H268" i="3"/>
  <c r="H197" i="3"/>
  <c r="H196" i="3"/>
  <c r="H121" i="3"/>
  <c r="H120" i="3"/>
  <c r="H45" i="3"/>
  <c r="H44" i="3"/>
  <c r="H269" i="2"/>
  <c r="H268" i="2"/>
  <c r="H197" i="2"/>
  <c r="H196" i="2"/>
  <c r="H121" i="2"/>
  <c r="H120" i="2"/>
  <c r="H45" i="2"/>
  <c r="H44" i="2"/>
  <c r="H269" i="1"/>
  <c r="H268" i="1"/>
  <c r="H197" i="1"/>
  <c r="H196" i="1"/>
  <c r="H121" i="1"/>
  <c r="H120" i="1"/>
  <c r="H45" i="1"/>
  <c r="H44" i="1"/>
  <c r="S23" i="8" l="1"/>
  <c r="R23" i="8"/>
  <c r="Q23" i="8"/>
  <c r="P23" i="8"/>
  <c r="S23" i="7"/>
  <c r="R23" i="7"/>
  <c r="Q23" i="7"/>
  <c r="P23" i="7"/>
  <c r="S23" i="6"/>
  <c r="R23" i="6"/>
  <c r="Q23" i="6"/>
  <c r="P23" i="6"/>
  <c r="S23" i="5"/>
  <c r="R23" i="5"/>
  <c r="Q23" i="5"/>
  <c r="P23" i="5"/>
  <c r="S23" i="4"/>
  <c r="R23" i="4"/>
  <c r="Q23" i="4"/>
  <c r="P23" i="4"/>
  <c r="S23" i="3"/>
  <c r="R23" i="3"/>
  <c r="Q23" i="3"/>
  <c r="P23" i="3"/>
  <c r="P23" i="2"/>
  <c r="P23" i="1"/>
  <c r="S23" i="2"/>
  <c r="R23" i="2"/>
  <c r="Q23" i="2"/>
  <c r="S23" i="1"/>
  <c r="R23" i="1"/>
  <c r="Q23" i="1"/>
  <c r="F36" i="4" l="1"/>
  <c r="F60" i="4"/>
  <c r="F58" i="8" l="1"/>
  <c r="F50" i="8"/>
  <c r="F82" i="8"/>
  <c r="F83" i="8" s="1"/>
  <c r="F84" i="8" s="1"/>
  <c r="F85" i="8" s="1"/>
  <c r="F86" i="8" s="1"/>
  <c r="F87" i="8" s="1"/>
  <c r="F88" i="8" s="1"/>
  <c r="F89" i="8" s="1"/>
  <c r="F90" i="8" s="1"/>
  <c r="F91" i="8" s="1"/>
  <c r="F92" i="8" s="1"/>
  <c r="F93" i="8" s="1"/>
  <c r="E78" i="8"/>
  <c r="E79" i="8" s="1"/>
  <c r="E80" i="8" s="1"/>
  <c r="E81" i="8" s="1"/>
  <c r="E82" i="8" s="1"/>
  <c r="E83" i="8" s="1"/>
  <c r="E84" i="8" s="1"/>
  <c r="E85" i="8" s="1"/>
  <c r="E86" i="8" s="1"/>
  <c r="E87" i="8" s="1"/>
  <c r="E88" i="8" s="1"/>
  <c r="E89" i="8" s="1"/>
  <c r="E90" i="8" s="1"/>
  <c r="E91" i="8" s="1"/>
  <c r="E92" i="8" s="1"/>
  <c r="E93" i="8" s="1"/>
  <c r="G306" i="8"/>
  <c r="G305" i="8"/>
  <c r="G304" i="8"/>
  <c r="G303" i="8"/>
  <c r="G302" i="8"/>
  <c r="G301" i="8"/>
  <c r="G300" i="8"/>
  <c r="G299" i="8"/>
  <c r="G298" i="8"/>
  <c r="G297" i="8"/>
  <c r="G296" i="8"/>
  <c r="G295" i="8"/>
  <c r="G294" i="8"/>
  <c r="G293" i="8"/>
  <c r="G292" i="8"/>
  <c r="G291" i="8"/>
  <c r="I290" i="8"/>
  <c r="G290" i="8"/>
  <c r="F257" i="8"/>
  <c r="G245" i="8"/>
  <c r="G244" i="8"/>
  <c r="G243" i="8"/>
  <c r="G242" i="8"/>
  <c r="G241" i="8"/>
  <c r="G240" i="8"/>
  <c r="G239" i="8"/>
  <c r="G238" i="8"/>
  <c r="G237" i="8"/>
  <c r="G236" i="8"/>
  <c r="G235" i="8"/>
  <c r="G234" i="8"/>
  <c r="G233" i="8"/>
  <c r="G232" i="8"/>
  <c r="G231" i="8"/>
  <c r="G230" i="8"/>
  <c r="I229" i="8"/>
  <c r="I230" i="8" s="1"/>
  <c r="G229" i="8"/>
  <c r="G213" i="8"/>
  <c r="G169" i="8"/>
  <c r="G168" i="8"/>
  <c r="G167" i="8"/>
  <c r="G166" i="8"/>
  <c r="G165" i="8"/>
  <c r="G164" i="8"/>
  <c r="G163" i="8"/>
  <c r="G162" i="8"/>
  <c r="G161" i="8"/>
  <c r="G160" i="8"/>
  <c r="G159" i="8"/>
  <c r="G158" i="8"/>
  <c r="G157" i="8"/>
  <c r="G156" i="8"/>
  <c r="G155" i="8"/>
  <c r="G154" i="8"/>
  <c r="I153" i="8"/>
  <c r="I154" i="8" s="1"/>
  <c r="G153" i="8"/>
  <c r="G129" i="8"/>
  <c r="I77" i="8"/>
  <c r="I78" i="8" s="1"/>
  <c r="G61" i="8"/>
  <c r="F13" i="8"/>
  <c r="G59" i="8" l="1"/>
  <c r="G211" i="8"/>
  <c r="G205" i="8"/>
  <c r="G82" i="8"/>
  <c r="G53" i="8"/>
  <c r="G83" i="8"/>
  <c r="I79" i="8"/>
  <c r="G137" i="8"/>
  <c r="I231" i="8"/>
  <c r="G135" i="8"/>
  <c r="I155" i="8"/>
  <c r="I291" i="8"/>
  <c r="K290" i="8"/>
  <c r="S24" i="8" s="1"/>
  <c r="G51" i="8"/>
  <c r="G127" i="8"/>
  <c r="G203" i="8"/>
  <c r="F215" i="8" l="1"/>
  <c r="K231" i="8" s="1"/>
  <c r="R26" i="8" s="1"/>
  <c r="F63" i="8"/>
  <c r="K78" i="8" s="1"/>
  <c r="P25" i="8" s="1"/>
  <c r="F139" i="8"/>
  <c r="K153" i="8" s="1"/>
  <c r="Q24" i="8" s="1"/>
  <c r="G81" i="8"/>
  <c r="G84" i="8"/>
  <c r="I232" i="8"/>
  <c r="I292" i="8"/>
  <c r="K291" i="8"/>
  <c r="S25" i="8" s="1"/>
  <c r="I156" i="8"/>
  <c r="I80" i="8"/>
  <c r="F185" i="8" l="1"/>
  <c r="F109" i="8"/>
  <c r="K230" i="8"/>
  <c r="R25" i="8" s="1"/>
  <c r="K229" i="8"/>
  <c r="R24" i="8" s="1"/>
  <c r="K79" i="8"/>
  <c r="P26" i="8" s="1"/>
  <c r="K77" i="8"/>
  <c r="P24" i="8" s="1"/>
  <c r="T24" i="8" s="1"/>
  <c r="K155" i="8"/>
  <c r="K154" i="8"/>
  <c r="G80" i="8"/>
  <c r="G85" i="8"/>
  <c r="I81" i="8"/>
  <c r="K80" i="8"/>
  <c r="P27" i="8" s="1"/>
  <c r="I157" i="8"/>
  <c r="K156" i="8"/>
  <c r="Q27" i="8" s="1"/>
  <c r="I293" i="8"/>
  <c r="K292" i="8"/>
  <c r="S26" i="8" s="1"/>
  <c r="I233" i="8"/>
  <c r="K232" i="8"/>
  <c r="R27" i="8" s="1"/>
  <c r="Q25" i="8" l="1"/>
  <c r="T25" i="8" s="1"/>
  <c r="Q26" i="8"/>
  <c r="T26" i="8" s="1"/>
  <c r="G79" i="8"/>
  <c r="G86" i="8"/>
  <c r="I234" i="8"/>
  <c r="K233" i="8"/>
  <c r="R28" i="8" s="1"/>
  <c r="I294" i="8"/>
  <c r="K293" i="8"/>
  <c r="S27" i="8" s="1"/>
  <c r="T27" i="8" s="1"/>
  <c r="I158" i="8"/>
  <c r="K157" i="8"/>
  <c r="Q28" i="8" s="1"/>
  <c r="I82" i="8"/>
  <c r="K81" i="8"/>
  <c r="P28" i="8" s="1"/>
  <c r="G77" i="8" l="1"/>
  <c r="G78" i="8"/>
  <c r="G87" i="8"/>
  <c r="I83" i="8"/>
  <c r="K82" i="8"/>
  <c r="P29" i="8" s="1"/>
  <c r="I159" i="8"/>
  <c r="K158" i="8"/>
  <c r="Q29" i="8" s="1"/>
  <c r="I295" i="8"/>
  <c r="K294" i="8"/>
  <c r="S28" i="8" s="1"/>
  <c r="T28" i="8" s="1"/>
  <c r="I235" i="8"/>
  <c r="K234" i="8"/>
  <c r="R29" i="8" s="1"/>
  <c r="G88" i="8" l="1"/>
  <c r="I236" i="8"/>
  <c r="K235" i="8"/>
  <c r="R30" i="8" s="1"/>
  <c r="I296" i="8"/>
  <c r="K295" i="8"/>
  <c r="S29" i="8" s="1"/>
  <c r="T29" i="8" s="1"/>
  <c r="I160" i="8"/>
  <c r="K159" i="8"/>
  <c r="Q30" i="8" s="1"/>
  <c r="I84" i="8"/>
  <c r="F33" i="8" s="1"/>
  <c r="K83" i="8"/>
  <c r="P30" i="8" s="1"/>
  <c r="G89" i="8" l="1"/>
  <c r="I85" i="8"/>
  <c r="K84" i="8"/>
  <c r="P31" i="8" s="1"/>
  <c r="I161" i="8"/>
  <c r="K160" i="8"/>
  <c r="Q31" i="8" s="1"/>
  <c r="I297" i="8"/>
  <c r="K296" i="8"/>
  <c r="S30" i="8" s="1"/>
  <c r="T30" i="8" s="1"/>
  <c r="I237" i="8"/>
  <c r="K236" i="8"/>
  <c r="R31" i="8" s="1"/>
  <c r="G90" i="8" l="1"/>
  <c r="I238" i="8"/>
  <c r="K237" i="8"/>
  <c r="R32" i="8" s="1"/>
  <c r="I298" i="8"/>
  <c r="K297" i="8"/>
  <c r="S31" i="8" s="1"/>
  <c r="T31" i="8" s="1"/>
  <c r="I162" i="8"/>
  <c r="K161" i="8"/>
  <c r="Q32" i="8" s="1"/>
  <c r="I86" i="8"/>
  <c r="K85" i="8"/>
  <c r="P32" i="8" s="1"/>
  <c r="G91" i="8" l="1"/>
  <c r="I87" i="8"/>
  <c r="K86" i="8"/>
  <c r="P33" i="8" s="1"/>
  <c r="I163" i="8"/>
  <c r="K162" i="8"/>
  <c r="Q33" i="8" s="1"/>
  <c r="I299" i="8"/>
  <c r="K298" i="8"/>
  <c r="S32" i="8" s="1"/>
  <c r="T32" i="8" s="1"/>
  <c r="I239" i="8"/>
  <c r="K238" i="8"/>
  <c r="R33" i="8" s="1"/>
  <c r="G93" i="8" l="1"/>
  <c r="G92" i="8"/>
  <c r="I240" i="8"/>
  <c r="K239" i="8"/>
  <c r="R34" i="8" s="1"/>
  <c r="I300" i="8"/>
  <c r="K299" i="8"/>
  <c r="S33" i="8" s="1"/>
  <c r="T33" i="8" s="1"/>
  <c r="I164" i="8"/>
  <c r="K163" i="8"/>
  <c r="Q34" i="8" s="1"/>
  <c r="I88" i="8"/>
  <c r="K87" i="8"/>
  <c r="P34" i="8" s="1"/>
  <c r="I89" i="8" l="1"/>
  <c r="K88" i="8"/>
  <c r="P35" i="8" s="1"/>
  <c r="I165" i="8"/>
  <c r="K164" i="8"/>
  <c r="Q35" i="8" s="1"/>
  <c r="I301" i="8"/>
  <c r="K300" i="8"/>
  <c r="S34" i="8" s="1"/>
  <c r="T34" i="8" s="1"/>
  <c r="I241" i="8"/>
  <c r="K240" i="8"/>
  <c r="R35" i="8" s="1"/>
  <c r="I242" i="8" l="1"/>
  <c r="K241" i="8"/>
  <c r="R36" i="8" s="1"/>
  <c r="I302" i="8"/>
  <c r="K301" i="8"/>
  <c r="S35" i="8" s="1"/>
  <c r="T35" i="8" s="1"/>
  <c r="I166" i="8"/>
  <c r="K165" i="8"/>
  <c r="Q36" i="8" s="1"/>
  <c r="I90" i="8"/>
  <c r="K89" i="8"/>
  <c r="P36" i="8" s="1"/>
  <c r="I91" i="8" l="1"/>
  <c r="K90" i="8"/>
  <c r="P37" i="8" s="1"/>
  <c r="I167" i="8"/>
  <c r="K166" i="8"/>
  <c r="Q37" i="8" s="1"/>
  <c r="I303" i="8"/>
  <c r="K302" i="8"/>
  <c r="S36" i="8" s="1"/>
  <c r="T36" i="8" s="1"/>
  <c r="I243" i="8"/>
  <c r="K242" i="8"/>
  <c r="R37" i="8" s="1"/>
  <c r="I244" i="8" l="1"/>
  <c r="K243" i="8"/>
  <c r="R38" i="8" s="1"/>
  <c r="I304" i="8"/>
  <c r="K303" i="8"/>
  <c r="S37" i="8" s="1"/>
  <c r="T37" i="8" s="1"/>
  <c r="I168" i="8"/>
  <c r="K167" i="8"/>
  <c r="Q38" i="8" s="1"/>
  <c r="I92" i="8"/>
  <c r="K91" i="8"/>
  <c r="P38" i="8" s="1"/>
  <c r="I93" i="8" l="1"/>
  <c r="K92" i="8"/>
  <c r="P39" i="8" s="1"/>
  <c r="I169" i="8"/>
  <c r="K168" i="8"/>
  <c r="Q39" i="8" s="1"/>
  <c r="I305" i="8"/>
  <c r="K304" i="8"/>
  <c r="S38" i="8" s="1"/>
  <c r="T38" i="8" s="1"/>
  <c r="I245" i="8"/>
  <c r="K244" i="8"/>
  <c r="R39" i="8" s="1"/>
  <c r="G182" i="8" l="1"/>
  <c r="K245" i="8"/>
  <c r="R40" i="8" s="1"/>
  <c r="G180" i="8"/>
  <c r="F178" i="8"/>
  <c r="I306" i="8"/>
  <c r="K305" i="8"/>
  <c r="S39" i="8" s="1"/>
  <c r="T39" i="8" s="1"/>
  <c r="G106" i="8"/>
  <c r="K169" i="8"/>
  <c r="Q40" i="8" s="1"/>
  <c r="G104" i="8"/>
  <c r="F102" i="8"/>
  <c r="G30" i="8"/>
  <c r="K93" i="8"/>
  <c r="P40" i="8" s="1"/>
  <c r="G28" i="8"/>
  <c r="F26" i="8"/>
  <c r="K306" i="8" l="1"/>
  <c r="F254" i="8"/>
  <c r="F11" i="8" l="1"/>
  <c r="F14" i="8" s="1"/>
  <c r="S40" i="8"/>
  <c r="T40" i="8" s="1"/>
  <c r="G306" i="7"/>
  <c r="G305" i="7"/>
  <c r="G304" i="7"/>
  <c r="G303" i="7"/>
  <c r="G302" i="7"/>
  <c r="G301" i="7"/>
  <c r="G300" i="7"/>
  <c r="G299" i="7"/>
  <c r="G298" i="7"/>
  <c r="G297" i="7"/>
  <c r="G296" i="7"/>
  <c r="G295" i="7"/>
  <c r="G294" i="7"/>
  <c r="G293" i="7"/>
  <c r="G292" i="7"/>
  <c r="G291" i="7"/>
  <c r="I290" i="7"/>
  <c r="G290" i="7"/>
  <c r="F257" i="7"/>
  <c r="G245" i="7"/>
  <c r="G244" i="7"/>
  <c r="G243" i="7"/>
  <c r="G242" i="7"/>
  <c r="G241" i="7"/>
  <c r="G240" i="7"/>
  <c r="G239" i="7"/>
  <c r="G238" i="7"/>
  <c r="G237" i="7"/>
  <c r="G236" i="7"/>
  <c r="G235" i="7"/>
  <c r="G234" i="7"/>
  <c r="G233" i="7"/>
  <c r="G232" i="7"/>
  <c r="G231" i="7"/>
  <c r="G230" i="7"/>
  <c r="I229" i="7"/>
  <c r="I230" i="7" s="1"/>
  <c r="G229" i="7"/>
  <c r="G213" i="7"/>
  <c r="G169" i="7"/>
  <c r="G168" i="7"/>
  <c r="G167" i="7"/>
  <c r="G166" i="7"/>
  <c r="G165" i="7"/>
  <c r="G164" i="7"/>
  <c r="G163" i="7"/>
  <c r="G162" i="7"/>
  <c r="G161" i="7"/>
  <c r="G160" i="7"/>
  <c r="G159" i="7"/>
  <c r="G158" i="7"/>
  <c r="G157" i="7"/>
  <c r="G156" i="7"/>
  <c r="G155" i="7"/>
  <c r="G154" i="7"/>
  <c r="I153" i="7"/>
  <c r="I154" i="7" s="1"/>
  <c r="G153" i="7"/>
  <c r="G129" i="7"/>
  <c r="E78" i="7"/>
  <c r="G78" i="7" s="1"/>
  <c r="I77" i="7"/>
  <c r="G77" i="7"/>
  <c r="G61" i="7"/>
  <c r="G59" i="7"/>
  <c r="F36" i="7"/>
  <c r="F13" i="7"/>
  <c r="G211" i="7" l="1"/>
  <c r="G205" i="7"/>
  <c r="G51" i="7"/>
  <c r="I78" i="7"/>
  <c r="E79" i="7"/>
  <c r="G137" i="7"/>
  <c r="I231" i="7"/>
  <c r="G53" i="7"/>
  <c r="G135" i="7"/>
  <c r="I155" i="7"/>
  <c r="I291" i="7"/>
  <c r="K290" i="7"/>
  <c r="S24" i="7" s="1"/>
  <c r="G127" i="7"/>
  <c r="G203" i="7"/>
  <c r="F215" i="7" l="1"/>
  <c r="K229" i="7" s="1"/>
  <c r="R24" i="7" s="1"/>
  <c r="F139" i="7"/>
  <c r="K153" i="7" s="1"/>
  <c r="Q24" i="7" s="1"/>
  <c r="I292" i="7"/>
  <c r="K291" i="7"/>
  <c r="S25" i="7" s="1"/>
  <c r="I156" i="7"/>
  <c r="I232" i="7"/>
  <c r="G79" i="7"/>
  <c r="E80" i="7"/>
  <c r="F63" i="7"/>
  <c r="K78" i="7" s="1"/>
  <c r="P25" i="7" s="1"/>
  <c r="I79" i="7"/>
  <c r="F185" i="7" l="1"/>
  <c r="K231" i="7"/>
  <c r="R26" i="7" s="1"/>
  <c r="K230" i="7"/>
  <c r="R25" i="7" s="1"/>
  <c r="K154" i="7"/>
  <c r="K155" i="7"/>
  <c r="Q26" i="7" s="1"/>
  <c r="F109" i="7"/>
  <c r="K77" i="7"/>
  <c r="P24" i="7" s="1"/>
  <c r="T24" i="7" s="1"/>
  <c r="I233" i="7"/>
  <c r="K232" i="7"/>
  <c r="R27" i="7" s="1"/>
  <c r="I157" i="7"/>
  <c r="K156" i="7"/>
  <c r="Q27" i="7" s="1"/>
  <c r="I293" i="7"/>
  <c r="K292" i="7"/>
  <c r="S26" i="7" s="1"/>
  <c r="K79" i="7"/>
  <c r="P26" i="7" s="1"/>
  <c r="I80" i="7"/>
  <c r="G80" i="7"/>
  <c r="E81" i="7"/>
  <c r="T26" i="7" l="1"/>
  <c r="Q25" i="7"/>
  <c r="T25" i="7" s="1"/>
  <c r="I294" i="7"/>
  <c r="K293" i="7"/>
  <c r="S27" i="7" s="1"/>
  <c r="I234" i="7"/>
  <c r="K233" i="7"/>
  <c r="R28" i="7" s="1"/>
  <c r="I158" i="7"/>
  <c r="K157" i="7"/>
  <c r="Q28" i="7" s="1"/>
  <c r="E82" i="7"/>
  <c r="G81" i="7"/>
  <c r="I81" i="7"/>
  <c r="K80" i="7"/>
  <c r="P27" i="7" s="1"/>
  <c r="T27" i="7" s="1"/>
  <c r="I82" i="7" l="1"/>
  <c r="K81" i="7"/>
  <c r="P28" i="7" s="1"/>
  <c r="E83" i="7"/>
  <c r="G82" i="7"/>
  <c r="I159" i="7"/>
  <c r="K158" i="7"/>
  <c r="Q29" i="7" s="1"/>
  <c r="I235" i="7"/>
  <c r="K234" i="7"/>
  <c r="R29" i="7" s="1"/>
  <c r="I295" i="7"/>
  <c r="K294" i="7"/>
  <c r="S28" i="7" s="1"/>
  <c r="T28" i="7" l="1"/>
  <c r="I296" i="7"/>
  <c r="K295" i="7"/>
  <c r="S29" i="7" s="1"/>
  <c r="I236" i="7"/>
  <c r="K235" i="7"/>
  <c r="R30" i="7" s="1"/>
  <c r="I160" i="7"/>
  <c r="K159" i="7"/>
  <c r="Q30" i="7" s="1"/>
  <c r="E84" i="7"/>
  <c r="G83" i="7"/>
  <c r="I83" i="7"/>
  <c r="K82" i="7"/>
  <c r="P29" i="7" s="1"/>
  <c r="T29" i="7" s="1"/>
  <c r="I84" i="7" l="1"/>
  <c r="K83" i="7"/>
  <c r="P30" i="7" s="1"/>
  <c r="F33" i="7"/>
  <c r="E85" i="7"/>
  <c r="G84" i="7"/>
  <c r="I161" i="7"/>
  <c r="K160" i="7"/>
  <c r="Q31" i="7" s="1"/>
  <c r="I237" i="7"/>
  <c r="K236" i="7"/>
  <c r="R31" i="7" s="1"/>
  <c r="I297" i="7"/>
  <c r="K296" i="7"/>
  <c r="S30" i="7" s="1"/>
  <c r="T30" i="7" l="1"/>
  <c r="I298" i="7"/>
  <c r="K297" i="7"/>
  <c r="S31" i="7" s="1"/>
  <c r="I238" i="7"/>
  <c r="K237" i="7"/>
  <c r="R32" i="7" s="1"/>
  <c r="I162" i="7"/>
  <c r="K161" i="7"/>
  <c r="Q32" i="7" s="1"/>
  <c r="E86" i="7"/>
  <c r="G85" i="7"/>
  <c r="I85" i="7"/>
  <c r="K84" i="7"/>
  <c r="P31" i="7" s="1"/>
  <c r="T31" i="7" s="1"/>
  <c r="I86" i="7" l="1"/>
  <c r="K85" i="7"/>
  <c r="P32" i="7" s="1"/>
  <c r="E87" i="7"/>
  <c r="G86" i="7"/>
  <c r="I163" i="7"/>
  <c r="K162" i="7"/>
  <c r="Q33" i="7" s="1"/>
  <c r="I239" i="7"/>
  <c r="K238" i="7"/>
  <c r="R33" i="7" s="1"/>
  <c r="I299" i="7"/>
  <c r="K298" i="7"/>
  <c r="S32" i="7" s="1"/>
  <c r="T32" i="7" l="1"/>
  <c r="I300" i="7"/>
  <c r="K299" i="7"/>
  <c r="S33" i="7" s="1"/>
  <c r="I240" i="7"/>
  <c r="K239" i="7"/>
  <c r="R34" i="7" s="1"/>
  <c r="I164" i="7"/>
  <c r="K163" i="7"/>
  <c r="Q34" i="7" s="1"/>
  <c r="E88" i="7"/>
  <c r="G87" i="7"/>
  <c r="I87" i="7"/>
  <c r="K86" i="7"/>
  <c r="P33" i="7" s="1"/>
  <c r="T33" i="7" s="1"/>
  <c r="I88" i="7" l="1"/>
  <c r="K87" i="7"/>
  <c r="P34" i="7" s="1"/>
  <c r="E89" i="7"/>
  <c r="G88" i="7"/>
  <c r="I165" i="7"/>
  <c r="K164" i="7"/>
  <c r="Q35" i="7" s="1"/>
  <c r="I241" i="7"/>
  <c r="K240" i="7"/>
  <c r="R35" i="7" s="1"/>
  <c r="I301" i="7"/>
  <c r="K300" i="7"/>
  <c r="S34" i="7" s="1"/>
  <c r="T34" i="7" l="1"/>
  <c r="I302" i="7"/>
  <c r="K301" i="7"/>
  <c r="S35" i="7" s="1"/>
  <c r="I242" i="7"/>
  <c r="K241" i="7"/>
  <c r="R36" i="7" s="1"/>
  <c r="I166" i="7"/>
  <c r="K165" i="7"/>
  <c r="Q36" i="7" s="1"/>
  <c r="E90" i="7"/>
  <c r="G89" i="7"/>
  <c r="I89" i="7"/>
  <c r="K88" i="7"/>
  <c r="P35" i="7" s="1"/>
  <c r="T35" i="7" s="1"/>
  <c r="I90" i="7" l="1"/>
  <c r="K89" i="7"/>
  <c r="P36" i="7" s="1"/>
  <c r="E91" i="7"/>
  <c r="G90" i="7"/>
  <c r="I167" i="7"/>
  <c r="K166" i="7"/>
  <c r="Q37" i="7" s="1"/>
  <c r="I243" i="7"/>
  <c r="K242" i="7"/>
  <c r="R37" i="7" s="1"/>
  <c r="I303" i="7"/>
  <c r="K302" i="7"/>
  <c r="S36" i="7" s="1"/>
  <c r="T36" i="7" l="1"/>
  <c r="I304" i="7"/>
  <c r="K303" i="7"/>
  <c r="S37" i="7" s="1"/>
  <c r="I244" i="7"/>
  <c r="K243" i="7"/>
  <c r="R38" i="7" s="1"/>
  <c r="I168" i="7"/>
  <c r="K167" i="7"/>
  <c r="Q38" i="7" s="1"/>
  <c r="E92" i="7"/>
  <c r="G91" i="7"/>
  <c r="I91" i="7"/>
  <c r="K90" i="7"/>
  <c r="P37" i="7" s="1"/>
  <c r="T37" i="7" s="1"/>
  <c r="I92" i="7" l="1"/>
  <c r="K91" i="7"/>
  <c r="P38" i="7" s="1"/>
  <c r="E93" i="7"/>
  <c r="G93" i="7" s="1"/>
  <c r="G92" i="7"/>
  <c r="I169" i="7"/>
  <c r="K168" i="7"/>
  <c r="Q39" i="7" s="1"/>
  <c r="I245" i="7"/>
  <c r="K244" i="7"/>
  <c r="R39" i="7" s="1"/>
  <c r="I305" i="7"/>
  <c r="K304" i="7"/>
  <c r="S38" i="7" s="1"/>
  <c r="T38" i="7" l="1"/>
  <c r="I306" i="7"/>
  <c r="K305" i="7"/>
  <c r="S39" i="7" s="1"/>
  <c r="G182" i="7"/>
  <c r="K245" i="7"/>
  <c r="R40" i="7" s="1"/>
  <c r="G180" i="7"/>
  <c r="F178" i="7"/>
  <c r="G106" i="7"/>
  <c r="K169" i="7"/>
  <c r="Q40" i="7" s="1"/>
  <c r="G104" i="7"/>
  <c r="F102" i="7"/>
  <c r="I93" i="7"/>
  <c r="K92" i="7"/>
  <c r="P39" i="7" s="1"/>
  <c r="T39" i="7" s="1"/>
  <c r="G30" i="7" l="1"/>
  <c r="K93" i="7"/>
  <c r="P40" i="7" s="1"/>
  <c r="G28" i="7"/>
  <c r="F26" i="7"/>
  <c r="K306" i="7"/>
  <c r="S40" i="7" s="1"/>
  <c r="F254" i="7"/>
  <c r="T40" i="7" l="1"/>
  <c r="F11" i="7"/>
  <c r="F14" i="7" s="1"/>
  <c r="F36" i="6" l="1"/>
  <c r="G306" i="6"/>
  <c r="G305" i="6"/>
  <c r="G304" i="6"/>
  <c r="G303" i="6"/>
  <c r="G302" i="6"/>
  <c r="G301" i="6"/>
  <c r="G300" i="6"/>
  <c r="G299" i="6"/>
  <c r="G298" i="6"/>
  <c r="G297" i="6"/>
  <c r="G296" i="6"/>
  <c r="G295" i="6"/>
  <c r="G294" i="6"/>
  <c r="G293" i="6"/>
  <c r="G292" i="6"/>
  <c r="G291" i="6"/>
  <c r="I290" i="6"/>
  <c r="G290" i="6"/>
  <c r="F257" i="6"/>
  <c r="G245" i="6"/>
  <c r="G244" i="6"/>
  <c r="G243" i="6"/>
  <c r="G242" i="6"/>
  <c r="G241" i="6"/>
  <c r="G240" i="6"/>
  <c r="G239" i="6"/>
  <c r="G238" i="6"/>
  <c r="G237" i="6"/>
  <c r="G236" i="6"/>
  <c r="G235" i="6"/>
  <c r="G234" i="6"/>
  <c r="G233" i="6"/>
  <c r="G232" i="6"/>
  <c r="G231" i="6"/>
  <c r="G230" i="6"/>
  <c r="I229" i="6"/>
  <c r="I230" i="6" s="1"/>
  <c r="G229" i="6"/>
  <c r="G213" i="6"/>
  <c r="G169" i="6"/>
  <c r="G168" i="6"/>
  <c r="G167" i="6"/>
  <c r="G166" i="6"/>
  <c r="G165" i="6"/>
  <c r="G164" i="6"/>
  <c r="G163" i="6"/>
  <c r="G162" i="6"/>
  <c r="G161" i="6"/>
  <c r="G160" i="6"/>
  <c r="G159" i="6"/>
  <c r="G158" i="6"/>
  <c r="G157" i="6"/>
  <c r="G156" i="6"/>
  <c r="G155" i="6"/>
  <c r="G154" i="6"/>
  <c r="I153" i="6"/>
  <c r="I154" i="6" s="1"/>
  <c r="G153" i="6"/>
  <c r="G129" i="6"/>
  <c r="F93" i="6"/>
  <c r="F92" i="6"/>
  <c r="F91" i="6"/>
  <c r="F90" i="6"/>
  <c r="F89" i="6"/>
  <c r="F88" i="6"/>
  <c r="F87" i="6"/>
  <c r="F86" i="6"/>
  <c r="F85" i="6"/>
  <c r="F84" i="6"/>
  <c r="F83" i="6"/>
  <c r="H93" i="6" s="1"/>
  <c r="F82" i="6"/>
  <c r="H92" i="6" s="1"/>
  <c r="F81" i="6"/>
  <c r="H91" i="6" s="1"/>
  <c r="F80" i="6"/>
  <c r="H90" i="6" s="1"/>
  <c r="F79" i="6"/>
  <c r="H89" i="6" s="1"/>
  <c r="E78" i="6"/>
  <c r="G78" i="6" s="1"/>
  <c r="I77" i="6"/>
  <c r="G77" i="6"/>
  <c r="G61" i="6"/>
  <c r="F13" i="6"/>
  <c r="G59" i="6" l="1"/>
  <c r="G211" i="6"/>
  <c r="G205" i="6"/>
  <c r="G51" i="6"/>
  <c r="I78" i="6"/>
  <c r="E79" i="6"/>
  <c r="G137" i="6"/>
  <c r="I231" i="6"/>
  <c r="G53" i="6"/>
  <c r="G135" i="6"/>
  <c r="I155" i="6"/>
  <c r="I291" i="6"/>
  <c r="K290" i="6"/>
  <c r="S24" i="6" s="1"/>
  <c r="G127" i="6"/>
  <c r="G203" i="6"/>
  <c r="F63" i="6" l="1"/>
  <c r="F215" i="6"/>
  <c r="F185" i="6" s="1"/>
  <c r="F139" i="6"/>
  <c r="K153" i="6" s="1"/>
  <c r="Q24" i="6" s="1"/>
  <c r="I292" i="6"/>
  <c r="K291" i="6"/>
  <c r="S25" i="6" s="1"/>
  <c r="I156" i="6"/>
  <c r="I232" i="6"/>
  <c r="K231" i="6"/>
  <c r="R26" i="6" s="1"/>
  <c r="E80" i="6"/>
  <c r="G79" i="6"/>
  <c r="I79" i="6"/>
  <c r="K229" i="6" l="1"/>
  <c r="R24" i="6" s="1"/>
  <c r="K230" i="6"/>
  <c r="R25" i="6" s="1"/>
  <c r="K155" i="6"/>
  <c r="Q26" i="6" s="1"/>
  <c r="F109" i="6"/>
  <c r="K154" i="6"/>
  <c r="Q25" i="6" s="1"/>
  <c r="I80" i="6"/>
  <c r="K79" i="6"/>
  <c r="P26" i="6" s="1"/>
  <c r="K77" i="6"/>
  <c r="P24" i="6" s="1"/>
  <c r="G80" i="6"/>
  <c r="E81" i="6"/>
  <c r="I233" i="6"/>
  <c r="K232" i="6"/>
  <c r="R27" i="6" s="1"/>
  <c r="I157" i="6"/>
  <c r="K156" i="6"/>
  <c r="Q27" i="6" s="1"/>
  <c r="I293" i="6"/>
  <c r="K292" i="6"/>
  <c r="S26" i="6" s="1"/>
  <c r="K78" i="6"/>
  <c r="P25" i="6" s="1"/>
  <c r="T26" i="6" l="1"/>
  <c r="T24" i="6"/>
  <c r="T25" i="6"/>
  <c r="I294" i="6"/>
  <c r="K293" i="6"/>
  <c r="S27" i="6" s="1"/>
  <c r="I158" i="6"/>
  <c r="K157" i="6"/>
  <c r="Q28" i="6" s="1"/>
  <c r="I234" i="6"/>
  <c r="K233" i="6"/>
  <c r="R28" i="6" s="1"/>
  <c r="E82" i="6"/>
  <c r="G81" i="6"/>
  <c r="I81" i="6"/>
  <c r="K80" i="6"/>
  <c r="P27" i="6" s="1"/>
  <c r="T27" i="6" s="1"/>
  <c r="I82" i="6" l="1"/>
  <c r="K81" i="6"/>
  <c r="P28" i="6" s="1"/>
  <c r="G82" i="6"/>
  <c r="E83" i="6"/>
  <c r="I235" i="6"/>
  <c r="K234" i="6"/>
  <c r="R29" i="6" s="1"/>
  <c r="I159" i="6"/>
  <c r="K158" i="6"/>
  <c r="Q29" i="6" s="1"/>
  <c r="I295" i="6"/>
  <c r="K294" i="6"/>
  <c r="S28" i="6" s="1"/>
  <c r="T28" i="6" l="1"/>
  <c r="E84" i="6"/>
  <c r="G83" i="6"/>
  <c r="I296" i="6"/>
  <c r="K295" i="6"/>
  <c r="S29" i="6" s="1"/>
  <c r="I160" i="6"/>
  <c r="K159" i="6"/>
  <c r="Q30" i="6" s="1"/>
  <c r="I236" i="6"/>
  <c r="K235" i="6"/>
  <c r="R30" i="6" s="1"/>
  <c r="I83" i="6"/>
  <c r="K82" i="6"/>
  <c r="P29" i="6" s="1"/>
  <c r="T29" i="6" s="1"/>
  <c r="F33" i="6"/>
  <c r="I84" i="6" l="1"/>
  <c r="K83" i="6"/>
  <c r="P30" i="6" s="1"/>
  <c r="I237" i="6"/>
  <c r="K236" i="6"/>
  <c r="R31" i="6" s="1"/>
  <c r="I161" i="6"/>
  <c r="K160" i="6"/>
  <c r="Q31" i="6" s="1"/>
  <c r="I297" i="6"/>
  <c r="K296" i="6"/>
  <c r="S30" i="6" s="1"/>
  <c r="E85" i="6"/>
  <c r="G84" i="6"/>
  <c r="T30" i="6" l="1"/>
  <c r="G85" i="6"/>
  <c r="E86" i="6"/>
  <c r="I298" i="6"/>
  <c r="K297" i="6"/>
  <c r="S31" i="6" s="1"/>
  <c r="I162" i="6"/>
  <c r="K161" i="6"/>
  <c r="Q32" i="6" s="1"/>
  <c r="I238" i="6"/>
  <c r="K237" i="6"/>
  <c r="R32" i="6" s="1"/>
  <c r="I85" i="6"/>
  <c r="K84" i="6"/>
  <c r="P31" i="6" s="1"/>
  <c r="T31" i="6" s="1"/>
  <c r="E87" i="6" l="1"/>
  <c r="G86" i="6"/>
  <c r="I86" i="6"/>
  <c r="K85" i="6"/>
  <c r="P32" i="6" s="1"/>
  <c r="I239" i="6"/>
  <c r="K238" i="6"/>
  <c r="R33" i="6" s="1"/>
  <c r="I163" i="6"/>
  <c r="K162" i="6"/>
  <c r="Q33" i="6" s="1"/>
  <c r="I299" i="6"/>
  <c r="K298" i="6"/>
  <c r="S32" i="6" s="1"/>
  <c r="T32" i="6" l="1"/>
  <c r="I300" i="6"/>
  <c r="K299" i="6"/>
  <c r="S33" i="6" s="1"/>
  <c r="I164" i="6"/>
  <c r="K163" i="6"/>
  <c r="Q34" i="6" s="1"/>
  <c r="I240" i="6"/>
  <c r="K239" i="6"/>
  <c r="R34" i="6" s="1"/>
  <c r="I87" i="6"/>
  <c r="K86" i="6"/>
  <c r="P33" i="6" s="1"/>
  <c r="T33" i="6" s="1"/>
  <c r="G87" i="6"/>
  <c r="E88" i="6"/>
  <c r="E89" i="6" l="1"/>
  <c r="G88" i="6"/>
  <c r="I88" i="6"/>
  <c r="K87" i="6"/>
  <c r="P34" i="6" s="1"/>
  <c r="I241" i="6"/>
  <c r="K240" i="6"/>
  <c r="R35" i="6" s="1"/>
  <c r="I165" i="6"/>
  <c r="K164" i="6"/>
  <c r="Q35" i="6" s="1"/>
  <c r="I301" i="6"/>
  <c r="K300" i="6"/>
  <c r="S34" i="6" s="1"/>
  <c r="T34" i="6" l="1"/>
  <c r="I302" i="6"/>
  <c r="K301" i="6"/>
  <c r="S35" i="6" s="1"/>
  <c r="I166" i="6"/>
  <c r="K165" i="6"/>
  <c r="Q36" i="6" s="1"/>
  <c r="I242" i="6"/>
  <c r="K241" i="6"/>
  <c r="R36" i="6" s="1"/>
  <c r="I89" i="6"/>
  <c r="K88" i="6"/>
  <c r="P35" i="6" s="1"/>
  <c r="T35" i="6" s="1"/>
  <c r="E90" i="6"/>
  <c r="G89" i="6"/>
  <c r="E91" i="6" l="1"/>
  <c r="G90" i="6"/>
  <c r="I90" i="6"/>
  <c r="K89" i="6"/>
  <c r="P36" i="6" s="1"/>
  <c r="I243" i="6"/>
  <c r="K242" i="6"/>
  <c r="R37" i="6" s="1"/>
  <c r="I167" i="6"/>
  <c r="K166" i="6"/>
  <c r="Q37" i="6" s="1"/>
  <c r="I303" i="6"/>
  <c r="K302" i="6"/>
  <c r="S36" i="6" s="1"/>
  <c r="T36" i="6" l="1"/>
  <c r="I304" i="6"/>
  <c r="K303" i="6"/>
  <c r="S37" i="6" s="1"/>
  <c r="I168" i="6"/>
  <c r="K167" i="6"/>
  <c r="Q38" i="6" s="1"/>
  <c r="I244" i="6"/>
  <c r="K243" i="6"/>
  <c r="R38" i="6" s="1"/>
  <c r="I91" i="6"/>
  <c r="K90" i="6"/>
  <c r="P37" i="6" s="1"/>
  <c r="T37" i="6" s="1"/>
  <c r="E92" i="6"/>
  <c r="G91" i="6"/>
  <c r="E93" i="6" l="1"/>
  <c r="G93" i="6" s="1"/>
  <c r="G92" i="6"/>
  <c r="I92" i="6"/>
  <c r="K91" i="6"/>
  <c r="P38" i="6" s="1"/>
  <c r="I245" i="6"/>
  <c r="K244" i="6"/>
  <c r="R39" i="6" s="1"/>
  <c r="I169" i="6"/>
  <c r="K168" i="6"/>
  <c r="Q39" i="6" s="1"/>
  <c r="I305" i="6"/>
  <c r="K304" i="6"/>
  <c r="S38" i="6" s="1"/>
  <c r="T38" i="6" l="1"/>
  <c r="I306" i="6"/>
  <c r="K305" i="6"/>
  <c r="S39" i="6" s="1"/>
  <c r="G106" i="6"/>
  <c r="K169" i="6"/>
  <c r="Q40" i="6" s="1"/>
  <c r="G104" i="6"/>
  <c r="F102" i="6"/>
  <c r="G182" i="6"/>
  <c r="K245" i="6"/>
  <c r="R40" i="6" s="1"/>
  <c r="G180" i="6"/>
  <c r="F178" i="6"/>
  <c r="I93" i="6"/>
  <c r="K92" i="6"/>
  <c r="P39" i="6" s="1"/>
  <c r="T39" i="6" s="1"/>
  <c r="G28" i="6" l="1"/>
  <c r="K93" i="6"/>
  <c r="P40" i="6" s="1"/>
  <c r="G30" i="6"/>
  <c r="F26" i="6"/>
  <c r="K306" i="6"/>
  <c r="S40" i="6" s="1"/>
  <c r="F254" i="6"/>
  <c r="T40" i="6" l="1"/>
  <c r="F11" i="6"/>
  <c r="F14" i="6" s="1"/>
  <c r="G306" i="5" l="1"/>
  <c r="G305" i="5"/>
  <c r="G304" i="5"/>
  <c r="G303" i="5"/>
  <c r="G302" i="5"/>
  <c r="G301" i="5"/>
  <c r="G300" i="5"/>
  <c r="G299" i="5"/>
  <c r="G298" i="5"/>
  <c r="G297" i="5"/>
  <c r="G296" i="5"/>
  <c r="G295" i="5"/>
  <c r="G294" i="5"/>
  <c r="G293" i="5"/>
  <c r="G292" i="5"/>
  <c r="G291" i="5"/>
  <c r="I290" i="5"/>
  <c r="G290" i="5"/>
  <c r="F257" i="5"/>
  <c r="G245" i="5"/>
  <c r="G244" i="5"/>
  <c r="G243" i="5"/>
  <c r="G242" i="5"/>
  <c r="G241" i="5"/>
  <c r="G240" i="5"/>
  <c r="G239" i="5"/>
  <c r="G238" i="5"/>
  <c r="G237" i="5"/>
  <c r="G236" i="5"/>
  <c r="G235" i="5"/>
  <c r="G234" i="5"/>
  <c r="G233" i="5"/>
  <c r="G232" i="5"/>
  <c r="G231" i="5"/>
  <c r="G230" i="5"/>
  <c r="I229" i="5"/>
  <c r="I230" i="5" s="1"/>
  <c r="G229" i="5"/>
  <c r="G205" i="5"/>
  <c r="G169" i="5"/>
  <c r="G168" i="5"/>
  <c r="G167" i="5"/>
  <c r="G166" i="5"/>
  <c r="G165" i="5"/>
  <c r="G164" i="5"/>
  <c r="G163" i="5"/>
  <c r="G162" i="5"/>
  <c r="G161" i="5"/>
  <c r="G160" i="5"/>
  <c r="G159" i="5"/>
  <c r="G158" i="5"/>
  <c r="G157" i="5"/>
  <c r="G156" i="5"/>
  <c r="G155" i="5"/>
  <c r="G154" i="5"/>
  <c r="I153" i="5"/>
  <c r="I154" i="5" s="1"/>
  <c r="G153" i="5"/>
  <c r="G129" i="5"/>
  <c r="G137" i="5"/>
  <c r="G135" i="5"/>
  <c r="F93" i="5"/>
  <c r="G93" i="5" s="1"/>
  <c r="F92" i="5"/>
  <c r="G92" i="5" s="1"/>
  <c r="F91" i="5"/>
  <c r="G91" i="5" s="1"/>
  <c r="F90" i="5"/>
  <c r="G90" i="5" s="1"/>
  <c r="F89" i="5"/>
  <c r="G89" i="5" s="1"/>
  <c r="F88" i="5"/>
  <c r="G88" i="5" s="1"/>
  <c r="F87" i="5"/>
  <c r="G87" i="5" s="1"/>
  <c r="F86" i="5"/>
  <c r="G86" i="5" s="1"/>
  <c r="F85" i="5"/>
  <c r="G85" i="5" s="1"/>
  <c r="F84" i="5"/>
  <c r="G84" i="5" s="1"/>
  <c r="F83" i="5"/>
  <c r="G83" i="5" s="1"/>
  <c r="F82" i="5"/>
  <c r="G82" i="5" s="1"/>
  <c r="F81" i="5"/>
  <c r="G81" i="5" s="1"/>
  <c r="F80" i="5"/>
  <c r="G80" i="5" s="1"/>
  <c r="F79" i="5"/>
  <c r="G79" i="5" s="1"/>
  <c r="F78" i="5"/>
  <c r="G78" i="5" s="1"/>
  <c r="I77" i="5"/>
  <c r="G77" i="5"/>
  <c r="F52" i="5"/>
  <c r="G59" i="5"/>
  <c r="F13" i="5"/>
  <c r="I78" i="5" l="1"/>
  <c r="I79" i="5" s="1"/>
  <c r="I80" i="5" s="1"/>
  <c r="I81" i="5" s="1"/>
  <c r="I82" i="5" s="1"/>
  <c r="I83" i="5" s="1"/>
  <c r="I84" i="5" s="1"/>
  <c r="I85" i="5" s="1"/>
  <c r="I86" i="5" s="1"/>
  <c r="I87" i="5" s="1"/>
  <c r="I88" i="5" s="1"/>
  <c r="I89" i="5" s="1"/>
  <c r="I90" i="5" s="1"/>
  <c r="I91" i="5" s="1"/>
  <c r="I92" i="5" s="1"/>
  <c r="I93" i="5" s="1"/>
  <c r="G51" i="5"/>
  <c r="F60" i="5"/>
  <c r="G61" i="5" s="1"/>
  <c r="G53" i="5"/>
  <c r="G30" i="5"/>
  <c r="I155" i="5"/>
  <c r="G213" i="5"/>
  <c r="I291" i="5"/>
  <c r="K290" i="5"/>
  <c r="S24" i="5" s="1"/>
  <c r="G211" i="5"/>
  <c r="I231" i="5"/>
  <c r="G127" i="5"/>
  <c r="F139" i="5" s="1"/>
  <c r="K154" i="5" s="1"/>
  <c r="Q25" i="5" s="1"/>
  <c r="G203" i="5"/>
  <c r="G28" i="5" l="1"/>
  <c r="F215" i="5"/>
  <c r="K229" i="5" s="1"/>
  <c r="R24" i="5" s="1"/>
  <c r="I292" i="5"/>
  <c r="K291" i="5"/>
  <c r="S25" i="5" s="1"/>
  <c r="F109" i="5"/>
  <c r="K153" i="5"/>
  <c r="Q24" i="5" s="1"/>
  <c r="I232" i="5"/>
  <c r="I156" i="5"/>
  <c r="K155" i="5"/>
  <c r="Q26" i="5" s="1"/>
  <c r="F63" i="5"/>
  <c r="F185" i="5" l="1"/>
  <c r="K231" i="5"/>
  <c r="R26" i="5" s="1"/>
  <c r="K230" i="5"/>
  <c r="R25" i="5" s="1"/>
  <c r="F26" i="5"/>
  <c r="K77" i="5"/>
  <c r="P24" i="5" s="1"/>
  <c r="T24" i="5" s="1"/>
  <c r="F33" i="5"/>
  <c r="K78" i="5"/>
  <c r="P25" i="5" s="1"/>
  <c r="T25" i="5" s="1"/>
  <c r="K82" i="5"/>
  <c r="P29" i="5" s="1"/>
  <c r="K86" i="5"/>
  <c r="P33" i="5" s="1"/>
  <c r="K90" i="5"/>
  <c r="P37" i="5" s="1"/>
  <c r="K81" i="5"/>
  <c r="P28" i="5" s="1"/>
  <c r="K85" i="5"/>
  <c r="P32" i="5" s="1"/>
  <c r="K89" i="5"/>
  <c r="P36" i="5" s="1"/>
  <c r="K93" i="5"/>
  <c r="P40" i="5" s="1"/>
  <c r="K80" i="5"/>
  <c r="P27" i="5" s="1"/>
  <c r="K84" i="5"/>
  <c r="P31" i="5" s="1"/>
  <c r="K88" i="5"/>
  <c r="P35" i="5" s="1"/>
  <c r="K92" i="5"/>
  <c r="P39" i="5" s="1"/>
  <c r="K79" i="5"/>
  <c r="P26" i="5" s="1"/>
  <c r="K83" i="5"/>
  <c r="P30" i="5" s="1"/>
  <c r="K87" i="5"/>
  <c r="P34" i="5" s="1"/>
  <c r="K91" i="5"/>
  <c r="P38" i="5" s="1"/>
  <c r="I157" i="5"/>
  <c r="K156" i="5"/>
  <c r="Q27" i="5" s="1"/>
  <c r="I233" i="5"/>
  <c r="K232" i="5"/>
  <c r="R27" i="5" s="1"/>
  <c r="I293" i="5"/>
  <c r="K292" i="5"/>
  <c r="S26" i="5" s="1"/>
  <c r="T26" i="5" l="1"/>
  <c r="I294" i="5"/>
  <c r="K293" i="5"/>
  <c r="S27" i="5" s="1"/>
  <c r="T27" i="5" s="1"/>
  <c r="I234" i="5"/>
  <c r="K233" i="5"/>
  <c r="R28" i="5" s="1"/>
  <c r="I158" i="5"/>
  <c r="K157" i="5"/>
  <c r="Q28" i="5" s="1"/>
  <c r="I159" i="5" l="1"/>
  <c r="K158" i="5"/>
  <c r="Q29" i="5" s="1"/>
  <c r="I235" i="5"/>
  <c r="K234" i="5"/>
  <c r="R29" i="5" s="1"/>
  <c r="I295" i="5"/>
  <c r="K294" i="5"/>
  <c r="S28" i="5" s="1"/>
  <c r="T28" i="5" s="1"/>
  <c r="I296" i="5" l="1"/>
  <c r="K295" i="5"/>
  <c r="S29" i="5" s="1"/>
  <c r="T29" i="5" s="1"/>
  <c r="I236" i="5"/>
  <c r="K235" i="5"/>
  <c r="R30" i="5" s="1"/>
  <c r="I160" i="5"/>
  <c r="K159" i="5"/>
  <c r="Q30" i="5" l="1"/>
  <c r="I161" i="5"/>
  <c r="K160" i="5"/>
  <c r="Q31" i="5" s="1"/>
  <c r="I237" i="5"/>
  <c r="K236" i="5"/>
  <c r="R31" i="5" s="1"/>
  <c r="I297" i="5"/>
  <c r="K296" i="5"/>
  <c r="S30" i="5" s="1"/>
  <c r="T30" i="5" l="1"/>
  <c r="I298" i="5"/>
  <c r="K297" i="5"/>
  <c r="S31" i="5" s="1"/>
  <c r="T31" i="5" s="1"/>
  <c r="I238" i="5"/>
  <c r="K237" i="5"/>
  <c r="R32" i="5" s="1"/>
  <c r="I162" i="5"/>
  <c r="K161" i="5"/>
  <c r="Q32" i="5" l="1"/>
  <c r="I163" i="5"/>
  <c r="K162" i="5"/>
  <c r="Q33" i="5" s="1"/>
  <c r="I239" i="5"/>
  <c r="K238" i="5"/>
  <c r="R33" i="5" s="1"/>
  <c r="I299" i="5"/>
  <c r="K298" i="5"/>
  <c r="S32" i="5" s="1"/>
  <c r="T32" i="5" l="1"/>
  <c r="I300" i="5"/>
  <c r="K299" i="5"/>
  <c r="S33" i="5" s="1"/>
  <c r="T33" i="5" s="1"/>
  <c r="I240" i="5"/>
  <c r="K239" i="5"/>
  <c r="R34" i="5" s="1"/>
  <c r="I164" i="5"/>
  <c r="K163" i="5"/>
  <c r="Q34" i="5" l="1"/>
  <c r="I165" i="5"/>
  <c r="K164" i="5"/>
  <c r="Q35" i="5" s="1"/>
  <c r="I241" i="5"/>
  <c r="K240" i="5"/>
  <c r="R35" i="5" s="1"/>
  <c r="I301" i="5"/>
  <c r="K300" i="5"/>
  <c r="S34" i="5" s="1"/>
  <c r="T34" i="5" l="1"/>
  <c r="I302" i="5"/>
  <c r="K301" i="5"/>
  <c r="S35" i="5" s="1"/>
  <c r="T35" i="5" s="1"/>
  <c r="I242" i="5"/>
  <c r="K241" i="5"/>
  <c r="R36" i="5" s="1"/>
  <c r="I166" i="5"/>
  <c r="K165" i="5"/>
  <c r="Q36" i="5" l="1"/>
  <c r="I167" i="5"/>
  <c r="K166" i="5"/>
  <c r="Q37" i="5" s="1"/>
  <c r="I243" i="5"/>
  <c r="K242" i="5"/>
  <c r="R37" i="5" s="1"/>
  <c r="I303" i="5"/>
  <c r="K302" i="5"/>
  <c r="S36" i="5" s="1"/>
  <c r="T36" i="5" l="1"/>
  <c r="I304" i="5"/>
  <c r="K303" i="5"/>
  <c r="S37" i="5" s="1"/>
  <c r="T37" i="5" s="1"/>
  <c r="I244" i="5"/>
  <c r="K243" i="5"/>
  <c r="R38" i="5" s="1"/>
  <c r="I168" i="5"/>
  <c r="K167" i="5"/>
  <c r="Q38" i="5" l="1"/>
  <c r="I169" i="5"/>
  <c r="K168" i="5"/>
  <c r="Q39" i="5" s="1"/>
  <c r="I245" i="5"/>
  <c r="K244" i="5"/>
  <c r="R39" i="5" s="1"/>
  <c r="I305" i="5"/>
  <c r="K304" i="5"/>
  <c r="S38" i="5" s="1"/>
  <c r="T38" i="5" l="1"/>
  <c r="I306" i="5"/>
  <c r="K305" i="5"/>
  <c r="S39" i="5" s="1"/>
  <c r="T39" i="5" s="1"/>
  <c r="G182" i="5"/>
  <c r="K245" i="5"/>
  <c r="R40" i="5" s="1"/>
  <c r="G180" i="5"/>
  <c r="F178" i="5"/>
  <c r="G106" i="5"/>
  <c r="K169" i="5"/>
  <c r="G104" i="5"/>
  <c r="F102" i="5"/>
  <c r="Q40" i="5" l="1"/>
  <c r="T40" i="5" s="1"/>
  <c r="K306" i="5"/>
  <c r="S40" i="5" s="1"/>
  <c r="F254" i="5"/>
  <c r="F11" i="5" l="1"/>
  <c r="F14" i="5" s="1"/>
  <c r="F87" i="4"/>
  <c r="G306" i="4" l="1"/>
  <c r="G305" i="4"/>
  <c r="G304" i="4"/>
  <c r="G303" i="4"/>
  <c r="G302" i="4"/>
  <c r="G301" i="4"/>
  <c r="G300" i="4"/>
  <c r="G299" i="4"/>
  <c r="G298" i="4"/>
  <c r="G297" i="4"/>
  <c r="G296" i="4"/>
  <c r="G295" i="4"/>
  <c r="G294" i="4"/>
  <c r="G293" i="4"/>
  <c r="G292" i="4"/>
  <c r="G291" i="4"/>
  <c r="I290" i="4"/>
  <c r="G290" i="4"/>
  <c r="F257" i="4"/>
  <c r="G245" i="4"/>
  <c r="G244" i="4"/>
  <c r="G243" i="4"/>
  <c r="G242" i="4"/>
  <c r="G241" i="4"/>
  <c r="G240" i="4"/>
  <c r="G239" i="4"/>
  <c r="G238" i="4"/>
  <c r="G237" i="4"/>
  <c r="G236" i="4"/>
  <c r="G235" i="4"/>
  <c r="G234" i="4"/>
  <c r="G233" i="4"/>
  <c r="G232" i="4"/>
  <c r="G231" i="4"/>
  <c r="G230" i="4"/>
  <c r="I229" i="4"/>
  <c r="I230" i="4" s="1"/>
  <c r="G229" i="4"/>
  <c r="G213" i="4"/>
  <c r="G169" i="4"/>
  <c r="G168" i="4"/>
  <c r="G167" i="4"/>
  <c r="G166" i="4"/>
  <c r="G165" i="4"/>
  <c r="G164" i="4"/>
  <c r="G163" i="4"/>
  <c r="G162" i="4"/>
  <c r="G161" i="4"/>
  <c r="G160" i="4"/>
  <c r="G159" i="4"/>
  <c r="G158" i="4"/>
  <c r="G157" i="4"/>
  <c r="G156" i="4"/>
  <c r="G155" i="4"/>
  <c r="G154" i="4"/>
  <c r="I153" i="4"/>
  <c r="I154" i="4" s="1"/>
  <c r="G153" i="4"/>
  <c r="G129" i="4"/>
  <c r="F93" i="4"/>
  <c r="G93" i="4" s="1"/>
  <c r="F92" i="4"/>
  <c r="G92" i="4" s="1"/>
  <c r="F91" i="4"/>
  <c r="G91" i="4" s="1"/>
  <c r="F90" i="4"/>
  <c r="G90" i="4" s="1"/>
  <c r="F89" i="4"/>
  <c r="G89" i="4" s="1"/>
  <c r="F88" i="4"/>
  <c r="G88" i="4" s="1"/>
  <c r="G87" i="4"/>
  <c r="F86" i="4"/>
  <c r="G86" i="4" s="1"/>
  <c r="F85" i="4"/>
  <c r="G85" i="4" s="1"/>
  <c r="F84" i="4"/>
  <c r="G84" i="4" s="1"/>
  <c r="F83" i="4"/>
  <c r="G83" i="4" s="1"/>
  <c r="F82" i="4"/>
  <c r="G82" i="4" s="1"/>
  <c r="F81" i="4"/>
  <c r="G81" i="4" s="1"/>
  <c r="F80" i="4"/>
  <c r="G80" i="4" s="1"/>
  <c r="F79" i="4"/>
  <c r="G79" i="4" s="1"/>
  <c r="G78" i="4"/>
  <c r="I77" i="4"/>
  <c r="G77" i="4"/>
  <c r="F52" i="4"/>
  <c r="F13" i="4"/>
  <c r="G211" i="4" l="1"/>
  <c r="G205" i="4"/>
  <c r="G59" i="4"/>
  <c r="G53" i="4"/>
  <c r="G61" i="4"/>
  <c r="G137" i="4"/>
  <c r="I231" i="4"/>
  <c r="G51" i="4"/>
  <c r="I78" i="4"/>
  <c r="G135" i="4"/>
  <c r="I155" i="4"/>
  <c r="I291" i="4"/>
  <c r="K290" i="4"/>
  <c r="S24" i="4" s="1"/>
  <c r="G127" i="4"/>
  <c r="F139" i="4" s="1"/>
  <c r="G203" i="4"/>
  <c r="F215" i="4" l="1"/>
  <c r="K231" i="4" s="1"/>
  <c r="R26" i="4" s="1"/>
  <c r="F63" i="4"/>
  <c r="K77" i="4" s="1"/>
  <c r="P24" i="4" s="1"/>
  <c r="K153" i="4"/>
  <c r="Q24" i="4" s="1"/>
  <c r="F109" i="4"/>
  <c r="I292" i="4"/>
  <c r="K291" i="4"/>
  <c r="S25" i="4" s="1"/>
  <c r="I156" i="4"/>
  <c r="K155" i="4"/>
  <c r="Q26" i="4" s="1"/>
  <c r="I232" i="4"/>
  <c r="F185" i="4"/>
  <c r="K154" i="4"/>
  <c r="Q25" i="4" s="1"/>
  <c r="I79" i="4"/>
  <c r="K230" i="4"/>
  <c r="R25" i="4" s="1"/>
  <c r="K229" i="4" l="1"/>
  <c r="R24" i="4" s="1"/>
  <c r="T24" i="4" s="1"/>
  <c r="K78" i="4"/>
  <c r="P25" i="4" s="1"/>
  <c r="T25" i="4" s="1"/>
  <c r="I80" i="4"/>
  <c r="K79" i="4"/>
  <c r="P26" i="4" s="1"/>
  <c r="I233" i="4"/>
  <c r="K232" i="4"/>
  <c r="R27" i="4" s="1"/>
  <c r="I157" i="4"/>
  <c r="K156" i="4"/>
  <c r="Q27" i="4" s="1"/>
  <c r="I293" i="4"/>
  <c r="K292" i="4"/>
  <c r="S26" i="4" s="1"/>
  <c r="T26" i="4" l="1"/>
  <c r="I294" i="4"/>
  <c r="K293" i="4"/>
  <c r="S27" i="4" s="1"/>
  <c r="I158" i="4"/>
  <c r="K157" i="4"/>
  <c r="Q28" i="4" s="1"/>
  <c r="I234" i="4"/>
  <c r="K233" i="4"/>
  <c r="R28" i="4" s="1"/>
  <c r="I81" i="4"/>
  <c r="K80" i="4"/>
  <c r="P27" i="4" s="1"/>
  <c r="T27" i="4" s="1"/>
  <c r="I82" i="4" l="1"/>
  <c r="K81" i="4"/>
  <c r="P28" i="4" s="1"/>
  <c r="I235" i="4"/>
  <c r="K234" i="4"/>
  <c r="R29" i="4" s="1"/>
  <c r="I159" i="4"/>
  <c r="K158" i="4"/>
  <c r="Q29" i="4" s="1"/>
  <c r="I295" i="4"/>
  <c r="K294" i="4"/>
  <c r="S28" i="4" s="1"/>
  <c r="T28" i="4" l="1"/>
  <c r="I296" i="4"/>
  <c r="K295" i="4"/>
  <c r="S29" i="4" s="1"/>
  <c r="I160" i="4"/>
  <c r="K159" i="4"/>
  <c r="Q30" i="4" s="1"/>
  <c r="I236" i="4"/>
  <c r="K235" i="4"/>
  <c r="R30" i="4" s="1"/>
  <c r="I83" i="4"/>
  <c r="K82" i="4"/>
  <c r="P29" i="4" s="1"/>
  <c r="T29" i="4" s="1"/>
  <c r="F33" i="4"/>
  <c r="I84" i="4" l="1"/>
  <c r="K83" i="4"/>
  <c r="P30" i="4" s="1"/>
  <c r="I237" i="4"/>
  <c r="K236" i="4"/>
  <c r="R31" i="4" s="1"/>
  <c r="I161" i="4"/>
  <c r="K160" i="4"/>
  <c r="Q31" i="4" s="1"/>
  <c r="I297" i="4"/>
  <c r="K296" i="4"/>
  <c r="S30" i="4" s="1"/>
  <c r="T30" i="4" l="1"/>
  <c r="I298" i="4"/>
  <c r="K297" i="4"/>
  <c r="S31" i="4" s="1"/>
  <c r="I162" i="4"/>
  <c r="K161" i="4"/>
  <c r="Q32" i="4" s="1"/>
  <c r="I238" i="4"/>
  <c r="K237" i="4"/>
  <c r="R32" i="4" s="1"/>
  <c r="I85" i="4"/>
  <c r="K84" i="4"/>
  <c r="P31" i="4" s="1"/>
  <c r="T31" i="4" s="1"/>
  <c r="I86" i="4" l="1"/>
  <c r="K85" i="4"/>
  <c r="P32" i="4" s="1"/>
  <c r="I239" i="4"/>
  <c r="K238" i="4"/>
  <c r="R33" i="4" s="1"/>
  <c r="I163" i="4"/>
  <c r="K162" i="4"/>
  <c r="Q33" i="4" s="1"/>
  <c r="I299" i="4"/>
  <c r="K298" i="4"/>
  <c r="S32" i="4" s="1"/>
  <c r="T32" i="4" l="1"/>
  <c r="I300" i="4"/>
  <c r="K299" i="4"/>
  <c r="S33" i="4" s="1"/>
  <c r="I164" i="4"/>
  <c r="K163" i="4"/>
  <c r="Q34" i="4" s="1"/>
  <c r="I240" i="4"/>
  <c r="K239" i="4"/>
  <c r="R34" i="4" s="1"/>
  <c r="I87" i="4"/>
  <c r="K86" i="4"/>
  <c r="P33" i="4" s="1"/>
  <c r="T33" i="4" s="1"/>
  <c r="I88" i="4" l="1"/>
  <c r="K87" i="4"/>
  <c r="P34" i="4" s="1"/>
  <c r="I241" i="4"/>
  <c r="K240" i="4"/>
  <c r="R35" i="4" s="1"/>
  <c r="I165" i="4"/>
  <c r="K164" i="4"/>
  <c r="Q35" i="4" s="1"/>
  <c r="I301" i="4"/>
  <c r="K300" i="4"/>
  <c r="S34" i="4" s="1"/>
  <c r="T34" i="4" l="1"/>
  <c r="I302" i="4"/>
  <c r="K301" i="4"/>
  <c r="S35" i="4" s="1"/>
  <c r="I166" i="4"/>
  <c r="K165" i="4"/>
  <c r="Q36" i="4" s="1"/>
  <c r="I242" i="4"/>
  <c r="K241" i="4"/>
  <c r="R36" i="4" s="1"/>
  <c r="I89" i="4"/>
  <c r="K88" i="4"/>
  <c r="P35" i="4" s="1"/>
  <c r="T35" i="4" s="1"/>
  <c r="I90" i="4" l="1"/>
  <c r="K89" i="4"/>
  <c r="P36" i="4" s="1"/>
  <c r="I243" i="4"/>
  <c r="K242" i="4"/>
  <c r="R37" i="4" s="1"/>
  <c r="I167" i="4"/>
  <c r="K166" i="4"/>
  <c r="Q37" i="4" s="1"/>
  <c r="I303" i="4"/>
  <c r="K302" i="4"/>
  <c r="S36" i="4" s="1"/>
  <c r="T36" i="4" l="1"/>
  <c r="I304" i="4"/>
  <c r="K303" i="4"/>
  <c r="S37" i="4" s="1"/>
  <c r="I168" i="4"/>
  <c r="K167" i="4"/>
  <c r="Q38" i="4" s="1"/>
  <c r="I244" i="4"/>
  <c r="K243" i="4"/>
  <c r="R38" i="4" s="1"/>
  <c r="I91" i="4"/>
  <c r="K90" i="4"/>
  <c r="P37" i="4" s="1"/>
  <c r="T37" i="4" s="1"/>
  <c r="I92" i="4" l="1"/>
  <c r="K91" i="4"/>
  <c r="P38" i="4" s="1"/>
  <c r="I245" i="4"/>
  <c r="K244" i="4"/>
  <c r="R39" i="4" s="1"/>
  <c r="I169" i="4"/>
  <c r="K168" i="4"/>
  <c r="Q39" i="4" s="1"/>
  <c r="I305" i="4"/>
  <c r="K304" i="4"/>
  <c r="S38" i="4" s="1"/>
  <c r="T38" i="4" l="1"/>
  <c r="I306" i="4"/>
  <c r="K305" i="4"/>
  <c r="S39" i="4" s="1"/>
  <c r="G106" i="4"/>
  <c r="K169" i="4"/>
  <c r="Q40" i="4" s="1"/>
  <c r="G104" i="4"/>
  <c r="F102" i="4"/>
  <c r="G182" i="4"/>
  <c r="K245" i="4"/>
  <c r="R40" i="4" s="1"/>
  <c r="G180" i="4"/>
  <c r="F178" i="4"/>
  <c r="I93" i="4"/>
  <c r="K92" i="4"/>
  <c r="P39" i="4" s="1"/>
  <c r="T39" i="4" s="1"/>
  <c r="G30" i="4" l="1"/>
  <c r="K93" i="4"/>
  <c r="P40" i="4" s="1"/>
  <c r="G28" i="4"/>
  <c r="F26" i="4"/>
  <c r="K306" i="4"/>
  <c r="S40" i="4" s="1"/>
  <c r="F254" i="4"/>
  <c r="T40" i="4" l="1"/>
  <c r="F11" i="4"/>
  <c r="F14" i="4" s="1"/>
  <c r="F60" i="3"/>
  <c r="G306" i="3" l="1"/>
  <c r="G305" i="3"/>
  <c r="G304" i="3"/>
  <c r="G303" i="3"/>
  <c r="G302" i="3"/>
  <c r="G301" i="3"/>
  <c r="G300" i="3"/>
  <c r="G299" i="3"/>
  <c r="G298" i="3"/>
  <c r="G297" i="3"/>
  <c r="G296" i="3"/>
  <c r="G295" i="3"/>
  <c r="G294" i="3"/>
  <c r="G293" i="3"/>
  <c r="G292" i="3"/>
  <c r="G291" i="3"/>
  <c r="I290" i="3"/>
  <c r="G290" i="3"/>
  <c r="F257" i="3"/>
  <c r="G245" i="3"/>
  <c r="G244" i="3"/>
  <c r="G243" i="3"/>
  <c r="G242" i="3"/>
  <c r="G241" i="3"/>
  <c r="G240" i="3"/>
  <c r="G239" i="3"/>
  <c r="G238" i="3"/>
  <c r="G237" i="3"/>
  <c r="G236" i="3"/>
  <c r="G235" i="3"/>
  <c r="G234" i="3"/>
  <c r="G233" i="3"/>
  <c r="G232" i="3"/>
  <c r="G231" i="3"/>
  <c r="G230" i="3"/>
  <c r="I229" i="3"/>
  <c r="I230" i="3" s="1"/>
  <c r="G229" i="3"/>
  <c r="G213" i="3"/>
  <c r="G169" i="3"/>
  <c r="G168" i="3"/>
  <c r="G167" i="3"/>
  <c r="G166" i="3"/>
  <c r="G165" i="3"/>
  <c r="G164" i="3"/>
  <c r="G163" i="3"/>
  <c r="G162" i="3"/>
  <c r="G161" i="3"/>
  <c r="G160" i="3"/>
  <c r="G159" i="3"/>
  <c r="G158" i="3"/>
  <c r="G157" i="3"/>
  <c r="G156" i="3"/>
  <c r="G155" i="3"/>
  <c r="G154" i="3"/>
  <c r="I153" i="3"/>
  <c r="I154" i="3" s="1"/>
  <c r="G153" i="3"/>
  <c r="G129" i="3"/>
  <c r="E78" i="3"/>
  <c r="G78" i="3" s="1"/>
  <c r="I77" i="3"/>
  <c r="G77" i="3"/>
  <c r="F52" i="3"/>
  <c r="G53" i="3"/>
  <c r="F36" i="3"/>
  <c r="F13" i="3"/>
  <c r="G61" i="3" l="1"/>
  <c r="G59" i="3"/>
  <c r="G211" i="3"/>
  <c r="G205" i="3"/>
  <c r="G51" i="3"/>
  <c r="I78" i="3"/>
  <c r="E79" i="3"/>
  <c r="G137" i="3"/>
  <c r="I231" i="3"/>
  <c r="G135" i="3"/>
  <c r="I155" i="3"/>
  <c r="I291" i="3"/>
  <c r="K290" i="3"/>
  <c r="S24" i="3" s="1"/>
  <c r="G127" i="3"/>
  <c r="G203" i="3"/>
  <c r="F63" i="3" l="1"/>
  <c r="K78" i="3" s="1"/>
  <c r="P25" i="3" s="1"/>
  <c r="F215" i="3"/>
  <c r="F185" i="3" s="1"/>
  <c r="I232" i="3"/>
  <c r="G79" i="3"/>
  <c r="E80" i="3"/>
  <c r="F139" i="3"/>
  <c r="K155" i="3" s="1"/>
  <c r="Q26" i="3" s="1"/>
  <c r="I292" i="3"/>
  <c r="K291" i="3"/>
  <c r="S25" i="3" s="1"/>
  <c r="I156" i="3"/>
  <c r="I79" i="3"/>
  <c r="K77" i="3" l="1"/>
  <c r="P24" i="3" s="1"/>
  <c r="K230" i="3"/>
  <c r="R25" i="3" s="1"/>
  <c r="K231" i="3"/>
  <c r="R26" i="3" s="1"/>
  <c r="K229" i="3"/>
  <c r="R24" i="3" s="1"/>
  <c r="K153" i="3"/>
  <c r="F109" i="3"/>
  <c r="K154" i="3"/>
  <c r="I233" i="3"/>
  <c r="K232" i="3"/>
  <c r="R27" i="3" s="1"/>
  <c r="K79" i="3"/>
  <c r="P26" i="3" s="1"/>
  <c r="I80" i="3"/>
  <c r="I157" i="3"/>
  <c r="K156" i="3"/>
  <c r="Q27" i="3" s="1"/>
  <c r="I293" i="3"/>
  <c r="K292" i="3"/>
  <c r="S26" i="3" s="1"/>
  <c r="G80" i="3"/>
  <c r="E81" i="3"/>
  <c r="Q25" i="3" l="1"/>
  <c r="T25" i="3" s="1"/>
  <c r="Q24" i="3"/>
  <c r="T24" i="3" s="1"/>
  <c r="T26" i="3"/>
  <c r="E82" i="3"/>
  <c r="G81" i="3"/>
  <c r="I81" i="3"/>
  <c r="K80" i="3"/>
  <c r="P27" i="3" s="1"/>
  <c r="I294" i="3"/>
  <c r="K293" i="3"/>
  <c r="S27" i="3" s="1"/>
  <c r="I158" i="3"/>
  <c r="K157" i="3"/>
  <c r="Q28" i="3" s="1"/>
  <c r="I234" i="3"/>
  <c r="K233" i="3"/>
  <c r="R28" i="3" s="1"/>
  <c r="T27" i="3" l="1"/>
  <c r="I235" i="3"/>
  <c r="K234" i="3"/>
  <c r="R29" i="3" s="1"/>
  <c r="I159" i="3"/>
  <c r="K158" i="3"/>
  <c r="Q29" i="3" s="1"/>
  <c r="I295" i="3"/>
  <c r="K294" i="3"/>
  <c r="S28" i="3" s="1"/>
  <c r="I82" i="3"/>
  <c r="K81" i="3"/>
  <c r="P28" i="3" s="1"/>
  <c r="T28" i="3" s="1"/>
  <c r="E83" i="3"/>
  <c r="G82" i="3"/>
  <c r="E84" i="3" l="1"/>
  <c r="G83" i="3"/>
  <c r="I83" i="3"/>
  <c r="K82" i="3"/>
  <c r="P29" i="3" s="1"/>
  <c r="I296" i="3"/>
  <c r="K295" i="3"/>
  <c r="S29" i="3" s="1"/>
  <c r="I160" i="3"/>
  <c r="K159" i="3"/>
  <c r="Q30" i="3" s="1"/>
  <c r="I236" i="3"/>
  <c r="K235" i="3"/>
  <c r="R30" i="3" s="1"/>
  <c r="T29" i="3" l="1"/>
  <c r="I237" i="3"/>
  <c r="K236" i="3"/>
  <c r="R31" i="3" s="1"/>
  <c r="I161" i="3"/>
  <c r="K160" i="3"/>
  <c r="Q31" i="3" s="1"/>
  <c r="I297" i="3"/>
  <c r="K296" i="3"/>
  <c r="S30" i="3" s="1"/>
  <c r="I84" i="3"/>
  <c r="K83" i="3"/>
  <c r="P30" i="3" s="1"/>
  <c r="T30" i="3" s="1"/>
  <c r="E85" i="3"/>
  <c r="G84" i="3"/>
  <c r="E86" i="3" l="1"/>
  <c r="G85" i="3"/>
  <c r="I85" i="3"/>
  <c r="K84" i="3"/>
  <c r="P31" i="3" s="1"/>
  <c r="T31" i="3" s="1"/>
  <c r="F33" i="3"/>
  <c r="I298" i="3"/>
  <c r="K297" i="3"/>
  <c r="S31" i="3" s="1"/>
  <c r="I162" i="3"/>
  <c r="K161" i="3"/>
  <c r="Q32" i="3" s="1"/>
  <c r="I238" i="3"/>
  <c r="K237" i="3"/>
  <c r="R32" i="3" s="1"/>
  <c r="I239" i="3" l="1"/>
  <c r="K238" i="3"/>
  <c r="R33" i="3" s="1"/>
  <c r="I163" i="3"/>
  <c r="K162" i="3"/>
  <c r="Q33" i="3" s="1"/>
  <c r="I299" i="3"/>
  <c r="K298" i="3"/>
  <c r="S32" i="3" s="1"/>
  <c r="I86" i="3"/>
  <c r="K85" i="3"/>
  <c r="P32" i="3" s="1"/>
  <c r="T32" i="3" s="1"/>
  <c r="E87" i="3"/>
  <c r="G86" i="3"/>
  <c r="E88" i="3" l="1"/>
  <c r="G87" i="3"/>
  <c r="I87" i="3"/>
  <c r="K86" i="3"/>
  <c r="P33" i="3" s="1"/>
  <c r="I300" i="3"/>
  <c r="K299" i="3"/>
  <c r="S33" i="3" s="1"/>
  <c r="I164" i="3"/>
  <c r="K163" i="3"/>
  <c r="Q34" i="3" s="1"/>
  <c r="I240" i="3"/>
  <c r="K239" i="3"/>
  <c r="R34" i="3" s="1"/>
  <c r="T33" i="3" l="1"/>
  <c r="I241" i="3"/>
  <c r="K240" i="3"/>
  <c r="R35" i="3" s="1"/>
  <c r="I165" i="3"/>
  <c r="K164" i="3"/>
  <c r="Q35" i="3" s="1"/>
  <c r="I301" i="3"/>
  <c r="K300" i="3"/>
  <c r="S34" i="3" s="1"/>
  <c r="I88" i="3"/>
  <c r="K87" i="3"/>
  <c r="P34" i="3" s="1"/>
  <c r="T34" i="3" s="1"/>
  <c r="E89" i="3"/>
  <c r="G88" i="3"/>
  <c r="E90" i="3" l="1"/>
  <c r="G89" i="3"/>
  <c r="I89" i="3"/>
  <c r="K88" i="3"/>
  <c r="P35" i="3" s="1"/>
  <c r="I302" i="3"/>
  <c r="K301" i="3"/>
  <c r="S35" i="3" s="1"/>
  <c r="I166" i="3"/>
  <c r="K165" i="3"/>
  <c r="Q36" i="3" s="1"/>
  <c r="I242" i="3"/>
  <c r="K241" i="3"/>
  <c r="R36" i="3" s="1"/>
  <c r="T35" i="3" l="1"/>
  <c r="I243" i="3"/>
  <c r="K242" i="3"/>
  <c r="R37" i="3" s="1"/>
  <c r="I167" i="3"/>
  <c r="K166" i="3"/>
  <c r="Q37" i="3" s="1"/>
  <c r="I303" i="3"/>
  <c r="K302" i="3"/>
  <c r="S36" i="3" s="1"/>
  <c r="I90" i="3"/>
  <c r="K89" i="3"/>
  <c r="P36" i="3" s="1"/>
  <c r="T36" i="3" s="1"/>
  <c r="E91" i="3"/>
  <c r="G90" i="3"/>
  <c r="E92" i="3" l="1"/>
  <c r="G91" i="3"/>
  <c r="I91" i="3"/>
  <c r="K90" i="3"/>
  <c r="P37" i="3" s="1"/>
  <c r="I304" i="3"/>
  <c r="K303" i="3"/>
  <c r="S37" i="3" s="1"/>
  <c r="I168" i="3"/>
  <c r="K167" i="3"/>
  <c r="Q38" i="3" s="1"/>
  <c r="I244" i="3"/>
  <c r="K243" i="3"/>
  <c r="R38" i="3" s="1"/>
  <c r="T37" i="3" l="1"/>
  <c r="I245" i="3"/>
  <c r="K244" i="3"/>
  <c r="R39" i="3" s="1"/>
  <c r="I169" i="3"/>
  <c r="K168" i="3"/>
  <c r="Q39" i="3" s="1"/>
  <c r="I305" i="3"/>
  <c r="K304" i="3"/>
  <c r="S38" i="3" s="1"/>
  <c r="I92" i="3"/>
  <c r="K91" i="3"/>
  <c r="P38" i="3" s="1"/>
  <c r="T38" i="3" s="1"/>
  <c r="E93" i="3"/>
  <c r="G93" i="3" s="1"/>
  <c r="G92" i="3"/>
  <c r="I93" i="3" l="1"/>
  <c r="K92" i="3"/>
  <c r="P39" i="3" s="1"/>
  <c r="I306" i="3"/>
  <c r="K305" i="3"/>
  <c r="S39" i="3" s="1"/>
  <c r="G106" i="3"/>
  <c r="K169" i="3"/>
  <c r="Q40" i="3" s="1"/>
  <c r="G104" i="3"/>
  <c r="F102" i="3"/>
  <c r="G182" i="3"/>
  <c r="K245" i="3"/>
  <c r="R40" i="3" s="1"/>
  <c r="G180" i="3"/>
  <c r="F178" i="3"/>
  <c r="T39" i="3" l="1"/>
  <c r="K306" i="3"/>
  <c r="S40" i="3" s="1"/>
  <c r="F254" i="3"/>
  <c r="G30" i="3"/>
  <c r="K93" i="3"/>
  <c r="P40" i="3" s="1"/>
  <c r="G28" i="3"/>
  <c r="F26" i="3"/>
  <c r="T40" i="3" l="1"/>
  <c r="F11" i="3"/>
  <c r="F14" i="3" s="1"/>
  <c r="F36" i="2" l="1"/>
  <c r="G306" i="2"/>
  <c r="G305" i="2"/>
  <c r="G304" i="2"/>
  <c r="G303" i="2"/>
  <c r="G302" i="2"/>
  <c r="G301" i="2"/>
  <c r="G300" i="2"/>
  <c r="G299" i="2"/>
  <c r="G298" i="2"/>
  <c r="G297" i="2"/>
  <c r="G296" i="2"/>
  <c r="G295" i="2"/>
  <c r="G294" i="2"/>
  <c r="G293" i="2"/>
  <c r="G292" i="2"/>
  <c r="G291" i="2"/>
  <c r="I290" i="2"/>
  <c r="G290" i="2"/>
  <c r="F257" i="2"/>
  <c r="G245" i="2"/>
  <c r="G244" i="2"/>
  <c r="G243" i="2"/>
  <c r="G242" i="2"/>
  <c r="G241" i="2"/>
  <c r="G240" i="2"/>
  <c r="G239" i="2"/>
  <c r="G238" i="2"/>
  <c r="G237" i="2"/>
  <c r="G236" i="2"/>
  <c r="G235" i="2"/>
  <c r="G234" i="2"/>
  <c r="G233" i="2"/>
  <c r="G232" i="2"/>
  <c r="G231" i="2"/>
  <c r="G230" i="2"/>
  <c r="I229" i="2"/>
  <c r="I230" i="2" s="1"/>
  <c r="G229" i="2"/>
  <c r="G213" i="2"/>
  <c r="G169" i="2"/>
  <c r="G168" i="2"/>
  <c r="G167" i="2"/>
  <c r="G166" i="2"/>
  <c r="G165" i="2"/>
  <c r="G164" i="2"/>
  <c r="G163" i="2"/>
  <c r="G162" i="2"/>
  <c r="G161" i="2"/>
  <c r="G160" i="2"/>
  <c r="G159" i="2"/>
  <c r="G158" i="2"/>
  <c r="G157" i="2"/>
  <c r="G156" i="2"/>
  <c r="G155" i="2"/>
  <c r="G154" i="2"/>
  <c r="I153" i="2"/>
  <c r="I154" i="2" s="1"/>
  <c r="G153" i="2"/>
  <c r="G129" i="2"/>
  <c r="H93" i="2"/>
  <c r="G93" i="2"/>
  <c r="H92" i="2"/>
  <c r="G92" i="2"/>
  <c r="H91" i="2"/>
  <c r="G91" i="2"/>
  <c r="H90" i="2"/>
  <c r="G90" i="2"/>
  <c r="H89" i="2"/>
  <c r="G89" i="2"/>
  <c r="H88" i="2"/>
  <c r="G88" i="2"/>
  <c r="H87" i="2"/>
  <c r="G87" i="2"/>
  <c r="H86" i="2"/>
  <c r="G86" i="2"/>
  <c r="H85" i="2"/>
  <c r="G85" i="2"/>
  <c r="H84" i="2"/>
  <c r="G84" i="2"/>
  <c r="H83" i="2"/>
  <c r="G83" i="2"/>
  <c r="G82" i="2"/>
  <c r="G81" i="2"/>
  <c r="G80" i="2"/>
  <c r="G79" i="2"/>
  <c r="G78" i="2"/>
  <c r="I77" i="2"/>
  <c r="G77" i="2"/>
  <c r="F60" i="2"/>
  <c r="F52" i="2"/>
  <c r="G53" i="2"/>
  <c r="F13" i="2"/>
  <c r="G59" i="2" l="1"/>
  <c r="G61" i="2"/>
  <c r="G211" i="2"/>
  <c r="G205" i="2"/>
  <c r="G137" i="2"/>
  <c r="I231" i="2"/>
  <c r="G51" i="2"/>
  <c r="I78" i="2"/>
  <c r="G135" i="2"/>
  <c r="I155" i="2"/>
  <c r="I291" i="2"/>
  <c r="K290" i="2"/>
  <c r="S24" i="2" s="1"/>
  <c r="G127" i="2"/>
  <c r="F139" i="2" s="1"/>
  <c r="G203" i="2"/>
  <c r="F215" i="2" l="1"/>
  <c r="K231" i="2" s="1"/>
  <c r="R26" i="2" s="1"/>
  <c r="F63" i="2"/>
  <c r="K77" i="2" s="1"/>
  <c r="P24" i="2" s="1"/>
  <c r="K153" i="2"/>
  <c r="Q24" i="2" s="1"/>
  <c r="F109" i="2"/>
  <c r="I292" i="2"/>
  <c r="K291" i="2"/>
  <c r="S25" i="2" s="1"/>
  <c r="I156" i="2"/>
  <c r="K155" i="2"/>
  <c r="Q26" i="2" s="1"/>
  <c r="I232" i="2"/>
  <c r="F185" i="2"/>
  <c r="K154" i="2"/>
  <c r="Q25" i="2" s="1"/>
  <c r="I79" i="2"/>
  <c r="K230" i="2"/>
  <c r="R25" i="2" s="1"/>
  <c r="K229" i="2" l="1"/>
  <c r="R24" i="2" s="1"/>
  <c r="T24" i="2" s="1"/>
  <c r="K78" i="2"/>
  <c r="P25" i="2" s="1"/>
  <c r="T25" i="2" s="1"/>
  <c r="I80" i="2"/>
  <c r="K79" i="2"/>
  <c r="P26" i="2" s="1"/>
  <c r="I233" i="2"/>
  <c r="K232" i="2"/>
  <c r="R27" i="2" s="1"/>
  <c r="I157" i="2"/>
  <c r="K156" i="2"/>
  <c r="Q27" i="2" s="1"/>
  <c r="I293" i="2"/>
  <c r="K292" i="2"/>
  <c r="S26" i="2" s="1"/>
  <c r="T26" i="2" l="1"/>
  <c r="I294" i="2"/>
  <c r="K293" i="2"/>
  <c r="S27" i="2" s="1"/>
  <c r="I158" i="2"/>
  <c r="K157" i="2"/>
  <c r="Q28" i="2" s="1"/>
  <c r="I234" i="2"/>
  <c r="K233" i="2"/>
  <c r="R28" i="2" s="1"/>
  <c r="I81" i="2"/>
  <c r="K80" i="2"/>
  <c r="P27" i="2" s="1"/>
  <c r="T27" i="2" s="1"/>
  <c r="I82" i="2" l="1"/>
  <c r="K81" i="2"/>
  <c r="P28" i="2" s="1"/>
  <c r="I235" i="2"/>
  <c r="K234" i="2"/>
  <c r="R29" i="2" s="1"/>
  <c r="I159" i="2"/>
  <c r="K158" i="2"/>
  <c r="Q29" i="2" s="1"/>
  <c r="I295" i="2"/>
  <c r="K294" i="2"/>
  <c r="S28" i="2" s="1"/>
  <c r="T28" i="2" l="1"/>
  <c r="I296" i="2"/>
  <c r="K295" i="2"/>
  <c r="S29" i="2" s="1"/>
  <c r="I160" i="2"/>
  <c r="K159" i="2"/>
  <c r="Q30" i="2" s="1"/>
  <c r="I236" i="2"/>
  <c r="K235" i="2"/>
  <c r="R30" i="2" s="1"/>
  <c r="I83" i="2"/>
  <c r="K82" i="2"/>
  <c r="P29" i="2" s="1"/>
  <c r="T29" i="2" s="1"/>
  <c r="I84" i="2" l="1"/>
  <c r="K83" i="2"/>
  <c r="P30" i="2" s="1"/>
  <c r="I237" i="2"/>
  <c r="K236" i="2"/>
  <c r="R31" i="2" s="1"/>
  <c r="I161" i="2"/>
  <c r="K160" i="2"/>
  <c r="Q31" i="2" s="1"/>
  <c r="I297" i="2"/>
  <c r="K296" i="2"/>
  <c r="S30" i="2" s="1"/>
  <c r="T30" i="2" l="1"/>
  <c r="I298" i="2"/>
  <c r="K297" i="2"/>
  <c r="S31" i="2" s="1"/>
  <c r="I162" i="2"/>
  <c r="K161" i="2"/>
  <c r="Q32" i="2" s="1"/>
  <c r="I238" i="2"/>
  <c r="K237" i="2"/>
  <c r="R32" i="2" s="1"/>
  <c r="I85" i="2"/>
  <c r="K84" i="2"/>
  <c r="P31" i="2" s="1"/>
  <c r="T31" i="2" s="1"/>
  <c r="I86" i="2" l="1"/>
  <c r="K85" i="2"/>
  <c r="P32" i="2" s="1"/>
  <c r="I239" i="2"/>
  <c r="K238" i="2"/>
  <c r="R33" i="2" s="1"/>
  <c r="I163" i="2"/>
  <c r="K162" i="2"/>
  <c r="Q33" i="2" s="1"/>
  <c r="I299" i="2"/>
  <c r="K298" i="2"/>
  <c r="S32" i="2" s="1"/>
  <c r="T32" i="2" l="1"/>
  <c r="I300" i="2"/>
  <c r="K299" i="2"/>
  <c r="S33" i="2" s="1"/>
  <c r="I164" i="2"/>
  <c r="K163" i="2"/>
  <c r="Q34" i="2" s="1"/>
  <c r="I240" i="2"/>
  <c r="K239" i="2"/>
  <c r="R34" i="2" s="1"/>
  <c r="I87" i="2"/>
  <c r="K86" i="2"/>
  <c r="P33" i="2" s="1"/>
  <c r="T33" i="2" s="1"/>
  <c r="I88" i="2" l="1"/>
  <c r="K87" i="2"/>
  <c r="P34" i="2" s="1"/>
  <c r="F33" i="2"/>
  <c r="I241" i="2"/>
  <c r="K240" i="2"/>
  <c r="R35" i="2" s="1"/>
  <c r="I165" i="2"/>
  <c r="K164" i="2"/>
  <c r="Q35" i="2" s="1"/>
  <c r="I301" i="2"/>
  <c r="K300" i="2"/>
  <c r="S34" i="2" s="1"/>
  <c r="T34" i="2" l="1"/>
  <c r="I302" i="2"/>
  <c r="K301" i="2"/>
  <c r="S35" i="2" s="1"/>
  <c r="I166" i="2"/>
  <c r="K165" i="2"/>
  <c r="Q36" i="2" s="1"/>
  <c r="I242" i="2"/>
  <c r="K241" i="2"/>
  <c r="R36" i="2" s="1"/>
  <c r="I89" i="2"/>
  <c r="K88" i="2"/>
  <c r="P35" i="2" s="1"/>
  <c r="T35" i="2" s="1"/>
  <c r="I90" i="2" l="1"/>
  <c r="K89" i="2"/>
  <c r="P36" i="2" s="1"/>
  <c r="I243" i="2"/>
  <c r="K242" i="2"/>
  <c r="R37" i="2" s="1"/>
  <c r="I167" i="2"/>
  <c r="K166" i="2"/>
  <c r="Q37" i="2" s="1"/>
  <c r="I303" i="2"/>
  <c r="K302" i="2"/>
  <c r="S36" i="2" s="1"/>
  <c r="T36" i="2" l="1"/>
  <c r="I304" i="2"/>
  <c r="K303" i="2"/>
  <c r="S37" i="2" s="1"/>
  <c r="I168" i="2"/>
  <c r="K167" i="2"/>
  <c r="Q38" i="2" s="1"/>
  <c r="I244" i="2"/>
  <c r="K243" i="2"/>
  <c r="R38" i="2" s="1"/>
  <c r="I91" i="2"/>
  <c r="K90" i="2"/>
  <c r="P37" i="2" s="1"/>
  <c r="T37" i="2" s="1"/>
  <c r="I92" i="2" l="1"/>
  <c r="K91" i="2"/>
  <c r="P38" i="2" s="1"/>
  <c r="I245" i="2"/>
  <c r="K244" i="2"/>
  <c r="R39" i="2" s="1"/>
  <c r="I169" i="2"/>
  <c r="K168" i="2"/>
  <c r="Q39" i="2" s="1"/>
  <c r="I305" i="2"/>
  <c r="K304" i="2"/>
  <c r="S38" i="2" s="1"/>
  <c r="T38" i="2" l="1"/>
  <c r="I306" i="2"/>
  <c r="K305" i="2"/>
  <c r="S39" i="2" s="1"/>
  <c r="G106" i="2"/>
  <c r="K169" i="2"/>
  <c r="Q40" i="2" s="1"/>
  <c r="G104" i="2"/>
  <c r="F102" i="2"/>
  <c r="G182" i="2"/>
  <c r="K245" i="2"/>
  <c r="R40" i="2" s="1"/>
  <c r="G180" i="2"/>
  <c r="F178" i="2"/>
  <c r="I93" i="2"/>
  <c r="K92" i="2"/>
  <c r="P39" i="2" s="1"/>
  <c r="T39" i="2" s="1"/>
  <c r="G30" i="2" l="1"/>
  <c r="K93" i="2"/>
  <c r="P40" i="2" s="1"/>
  <c r="G28" i="2"/>
  <c r="F26" i="2"/>
  <c r="K306" i="2"/>
  <c r="S40" i="2" s="1"/>
  <c r="F254" i="2"/>
  <c r="F11" i="2" l="1"/>
  <c r="F14" i="2" s="1"/>
  <c r="T40" i="2"/>
  <c r="F36" i="1"/>
  <c r="G306" i="1" l="1"/>
  <c r="G305" i="1"/>
  <c r="G304" i="1"/>
  <c r="G303" i="1"/>
  <c r="G302" i="1"/>
  <c r="G301" i="1"/>
  <c r="G300" i="1"/>
  <c r="G299" i="1"/>
  <c r="G298" i="1"/>
  <c r="G297" i="1"/>
  <c r="G296" i="1"/>
  <c r="G295" i="1"/>
  <c r="G294" i="1"/>
  <c r="G293" i="1"/>
  <c r="G292" i="1"/>
  <c r="G291" i="1"/>
  <c r="I290" i="1"/>
  <c r="G290" i="1"/>
  <c r="F257" i="1"/>
  <c r="G245" i="1"/>
  <c r="G244" i="1"/>
  <c r="G243" i="1"/>
  <c r="G242" i="1"/>
  <c r="G241" i="1"/>
  <c r="G240" i="1"/>
  <c r="G239" i="1"/>
  <c r="G238" i="1"/>
  <c r="G237" i="1"/>
  <c r="G236" i="1"/>
  <c r="G235" i="1"/>
  <c r="G234" i="1"/>
  <c r="G233" i="1"/>
  <c r="G232" i="1"/>
  <c r="G231" i="1"/>
  <c r="G230" i="1"/>
  <c r="I229" i="1"/>
  <c r="I230" i="1" s="1"/>
  <c r="G229" i="1"/>
  <c r="G213" i="1"/>
  <c r="G169" i="1"/>
  <c r="G168" i="1"/>
  <c r="G167" i="1"/>
  <c r="G166" i="1"/>
  <c r="G165" i="1"/>
  <c r="G164" i="1"/>
  <c r="G163" i="1"/>
  <c r="G162" i="1"/>
  <c r="G161" i="1"/>
  <c r="G160" i="1"/>
  <c r="G159" i="1"/>
  <c r="G158" i="1"/>
  <c r="G157" i="1"/>
  <c r="G156" i="1"/>
  <c r="G155" i="1"/>
  <c r="G154" i="1"/>
  <c r="I153" i="1"/>
  <c r="I154" i="1" s="1"/>
  <c r="G153" i="1"/>
  <c r="G129" i="1"/>
  <c r="G93" i="1"/>
  <c r="G92" i="1"/>
  <c r="G91" i="1"/>
  <c r="G90" i="1"/>
  <c r="G89" i="1"/>
  <c r="G88" i="1"/>
  <c r="G87" i="1"/>
  <c r="G86" i="1"/>
  <c r="G85" i="1"/>
  <c r="G84" i="1"/>
  <c r="G83" i="1"/>
  <c r="G82" i="1"/>
  <c r="G81" i="1"/>
  <c r="G80" i="1"/>
  <c r="G79" i="1"/>
  <c r="G78" i="1"/>
  <c r="I77" i="1"/>
  <c r="I78" i="1" s="1"/>
  <c r="G77" i="1"/>
  <c r="F58" i="1"/>
  <c r="F50" i="1"/>
  <c r="G53" i="1"/>
  <c r="F13" i="1"/>
  <c r="G211" i="1" l="1"/>
  <c r="G205" i="1"/>
  <c r="G59" i="1"/>
  <c r="I79" i="1"/>
  <c r="G137" i="1"/>
  <c r="I231" i="1"/>
  <c r="G51" i="1"/>
  <c r="G61" i="1"/>
  <c r="G135" i="1"/>
  <c r="I155" i="1"/>
  <c r="I291" i="1"/>
  <c r="K290" i="1"/>
  <c r="S24" i="1" s="1"/>
  <c r="G127" i="1"/>
  <c r="G203" i="1"/>
  <c r="F215" i="1" l="1"/>
  <c r="K229" i="1" s="1"/>
  <c r="R24" i="1" s="1"/>
  <c r="F63" i="1"/>
  <c r="K77" i="1" s="1"/>
  <c r="P24" i="1" s="1"/>
  <c r="F185" i="1"/>
  <c r="I232" i="1"/>
  <c r="F139" i="1"/>
  <c r="K155" i="1" s="1"/>
  <c r="Q26" i="1" s="1"/>
  <c r="I292" i="1"/>
  <c r="K291" i="1"/>
  <c r="S25" i="1" s="1"/>
  <c r="I156" i="1"/>
  <c r="I80" i="1"/>
  <c r="K230" i="1" l="1"/>
  <c r="R25" i="1" s="1"/>
  <c r="K231" i="1"/>
  <c r="R26" i="1" s="1"/>
  <c r="K79" i="1"/>
  <c r="P26" i="1" s="1"/>
  <c r="K78" i="1"/>
  <c r="P25" i="1" s="1"/>
  <c r="I81" i="1"/>
  <c r="K80" i="1"/>
  <c r="P27" i="1" s="1"/>
  <c r="K153" i="1"/>
  <c r="Q24" i="1" s="1"/>
  <c r="T24" i="1" s="1"/>
  <c r="F109" i="1"/>
  <c r="K154" i="1"/>
  <c r="Q25" i="1" s="1"/>
  <c r="I157" i="1"/>
  <c r="K156" i="1"/>
  <c r="Q27" i="1" s="1"/>
  <c r="I293" i="1"/>
  <c r="K292" i="1"/>
  <c r="S26" i="1" s="1"/>
  <c r="I233" i="1"/>
  <c r="K232" i="1"/>
  <c r="R27" i="1" s="1"/>
  <c r="T26" i="1" l="1"/>
  <c r="T25" i="1"/>
  <c r="I234" i="1"/>
  <c r="K233" i="1"/>
  <c r="R28" i="1" s="1"/>
  <c r="I294" i="1"/>
  <c r="K293" i="1"/>
  <c r="S27" i="1" s="1"/>
  <c r="T27" i="1" s="1"/>
  <c r="I158" i="1"/>
  <c r="K157" i="1"/>
  <c r="Q28" i="1" s="1"/>
  <c r="I82" i="1"/>
  <c r="K81" i="1"/>
  <c r="P28" i="1" s="1"/>
  <c r="I83" i="1" l="1"/>
  <c r="K82" i="1"/>
  <c r="P29" i="1" s="1"/>
  <c r="I159" i="1"/>
  <c r="K158" i="1"/>
  <c r="Q29" i="1" s="1"/>
  <c r="I295" i="1"/>
  <c r="K294" i="1"/>
  <c r="S28" i="1" s="1"/>
  <c r="T28" i="1" s="1"/>
  <c r="I235" i="1"/>
  <c r="K234" i="1"/>
  <c r="R29" i="1" s="1"/>
  <c r="I236" i="1" l="1"/>
  <c r="K235" i="1"/>
  <c r="R30" i="1" s="1"/>
  <c r="I296" i="1"/>
  <c r="K295" i="1"/>
  <c r="S29" i="1" s="1"/>
  <c r="T29" i="1" s="1"/>
  <c r="I160" i="1"/>
  <c r="K159" i="1"/>
  <c r="Q30" i="1" s="1"/>
  <c r="I84" i="1"/>
  <c r="K83" i="1"/>
  <c r="P30" i="1" s="1"/>
  <c r="I85" i="1" l="1"/>
  <c r="K84" i="1"/>
  <c r="P31" i="1" s="1"/>
  <c r="I161" i="1"/>
  <c r="K160" i="1"/>
  <c r="Q31" i="1" s="1"/>
  <c r="I297" i="1"/>
  <c r="K296" i="1"/>
  <c r="S30" i="1" s="1"/>
  <c r="T30" i="1" s="1"/>
  <c r="I237" i="1"/>
  <c r="K236" i="1"/>
  <c r="R31" i="1" s="1"/>
  <c r="I238" i="1" l="1"/>
  <c r="K237" i="1"/>
  <c r="R32" i="1" s="1"/>
  <c r="I298" i="1"/>
  <c r="K297" i="1"/>
  <c r="S31" i="1" s="1"/>
  <c r="T31" i="1" s="1"/>
  <c r="I162" i="1"/>
  <c r="K161" i="1"/>
  <c r="Q32" i="1" s="1"/>
  <c r="I86" i="1"/>
  <c r="K85" i="1"/>
  <c r="P32" i="1" s="1"/>
  <c r="I87" i="1" l="1"/>
  <c r="K86" i="1"/>
  <c r="P33" i="1" s="1"/>
  <c r="I163" i="1"/>
  <c r="K162" i="1"/>
  <c r="Q33" i="1" s="1"/>
  <c r="I299" i="1"/>
  <c r="K298" i="1"/>
  <c r="S32" i="1" s="1"/>
  <c r="T32" i="1" s="1"/>
  <c r="I239" i="1"/>
  <c r="K238" i="1"/>
  <c r="R33" i="1" s="1"/>
  <c r="I240" i="1" l="1"/>
  <c r="K239" i="1"/>
  <c r="R34" i="1" s="1"/>
  <c r="I300" i="1"/>
  <c r="K299" i="1"/>
  <c r="S33" i="1" s="1"/>
  <c r="T33" i="1" s="1"/>
  <c r="I164" i="1"/>
  <c r="K163" i="1"/>
  <c r="Q34" i="1" s="1"/>
  <c r="I88" i="1"/>
  <c r="K87" i="1"/>
  <c r="P34" i="1" s="1"/>
  <c r="F33" i="1"/>
  <c r="I89" i="1" l="1"/>
  <c r="K88" i="1"/>
  <c r="P35" i="1" s="1"/>
  <c r="I165" i="1"/>
  <c r="K164" i="1"/>
  <c r="Q35" i="1" s="1"/>
  <c r="I301" i="1"/>
  <c r="K300" i="1"/>
  <c r="S34" i="1" s="1"/>
  <c r="T34" i="1" s="1"/>
  <c r="I241" i="1"/>
  <c r="K240" i="1"/>
  <c r="R35" i="1" s="1"/>
  <c r="I242" i="1" l="1"/>
  <c r="K241" i="1"/>
  <c r="R36" i="1" s="1"/>
  <c r="I302" i="1"/>
  <c r="K301" i="1"/>
  <c r="S35" i="1" s="1"/>
  <c r="T35" i="1" s="1"/>
  <c r="I166" i="1"/>
  <c r="K165" i="1"/>
  <c r="Q36" i="1" s="1"/>
  <c r="I90" i="1"/>
  <c r="K89" i="1"/>
  <c r="P36" i="1" s="1"/>
  <c r="I91" i="1" l="1"/>
  <c r="K90" i="1"/>
  <c r="P37" i="1" s="1"/>
  <c r="I167" i="1"/>
  <c r="K166" i="1"/>
  <c r="Q37" i="1" s="1"/>
  <c r="I303" i="1"/>
  <c r="K302" i="1"/>
  <c r="S36" i="1" s="1"/>
  <c r="T36" i="1" s="1"/>
  <c r="I243" i="1"/>
  <c r="K242" i="1"/>
  <c r="R37" i="1" s="1"/>
  <c r="I244" i="1" l="1"/>
  <c r="K243" i="1"/>
  <c r="R38" i="1" s="1"/>
  <c r="I304" i="1"/>
  <c r="K303" i="1"/>
  <c r="S37" i="1" s="1"/>
  <c r="T37" i="1" s="1"/>
  <c r="I168" i="1"/>
  <c r="K167" i="1"/>
  <c r="Q38" i="1" s="1"/>
  <c r="I92" i="1"/>
  <c r="K91" i="1"/>
  <c r="P38" i="1" s="1"/>
  <c r="I93" i="1" l="1"/>
  <c r="K92" i="1"/>
  <c r="P39" i="1" s="1"/>
  <c r="I169" i="1"/>
  <c r="K168" i="1"/>
  <c r="Q39" i="1" s="1"/>
  <c r="I305" i="1"/>
  <c r="K304" i="1"/>
  <c r="S38" i="1" s="1"/>
  <c r="T38" i="1" s="1"/>
  <c r="I245" i="1"/>
  <c r="K244" i="1"/>
  <c r="R39" i="1" s="1"/>
  <c r="G182" i="1" l="1"/>
  <c r="K245" i="1"/>
  <c r="R40" i="1" s="1"/>
  <c r="G180" i="1"/>
  <c r="F178" i="1"/>
  <c r="I306" i="1"/>
  <c r="K305" i="1"/>
  <c r="S39" i="1" s="1"/>
  <c r="T39" i="1" s="1"/>
  <c r="G106" i="1"/>
  <c r="K169" i="1"/>
  <c r="Q40" i="1" s="1"/>
  <c r="G104" i="1"/>
  <c r="F102" i="1"/>
  <c r="G28" i="1"/>
  <c r="K93" i="1"/>
  <c r="P40" i="1" s="1"/>
  <c r="G30" i="1"/>
  <c r="F26" i="1"/>
  <c r="K306" i="1" l="1"/>
  <c r="S40" i="1" s="1"/>
  <c r="T40" i="1" s="1"/>
  <c r="F254" i="1"/>
  <c r="F11" i="1" l="1"/>
  <c r="F14" i="1" s="1"/>
</calcChain>
</file>

<file path=xl/sharedStrings.xml><?xml version="1.0" encoding="utf-8"?>
<sst xmlns="http://schemas.openxmlformats.org/spreadsheetml/2006/main" count="2378" uniqueCount="166">
  <si>
    <t>NEDO使用欄</t>
    <rPh sb="4" eb="6">
      <t>シヨウ</t>
    </rPh>
    <rPh sb="6" eb="7">
      <t>ラン</t>
    </rPh>
    <phoneticPr fontId="6"/>
  </si>
  <si>
    <t>（様式４）別紙２</t>
    <rPh sb="1" eb="3">
      <t>ヨウシキ</t>
    </rPh>
    <rPh sb="5" eb="7">
      <t>ベッシ</t>
    </rPh>
    <phoneticPr fontId="2"/>
  </si>
  <si>
    <t>省エネルギー効果量</t>
    <rPh sb="0" eb="1">
      <t>ショウ</t>
    </rPh>
    <rPh sb="6" eb="9">
      <t>コウカリョウ</t>
    </rPh>
    <phoneticPr fontId="6"/>
  </si>
  <si>
    <t>効果量算出(全市場サマリー)</t>
    <rPh sb="0" eb="2">
      <t>コウカ</t>
    </rPh>
    <rPh sb="2" eb="3">
      <t>リョウ</t>
    </rPh>
    <rPh sb="3" eb="5">
      <t>サンシュツ</t>
    </rPh>
    <rPh sb="6" eb="7">
      <t>ゼン</t>
    </rPh>
    <rPh sb="7" eb="9">
      <t>シジョウ</t>
    </rPh>
    <phoneticPr fontId="2"/>
  </si>
  <si>
    <t>種別</t>
    <rPh sb="0" eb="2">
      <t>シュベツ</t>
    </rPh>
    <phoneticPr fontId="2"/>
  </si>
  <si>
    <t>化石 or 非化石</t>
    <rPh sb="0" eb="2">
      <t>カセキ</t>
    </rPh>
    <rPh sb="6" eb="9">
      <t>ヒカセキ</t>
    </rPh>
    <phoneticPr fontId="2"/>
  </si>
  <si>
    <t>化石</t>
    <rPh sb="0" eb="2">
      <t>カセキ</t>
    </rPh>
    <phoneticPr fontId="2"/>
  </si>
  <si>
    <t>転換・供給サイド or 需要サイド</t>
    <rPh sb="12" eb="14">
      <t>ジュヨウ</t>
    </rPh>
    <phoneticPr fontId="2"/>
  </si>
  <si>
    <t>需要サイド</t>
    <rPh sb="0" eb="2">
      <t>ジュヨウ</t>
    </rPh>
    <phoneticPr fontId="2"/>
  </si>
  <si>
    <t>燃料　or熱　or電力</t>
    <phoneticPr fontId="2"/>
  </si>
  <si>
    <t>電力</t>
    <rPh sb="0" eb="2">
      <t>デンリョク</t>
    </rPh>
    <phoneticPr fontId="2"/>
  </si>
  <si>
    <t>2040年度の国内における省エネルギー効果量</t>
    <rPh sb="4" eb="6">
      <t>ネンド</t>
    </rPh>
    <rPh sb="7" eb="9">
      <t>コクナイ</t>
    </rPh>
    <rPh sb="13" eb="14">
      <t>ショウ</t>
    </rPh>
    <rPh sb="19" eb="22">
      <t>コウカリョウ</t>
    </rPh>
    <phoneticPr fontId="2"/>
  </si>
  <si>
    <t>指標Ａ×指標Ｂ＝</t>
    <rPh sb="0" eb="2">
      <t>シヒョウ</t>
    </rPh>
    <rPh sb="4" eb="6">
      <t>シヒョウ</t>
    </rPh>
    <phoneticPr fontId="2"/>
  </si>
  <si>
    <t>万kL/年</t>
    <rPh sb="0" eb="1">
      <t>マン</t>
    </rPh>
    <rPh sb="4" eb="5">
      <t>ネン</t>
    </rPh>
    <phoneticPr fontId="2"/>
  </si>
  <si>
    <t>2040年度の海外における省エネルギー効果量(参考値)</t>
    <rPh sb="4" eb="6">
      <t>ネンド</t>
    </rPh>
    <rPh sb="7" eb="9">
      <t>カイガイ</t>
    </rPh>
    <rPh sb="13" eb="14">
      <t>ショウ</t>
    </rPh>
    <rPh sb="19" eb="22">
      <t>コウカリョウ</t>
    </rPh>
    <rPh sb="23" eb="25">
      <t>サンコウ</t>
    </rPh>
    <rPh sb="25" eb="26">
      <t>アタイ</t>
    </rPh>
    <phoneticPr fontId="2"/>
  </si>
  <si>
    <t>算出根拠まとめ</t>
    <rPh sb="0" eb="4">
      <t>サンシュツコンキョ</t>
    </rPh>
    <phoneticPr fontId="2"/>
  </si>
  <si>
    <t>○想定市場1</t>
    <rPh sb="1" eb="3">
      <t>ソウテイ</t>
    </rPh>
    <rPh sb="3" eb="5">
      <t>シジョウ</t>
    </rPh>
    <phoneticPr fontId="2"/>
  </si>
  <si>
    <t>1-1.効果量算出(市場1サマリー)</t>
    <rPh sb="4" eb="6">
      <t>コウカ</t>
    </rPh>
    <rPh sb="6" eb="7">
      <t>リョウ</t>
    </rPh>
    <rPh sb="7" eb="9">
      <t>サンシュツ</t>
    </rPh>
    <rPh sb="10" eb="12">
      <t>シジョウ</t>
    </rPh>
    <phoneticPr fontId="2"/>
  </si>
  <si>
    <t>提案の製品名・サービス名</t>
    <rPh sb="3" eb="6">
      <t>セイヒンメイ</t>
    </rPh>
    <rPh sb="11" eb="12">
      <t>メイ</t>
    </rPh>
    <phoneticPr fontId="2"/>
  </si>
  <si>
    <t>高機能接合剤の開発による電子部品熱処理工程の省エネルギー</t>
    <phoneticPr fontId="6"/>
  </si>
  <si>
    <t>2040年度の省エネルギー効果量(従来技術)</t>
    <rPh sb="4" eb="6">
      <t>ネンド</t>
    </rPh>
    <rPh sb="7" eb="8">
      <t>ショウ</t>
    </rPh>
    <rPh sb="13" eb="16">
      <t>コウカリョウ</t>
    </rPh>
    <rPh sb="17" eb="19">
      <t>ジュウライ</t>
    </rPh>
    <rPh sb="19" eb="21">
      <t>ギジュツ</t>
    </rPh>
    <phoneticPr fontId="2"/>
  </si>
  <si>
    <t>2040年度の省エネルギー効果量(提案技術)</t>
    <rPh sb="4" eb="6">
      <t>ネンド</t>
    </rPh>
    <rPh sb="7" eb="8">
      <t>ショウ</t>
    </rPh>
    <rPh sb="13" eb="16">
      <t>コウカリョウ</t>
    </rPh>
    <rPh sb="17" eb="19">
      <t>テイアン</t>
    </rPh>
    <rPh sb="19" eb="21">
      <t>ギジュツ</t>
    </rPh>
    <phoneticPr fontId="2"/>
  </si>
  <si>
    <t>販売開始3年後の国内における省エネルギー効果量</t>
    <rPh sb="0" eb="2">
      <t>ハンバイ</t>
    </rPh>
    <rPh sb="2" eb="4">
      <t>カイシ</t>
    </rPh>
    <rPh sb="5" eb="7">
      <t>ネンゴ</t>
    </rPh>
    <rPh sb="14" eb="15">
      <t>ショウ</t>
    </rPh>
    <rPh sb="20" eb="22">
      <t>コウカ</t>
    </rPh>
    <rPh sb="22" eb="23">
      <t>リョウ</t>
    </rPh>
    <phoneticPr fontId="2"/>
  </si>
  <si>
    <t>販売開始(目標)</t>
    <rPh sb="0" eb="4">
      <t>ハンバイカイシ</t>
    </rPh>
    <rPh sb="5" eb="7">
      <t>モクヒョウ</t>
    </rPh>
    <phoneticPr fontId="2"/>
  </si>
  <si>
    <t>年</t>
    <rPh sb="0" eb="1">
      <t>ネン</t>
    </rPh>
    <phoneticPr fontId="2"/>
  </si>
  <si>
    <t>2040年度の海外における省エネルギー効果量(参考値)</t>
    <rPh sb="4" eb="6">
      <t>ネンド</t>
    </rPh>
    <rPh sb="7" eb="9">
      <t>カイガイ</t>
    </rPh>
    <rPh sb="13" eb="14">
      <t>ショウ</t>
    </rPh>
    <rPh sb="19" eb="22">
      <t>コウカリョウ</t>
    </rPh>
    <phoneticPr fontId="2"/>
  </si>
  <si>
    <t>指標B(海外)の根拠</t>
    <rPh sb="0" eb="2">
      <t>シヒョウ</t>
    </rPh>
    <rPh sb="4" eb="6">
      <t>カイガイ</t>
    </rPh>
    <rPh sb="8" eb="10">
      <t>コンキョ</t>
    </rPh>
    <phoneticPr fontId="6"/>
  </si>
  <si>
    <t>1-2.指標A（単位あたりの省エネルギー）</t>
    <rPh sb="4" eb="6">
      <t>シヒョウ</t>
    </rPh>
    <rPh sb="8" eb="10">
      <t>タンイ</t>
    </rPh>
    <rPh sb="14" eb="15">
      <t>ショウ</t>
    </rPh>
    <phoneticPr fontId="2"/>
  </si>
  <si>
    <t>(1)算出根拠</t>
    <rPh sb="3" eb="7">
      <t>サンシュツコンキョ</t>
    </rPh>
    <phoneticPr fontId="2"/>
  </si>
  <si>
    <t>定数</t>
    <rPh sb="0" eb="2">
      <t>テイスウ</t>
    </rPh>
    <phoneticPr fontId="2"/>
  </si>
  <si>
    <t>・電力受電端発熱量</t>
    <rPh sb="1" eb="9">
      <t>デンリョクジュデンタンハツネツリョウ</t>
    </rPh>
    <phoneticPr fontId="2"/>
  </si>
  <si>
    <t>MJ/kWh</t>
    <phoneticPr fontId="6"/>
  </si>
  <si>
    <t>・原油への換算</t>
    <rPh sb="1" eb="3">
      <t>ゲンユ</t>
    </rPh>
    <rPh sb="5" eb="7">
      <t>カンサン</t>
    </rPh>
    <phoneticPr fontId="2"/>
  </si>
  <si>
    <r>
      <t>×10</t>
    </r>
    <r>
      <rPr>
        <vertAlign val="superscript"/>
        <sz val="10.5"/>
        <color theme="1"/>
        <rFont val="游ゴシック"/>
        <family val="3"/>
        <charset val="128"/>
        <scheme val="minor"/>
      </rPr>
      <t>-5</t>
    </r>
    <r>
      <rPr>
        <sz val="10.5"/>
        <color theme="1"/>
        <rFont val="游ゴシック"/>
        <family val="3"/>
        <charset val="128"/>
        <scheme val="minor"/>
      </rPr>
      <t xml:space="preserve"> kL/MJ</t>
    </r>
    <phoneticPr fontId="6"/>
  </si>
  <si>
    <t>(2)従来技術での1単位1年あたりのエネルギー消費量から原油へ換算</t>
    <rPh sb="3" eb="5">
      <t>ジュウライ</t>
    </rPh>
    <rPh sb="5" eb="7">
      <t>ギジュツ</t>
    </rPh>
    <rPh sb="10" eb="12">
      <t>タンイ</t>
    </rPh>
    <rPh sb="13" eb="14">
      <t>ネン</t>
    </rPh>
    <rPh sb="23" eb="26">
      <t>ショウヒリョウ</t>
    </rPh>
    <rPh sb="28" eb="30">
      <t>ゲンユ</t>
    </rPh>
    <rPh sb="31" eb="33">
      <t>カンサン</t>
    </rPh>
    <phoneticPr fontId="2"/>
  </si>
  <si>
    <t>・従来技術内容</t>
    <rPh sb="1" eb="3">
      <t>ジュウライ</t>
    </rPh>
    <rPh sb="3" eb="5">
      <t>ギジュツ</t>
    </rPh>
    <rPh sb="5" eb="7">
      <t>ナイヨウ</t>
    </rPh>
    <phoneticPr fontId="2"/>
  </si>
  <si>
    <t>従来接合剤の熱処理条件
　加熱保持温度：300℃／熱処理時間：60分
　　→消費電力200ｋW（実測）</t>
    <rPh sb="0" eb="2">
      <t>ジュウライ</t>
    </rPh>
    <rPh sb="2" eb="5">
      <t>セツゴウザイ</t>
    </rPh>
    <rPh sb="6" eb="9">
      <t>ネツショリ</t>
    </rPh>
    <rPh sb="9" eb="11">
      <t>ジョウケン</t>
    </rPh>
    <rPh sb="13" eb="15">
      <t>カネツ</t>
    </rPh>
    <rPh sb="15" eb="17">
      <t>ホジ</t>
    </rPh>
    <rPh sb="17" eb="19">
      <t>オンド</t>
    </rPh>
    <rPh sb="25" eb="28">
      <t>ネツショリ</t>
    </rPh>
    <rPh sb="28" eb="30">
      <t>ジカン</t>
    </rPh>
    <rPh sb="33" eb="34">
      <t>フン</t>
    </rPh>
    <rPh sb="38" eb="40">
      <t>ショウヒ</t>
    </rPh>
    <rPh sb="40" eb="42">
      <t>デンリョク</t>
    </rPh>
    <rPh sb="48" eb="50">
      <t>ジッソク</t>
    </rPh>
    <phoneticPr fontId="6"/>
  </si>
  <si>
    <t>・消費電力</t>
    <rPh sb="1" eb="3">
      <t>ショウヒ</t>
    </rPh>
    <rPh sb="3" eb="5">
      <t>デンリョク</t>
    </rPh>
    <phoneticPr fontId="2"/>
  </si>
  <si>
    <t>kWh</t>
    <phoneticPr fontId="2"/>
  </si>
  <si>
    <t>kL/個/年</t>
    <rPh sb="3" eb="4">
      <t>コ</t>
    </rPh>
    <rPh sb="5" eb="6">
      <t>ネン</t>
    </rPh>
    <phoneticPr fontId="2"/>
  </si>
  <si>
    <t>①</t>
    <phoneticPr fontId="2"/>
  </si>
  <si>
    <t>・エネルギー消費量</t>
    <rPh sb="6" eb="9">
      <t>ショウヒリョウ</t>
    </rPh>
    <phoneticPr fontId="2"/>
  </si>
  <si>
    <t>MJ</t>
    <phoneticPr fontId="2"/>
  </si>
  <si>
    <t>(3)今回の開発技術での1単位1年あたりのエネルギー消費量から原油へ換算</t>
    <rPh sb="3" eb="5">
      <t>コンカイ</t>
    </rPh>
    <rPh sb="6" eb="8">
      <t>カイハツ</t>
    </rPh>
    <rPh sb="8" eb="10">
      <t>ギジュツ</t>
    </rPh>
    <rPh sb="13" eb="15">
      <t>タンイ</t>
    </rPh>
    <rPh sb="16" eb="17">
      <t>ネン</t>
    </rPh>
    <rPh sb="26" eb="29">
      <t>ショウヒリョウ</t>
    </rPh>
    <rPh sb="31" eb="33">
      <t>ゲンユ</t>
    </rPh>
    <rPh sb="34" eb="36">
      <t>カンサン</t>
    </rPh>
    <phoneticPr fontId="2"/>
  </si>
  <si>
    <t>・提案技術内容</t>
    <rPh sb="1" eb="3">
      <t>テイアン</t>
    </rPh>
    <rPh sb="3" eb="5">
      <t>ギジュツ</t>
    </rPh>
    <rPh sb="5" eb="7">
      <t>ナイヨウ</t>
    </rPh>
    <phoneticPr fontId="2"/>
  </si>
  <si>
    <t>高機能接合剤の熱処理条件
　加熱保持温度：250℃／熱処理時間：15分
　　→消費電力40ｋW（試算、時間平均）</t>
    <rPh sb="0" eb="3">
      <t>コウキノウ</t>
    </rPh>
    <phoneticPr fontId="6"/>
  </si>
  <si>
    <t>②</t>
    <phoneticPr fontId="2"/>
  </si>
  <si>
    <t>指標A：</t>
    <rPh sb="0" eb="2">
      <t>シヒョウ</t>
    </rPh>
    <phoneticPr fontId="2"/>
  </si>
  <si>
    <t>①－②</t>
    <phoneticPr fontId="2"/>
  </si>
  <si>
    <t>1-3.指標B（2040年度時点の国内における市場導入（普及）量）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</si>
  <si>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</si>
  <si>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国内対象熱処理炉台数1000台</t>
    <phoneticPr fontId="6"/>
  </si>
  <si>
    <t>1-4.</t>
    <phoneticPr fontId="6"/>
  </si>
  <si>
    <t>(3)国内における累計（ストック）量</t>
    <phoneticPr fontId="2"/>
  </si>
  <si>
    <t>年度</t>
    <rPh sb="0" eb="2">
      <t>ネンド</t>
    </rPh>
    <phoneticPr fontId="2"/>
  </si>
  <si>
    <t xml:space="preserve"> 製品／サービスの市場導入量</t>
    <rPh sb="1" eb="3">
      <t>セイヒン</t>
    </rPh>
    <rPh sb="9" eb="11">
      <t>シジョウ</t>
    </rPh>
    <rPh sb="11" eb="13">
      <t>ドウニュウ</t>
    </rPh>
    <rPh sb="13" eb="14">
      <t>リョウ</t>
    </rPh>
    <phoneticPr fontId="2"/>
  </si>
  <si>
    <t>本開発技術による製品／サービスの市場導入量・シェア</t>
    <rPh sb="0" eb="1">
      <t>ホン</t>
    </rPh>
    <rPh sb="1" eb="3">
      <t>カイハツ</t>
    </rPh>
    <rPh sb="3" eb="5">
      <t>ギジュツ</t>
    </rPh>
    <phoneticPr fontId="2"/>
  </si>
  <si>
    <t>寿命等による
廃棄量</t>
    <rPh sb="0" eb="3">
      <t>ジュミョウナド</t>
    </rPh>
    <rPh sb="7" eb="10">
      <t>ハイキリョウ</t>
    </rPh>
    <phoneticPr fontId="2"/>
  </si>
  <si>
    <t>累計（ストック）量</t>
    <rPh sb="0" eb="2">
      <t>ルイケイ</t>
    </rPh>
    <rPh sb="8" eb="9">
      <t>リョウ</t>
    </rPh>
    <phoneticPr fontId="2"/>
  </si>
  <si>
    <t>指標A×B</t>
    <rPh sb="0" eb="2">
      <t>シヒョウ</t>
    </rPh>
    <phoneticPr fontId="2"/>
  </si>
  <si>
    <t>(国内, 市場全体)</t>
    <rPh sb="1" eb="3">
      <t>コクナイ</t>
    </rPh>
    <phoneticPr fontId="6"/>
  </si>
  <si>
    <t>市場導入量</t>
    <rPh sb="0" eb="2">
      <t>シジョウ</t>
    </rPh>
    <rPh sb="2" eb="4">
      <t>ドウニュウ</t>
    </rPh>
    <rPh sb="4" eb="5">
      <t>リョウ</t>
    </rPh>
    <phoneticPr fontId="2"/>
  </si>
  <si>
    <t>シェア（％）</t>
    <phoneticPr fontId="2"/>
  </si>
  <si>
    <t>個</t>
    <rPh sb="0" eb="1">
      <t>コ</t>
    </rPh>
    <phoneticPr fontId="6"/>
  </si>
  <si>
    <t>万kL/年</t>
    <rPh sb="0" eb="1">
      <t>マン</t>
    </rPh>
    <rPh sb="4" eb="5">
      <t>ネン</t>
    </rPh>
    <phoneticPr fontId="6"/>
  </si>
  <si>
    <t>○想定市場2</t>
    <rPh sb="1" eb="3">
      <t>ソウテイ</t>
    </rPh>
    <rPh sb="3" eb="5">
      <t>シジョウ</t>
    </rPh>
    <phoneticPr fontId="2"/>
  </si>
  <si>
    <t>2-1.効果量算出(市場2サマリー)</t>
    <rPh sb="4" eb="6">
      <t>コウカ</t>
    </rPh>
    <rPh sb="6" eb="7">
      <t>リョウ</t>
    </rPh>
    <rPh sb="7" eb="9">
      <t>サンシュツ</t>
    </rPh>
    <rPh sb="10" eb="12">
      <t>シジョウ</t>
    </rPh>
    <phoneticPr fontId="2"/>
  </si>
  <si>
    <t>2040年度の国内における省エネルギー効果量</t>
    <rPh sb="4" eb="6">
      <t>ネンド</t>
    </rPh>
    <rPh sb="13" eb="14">
      <t>ショウ</t>
    </rPh>
    <rPh sb="19" eb="22">
      <t>コウカリョウ</t>
    </rPh>
    <phoneticPr fontId="2"/>
  </si>
  <si>
    <t>2-2.指標A（単位あたりの省エネルギー）</t>
    <rPh sb="4" eb="6">
      <t>シヒョウ</t>
    </rPh>
    <rPh sb="8" eb="10">
      <t>タンイ</t>
    </rPh>
    <rPh sb="14" eb="15">
      <t>ショウ</t>
    </rPh>
    <phoneticPr fontId="2"/>
  </si>
  <si>
    <t>2-3.指標B（2040年度時点の国内における市場導入（普及）量）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</si>
  <si>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</si>
  <si>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2-4.</t>
    <phoneticPr fontId="6"/>
  </si>
  <si>
    <t>○想定市場3</t>
    <rPh sb="1" eb="3">
      <t>ソウテイ</t>
    </rPh>
    <rPh sb="3" eb="5">
      <t>シジョウ</t>
    </rPh>
    <phoneticPr fontId="2"/>
  </si>
  <si>
    <t>3-1.効果量算出(市場3サマリー)</t>
    <rPh sb="4" eb="6">
      <t>コウカ</t>
    </rPh>
    <rPh sb="6" eb="7">
      <t>リョウ</t>
    </rPh>
    <rPh sb="7" eb="9">
      <t>サンシュツ</t>
    </rPh>
    <rPh sb="10" eb="12">
      <t>シジョウ</t>
    </rPh>
    <phoneticPr fontId="2"/>
  </si>
  <si>
    <t>3-2.指標A（単位あたりの省エネルギー）</t>
    <rPh sb="4" eb="6">
      <t>シヒョウ</t>
    </rPh>
    <rPh sb="8" eb="10">
      <t>タンイ</t>
    </rPh>
    <rPh sb="14" eb="15">
      <t>ショウ</t>
    </rPh>
    <phoneticPr fontId="2"/>
  </si>
  <si>
    <t>3-3.指標B（2040年度時点の国内における市場導入（普及）量）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</si>
  <si>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3-4.</t>
    <phoneticPr fontId="6"/>
  </si>
  <si>
    <t>○フリーフォーマット</t>
    <phoneticPr fontId="2"/>
  </si>
  <si>
    <t>4-1.効果量算出(サマリー)</t>
    <rPh sb="4" eb="6">
      <t>コウカ</t>
    </rPh>
    <rPh sb="6" eb="7">
      <t>リョウ</t>
    </rPh>
    <rPh sb="7" eb="9">
      <t>サンシュツ</t>
    </rPh>
    <phoneticPr fontId="2"/>
  </si>
  <si>
    <t>提案の製品名・サービス名</t>
    <rPh sb="0" eb="2">
      <t>テイアン</t>
    </rPh>
    <rPh sb="3" eb="6">
      <t>セイヒンメイ</t>
    </rPh>
    <rPh sb="11" eb="12">
      <t>メイ</t>
    </rPh>
    <phoneticPr fontId="2"/>
  </si>
  <si>
    <t>4-2.指標A（単位あたりの省エネルギー）</t>
    <rPh sb="4" eb="6">
      <t>シヒョウ</t>
    </rPh>
    <rPh sb="8" eb="10">
      <t>タンイ</t>
    </rPh>
    <rPh sb="14" eb="15">
      <t>ショウ</t>
    </rPh>
    <phoneticPr fontId="2"/>
  </si>
  <si>
    <t>※他係数は、公募要領添付資料３を使用のこと</t>
    <rPh sb="1" eb="2">
      <t>ホカ</t>
    </rPh>
    <rPh sb="2" eb="4">
      <t>ケイスウ</t>
    </rPh>
    <rPh sb="6" eb="10">
      <t>コウボヨウリョウ</t>
    </rPh>
    <rPh sb="10" eb="12">
      <t>テンプ</t>
    </rPh>
    <rPh sb="12" eb="14">
      <t>シリョウ</t>
    </rPh>
    <rPh sb="16" eb="18">
      <t>シヨウ</t>
    </rPh>
    <phoneticPr fontId="2"/>
  </si>
  <si>
    <t>(2)従来技術</t>
    <rPh sb="3" eb="5">
      <t>ジュウライ</t>
    </rPh>
    <rPh sb="5" eb="7">
      <t>ギジュツ</t>
    </rPh>
    <phoneticPr fontId="2"/>
  </si>
  <si>
    <t>(3)今回の開発技術</t>
    <rPh sb="3" eb="5">
      <t>コンカイ</t>
    </rPh>
    <rPh sb="6" eb="8">
      <t>カイハツ</t>
    </rPh>
    <rPh sb="8" eb="10">
      <t>ギジュツ</t>
    </rPh>
    <phoneticPr fontId="2"/>
  </si>
  <si>
    <t>kL/個</t>
    <rPh sb="3" eb="4">
      <t>コ</t>
    </rPh>
    <phoneticPr fontId="2"/>
  </si>
  <si>
    <t>4-3.指標B（2040年度時点の国内における市場導入（普及）量）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</si>
  <si>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4-4.</t>
    <phoneticPr fontId="6"/>
  </si>
  <si>
    <t>個/年</t>
    <rPh sb="0" eb="1">
      <t>コ</t>
    </rPh>
    <rPh sb="2" eb="3">
      <t>ネン</t>
    </rPh>
    <phoneticPr fontId="2"/>
  </si>
  <si>
    <t>2040年の市場ストック量 
　　国内対象熱処理炉台数1000台～2040年まで一定と想定 
　　社内適用＋社外販売（・標準化）で導入量を拡大する
 　　　→2040年までにシェア40%～400台を計画
【省エネルギー効果】
　　指標A×指標B＝308.15 kL/台×400台＝12.33万ｋL/年</t>
    <rPh sb="21" eb="25">
      <t>ネツショリロ</t>
    </rPh>
    <rPh sb="37" eb="38">
      <t>ネン</t>
    </rPh>
    <rPh sb="40" eb="42">
      <t>イッテイ</t>
    </rPh>
    <rPh sb="43" eb="45">
      <t>ソウテイ</t>
    </rPh>
    <rPh sb="83" eb="84">
      <t>ネン</t>
    </rPh>
    <rPh sb="99" eb="101">
      <t>ケイカク</t>
    </rPh>
    <rPh sb="104" eb="105">
      <t>ショウ</t>
    </rPh>
    <rPh sb="110" eb="112">
      <t>コウカ</t>
    </rPh>
    <rPh sb="116" eb="118">
      <t>シヒョウ</t>
    </rPh>
    <rPh sb="120" eb="122">
      <t>シヒョウ</t>
    </rPh>
    <rPh sb="139" eb="140">
      <t>ダイ</t>
    </rPh>
    <phoneticPr fontId="6"/>
  </si>
  <si>
    <t>国内より５年遅れで２倍を想定</t>
    <rPh sb="0" eb="2">
      <t>コクナイ</t>
    </rPh>
    <rPh sb="5" eb="6">
      <t>ネン</t>
    </rPh>
    <rPh sb="6" eb="7">
      <t>オク</t>
    </rPh>
    <rPh sb="10" eb="11">
      <t>バイ</t>
    </rPh>
    <rPh sb="12" eb="14">
      <t>ソウテイ</t>
    </rPh>
    <phoneticPr fontId="6"/>
  </si>
  <si>
    <t>原料M1(石油化学品)→中間原料M2→基礎化学品X</t>
    <rPh sb="0" eb="2">
      <t>ゲンリョウ</t>
    </rPh>
    <rPh sb="5" eb="7">
      <t>セキユ</t>
    </rPh>
    <rPh sb="7" eb="10">
      <t>カガクヒン</t>
    </rPh>
    <rPh sb="12" eb="14">
      <t>チュウカン</t>
    </rPh>
    <rPh sb="14" eb="16">
      <t>ゲンリョウ</t>
    </rPh>
    <rPh sb="19" eb="21">
      <t>キソ</t>
    </rPh>
    <rPh sb="21" eb="24">
      <t>カガクヒン</t>
    </rPh>
    <phoneticPr fontId="6"/>
  </si>
  <si>
    <t>原料糖(バイオマス由来)→バイオ変換工程→濃縮精製工程(蒸留＋膜)</t>
    <rPh sb="0" eb="2">
      <t>ゲンリョウ</t>
    </rPh>
    <rPh sb="2" eb="3">
      <t>トウ</t>
    </rPh>
    <rPh sb="9" eb="11">
      <t>ユライ</t>
    </rPh>
    <rPh sb="16" eb="18">
      <t>ヘンカン</t>
    </rPh>
    <rPh sb="18" eb="20">
      <t>コウテイ</t>
    </rPh>
    <rPh sb="21" eb="23">
      <t>ノウシュク</t>
    </rPh>
    <rPh sb="23" eb="25">
      <t>セイセイ</t>
    </rPh>
    <rPh sb="25" eb="27">
      <t>コウテイ</t>
    </rPh>
    <rPh sb="28" eb="30">
      <t>ジョウリュウ</t>
    </rPh>
    <rPh sb="31" eb="32">
      <t>マク</t>
    </rPh>
    <phoneticPr fontId="6"/>
  </si>
  <si>
    <t>国内基礎化学品Xの需要量100万t/年</t>
    <phoneticPr fontId="6"/>
  </si>
  <si>
    <t xml:space="preserve"> ・国内基礎化学品Xの需要量100万t/年････2040年まで一定を維持と想定
　　この内の６％に当たる６万t/年をバイオプロセス生産品に置き換える
　（★製造時の省エネルギー～「寿命等による廃棄量」で調整）
【省エネルギー効果】
　　指標A×B＝2.167kL/kg-X×60000t/年＝13.00万ｋL/年</t>
    <rPh sb="29" eb="30">
      <t>ネン</t>
    </rPh>
    <rPh sb="32" eb="34">
      <t>イッテイ</t>
    </rPh>
    <rPh sb="35" eb="37">
      <t>イジ</t>
    </rPh>
    <rPh sb="38" eb="40">
      <t>ソウテイ</t>
    </rPh>
    <rPh sb="45" eb="46">
      <t>ウチ</t>
    </rPh>
    <rPh sb="79" eb="82">
      <t>セイゾウジ</t>
    </rPh>
    <rPh sb="83" eb="84">
      <t>ショウ</t>
    </rPh>
    <rPh sb="102" eb="104">
      <t>チョウセイ</t>
    </rPh>
    <rPh sb="108" eb="109">
      <t>ショウ</t>
    </rPh>
    <rPh sb="114" eb="116">
      <t>コウカ</t>
    </rPh>
    <rPh sb="120" eb="122">
      <t>シヒョウ</t>
    </rPh>
    <rPh sb="146" eb="147">
      <t>ネン</t>
    </rPh>
    <rPh sb="153" eb="154">
      <t>マン</t>
    </rPh>
    <rPh sb="157" eb="158">
      <t>ネン</t>
    </rPh>
    <phoneticPr fontId="6"/>
  </si>
  <si>
    <t>国内より３年遅れを想定</t>
    <rPh sb="0" eb="2">
      <t>コクナイ</t>
    </rPh>
    <rPh sb="5" eb="6">
      <t>ネン</t>
    </rPh>
    <rPh sb="6" eb="7">
      <t>オク</t>
    </rPh>
    <rPh sb="9" eb="11">
      <t>ソウテイ</t>
    </rPh>
    <phoneticPr fontId="6"/>
  </si>
  <si>
    <r>
      <t>指標A: 単位当たりの省エネルギー効果量
 ・基礎化学品Xの従来法による製造エネルギー
　　原料M1(石油化学品)の製造エネルギー　 　　：100MJ/kg-X････(1) 
　　中間原料M2の製造/エネルギー(化学プロセス)： 20MJ/kg-X････(2) 
　　基礎化学品X の製造エネルギー(化学プロセス)：  2MJ/kg-X････(3) 
　　副生物の分離(蒸留)　　　　　　　　　   　　： 10MJ/kg-X････(4) 　
　　　　　　　　　　　　　　(1)＋(2)＋(3)＋(4) ＝ 132MJ/kg-X････(5) 
・基礎化学品Xのバイオプロセスによる製造エネルギー 
　　原料糖(バイオマス由来)の製造エネルギー：30MJ/kg-X････(6)
 　　バイオ変換工程による製造エネルギー　 ：　6MJ/kg-X････(7) 
　　濃縮精製工程(蒸留)　　　　　　　　　　：  8MJ/kg-X････(8) 
　　濃縮精製工程(膜)　　　　　　　　　　　：  4MJ/kg-X････(9) 
　　　　　　　　　　　　(6)＋(7)＋(8)＋(9) ＝ 48MJ/kg-X････(10) 
○原油換算　2.58×10</t>
    </r>
    <r>
      <rPr>
        <vertAlign val="superscript"/>
        <sz val="14"/>
        <color theme="1"/>
        <rFont val="游ゴシック"/>
        <family val="3"/>
        <charset val="128"/>
        <scheme val="minor"/>
      </rPr>
      <t>-5</t>
    </r>
    <r>
      <rPr>
        <sz val="10.5"/>
        <color theme="1"/>
        <rFont val="游ゴシック"/>
        <family val="2"/>
        <charset val="128"/>
        <scheme val="minor"/>
      </rPr>
      <t>kL/MJ
・省エネルギー効果量（原油換算）： （132－48）MJ/kg-X×1000kg-X/t-X×2.58×10-5kL/MJ＝2.167kl/kg-X</t>
    </r>
    <phoneticPr fontId="2"/>
  </si>
  <si>
    <t>2030年以降、国内同様１台／３年のペースで竣工</t>
    <rPh sb="4" eb="5">
      <t>ネン</t>
    </rPh>
    <rPh sb="5" eb="7">
      <t>イコウ</t>
    </rPh>
    <rPh sb="8" eb="10">
      <t>コクナイ</t>
    </rPh>
    <rPh sb="10" eb="12">
      <t>ドウヨウ</t>
    </rPh>
    <rPh sb="13" eb="14">
      <t>ダイ</t>
    </rPh>
    <rPh sb="16" eb="17">
      <t>ネン</t>
    </rPh>
    <rPh sb="22" eb="24">
      <t>シュンコウ</t>
    </rPh>
    <phoneticPr fontId="6"/>
  </si>
  <si>
    <t>高効率発電機
（市場は発電電力量(2021年3635億kWh)を500MW機に換算して表示、CAGR（年平均成長率）0.5％を想定）</t>
    <rPh sb="0" eb="1">
      <t>コウ</t>
    </rPh>
    <rPh sb="1" eb="3">
      <t>コウリツ</t>
    </rPh>
    <rPh sb="3" eb="6">
      <t>ハツデンキ</t>
    </rPh>
    <rPh sb="8" eb="10">
      <t>シジョウ</t>
    </rPh>
    <rPh sb="11" eb="13">
      <t>ハツデン</t>
    </rPh>
    <rPh sb="13" eb="15">
      <t>デンリョク</t>
    </rPh>
    <rPh sb="15" eb="16">
      <t>リョウ</t>
    </rPh>
    <rPh sb="21" eb="22">
      <t>ネン</t>
    </rPh>
    <rPh sb="26" eb="27">
      <t>オク</t>
    </rPh>
    <rPh sb="37" eb="38">
      <t>キ</t>
    </rPh>
    <rPh sb="39" eb="41">
      <t>カンサン</t>
    </rPh>
    <rPh sb="43" eb="45">
      <t>ヒョウジ</t>
    </rPh>
    <rPh sb="63" eb="65">
      <t>ソウテイ</t>
    </rPh>
    <phoneticPr fontId="6"/>
  </si>
  <si>
    <t>500MW級従来型発電機</t>
    <rPh sb="5" eb="6">
      <t>キュウ</t>
    </rPh>
    <rPh sb="6" eb="9">
      <t>ジュウライガタ</t>
    </rPh>
    <rPh sb="9" eb="12">
      <t>ハツデンキ</t>
    </rPh>
    <phoneticPr fontId="2"/>
  </si>
  <si>
    <t>500MW級耐熱型高効率発電機</t>
    <rPh sb="5" eb="6">
      <t>キュウ</t>
    </rPh>
    <rPh sb="6" eb="8">
      <t>タイネツ</t>
    </rPh>
    <rPh sb="8" eb="9">
      <t>ガタ</t>
    </rPh>
    <rPh sb="9" eb="12">
      <t>コウコウリツ</t>
    </rPh>
    <rPh sb="12" eb="15">
      <t>ハツデンキ</t>
    </rPh>
    <phoneticPr fontId="2"/>
  </si>
  <si>
    <t>500MW級耐熱型高効率発電機</t>
    <rPh sb="5" eb="6">
      <t>キュウ</t>
    </rPh>
    <rPh sb="6" eb="8">
      <t>タイネツ</t>
    </rPh>
    <rPh sb="8" eb="9">
      <t>ガタ</t>
    </rPh>
    <rPh sb="9" eb="10">
      <t>コウ</t>
    </rPh>
    <rPh sb="10" eb="12">
      <t>コウリツ</t>
    </rPh>
    <rPh sb="12" eb="14">
      <t>ハツデン</t>
    </rPh>
    <rPh sb="14" eb="15">
      <t>キ</t>
    </rPh>
    <phoneticPr fontId="6"/>
  </si>
  <si>
    <t>燃料</t>
    <rPh sb="0" eb="2">
      <t>ネンリョウ</t>
    </rPh>
    <phoneticPr fontId="2"/>
  </si>
  <si>
    <t>自動車部材のCFRPへの置き換えによる車両の軽量化</t>
    <rPh sb="0" eb="3">
      <t>ジドウシャ</t>
    </rPh>
    <rPh sb="3" eb="5">
      <t>ブザイ</t>
    </rPh>
    <rPh sb="12" eb="13">
      <t>オ</t>
    </rPh>
    <rPh sb="14" eb="15">
      <t>カ</t>
    </rPh>
    <rPh sb="19" eb="21">
      <t>シャリョウ</t>
    </rPh>
    <rPh sb="22" eb="25">
      <t>ケイリョウカ</t>
    </rPh>
    <phoneticPr fontId="6"/>
  </si>
  <si>
    <t>　国内から５年遅れの２倍の81.7台を想定</t>
    <rPh sb="1" eb="3">
      <t>コクナイ</t>
    </rPh>
    <rPh sb="6" eb="7">
      <t>ネン</t>
    </rPh>
    <rPh sb="7" eb="8">
      <t>オク</t>
    </rPh>
    <rPh sb="11" eb="12">
      <t>バイ</t>
    </rPh>
    <rPh sb="17" eb="18">
      <t>ダイ</t>
    </rPh>
    <rPh sb="19" eb="21">
      <t>ソウテイ</t>
    </rPh>
    <phoneticPr fontId="6"/>
  </si>
  <si>
    <t>転換・供給サイド</t>
  </si>
  <si>
    <r>
      <t>連続加熱炉の定格消費電力＝300kW
・従来接合剤の熱処理条件
　　加熱保持温度：300℃／熱処理時間：60分→消費電力200ｋW（実測）
・高機能接合剤の熱処理条件
　　加熱保持温度：250℃／熱処理時間：15分→消費電力40ｋW（試算、時間平均）
・熱処理炉の年間稼働時間：8640h（＝24h×360日）
・電力消費量
　　従来接合剤　：　200ｋW×8640h/年＝1.728×10</t>
    </r>
    <r>
      <rPr>
        <vertAlign val="superscript"/>
        <sz val="14"/>
        <color theme="1"/>
        <rFont val="ＭＳ Ｐゴシック"/>
        <family val="3"/>
        <charset val="128"/>
      </rPr>
      <t>6</t>
    </r>
    <r>
      <rPr>
        <sz val="10.5"/>
        <color theme="1"/>
        <rFont val="ＭＳ Ｐゴシック"/>
        <family val="3"/>
        <charset val="128"/>
      </rPr>
      <t>kWh/年
　　高機能接合剤：　 40kW×8640h/年＝3.456×10</t>
    </r>
    <r>
      <rPr>
        <vertAlign val="superscript"/>
        <sz val="14"/>
        <color theme="1"/>
        <rFont val="ＭＳ Ｐゴシック"/>
        <family val="3"/>
        <charset val="128"/>
      </rPr>
      <t>5</t>
    </r>
    <r>
      <rPr>
        <sz val="10.5"/>
        <color theme="1"/>
        <rFont val="ＭＳ Ｐゴシック"/>
        <family val="3"/>
        <charset val="128"/>
      </rPr>
      <t>kWh/年
○定数等
　・電力受電端発熱量：　8.64MJ/kWh
○原油への換算
　・発熱量1MJを原油2.58×10</t>
    </r>
    <r>
      <rPr>
        <vertAlign val="superscript"/>
        <sz val="14"/>
        <color theme="1"/>
        <rFont val="ＭＳ Ｐゴシック"/>
        <family val="3"/>
        <charset val="128"/>
      </rPr>
      <t>-5</t>
    </r>
    <r>
      <rPr>
        <sz val="10.5"/>
        <color theme="1"/>
        <rFont val="ＭＳ Ｐゴシック"/>
        <family val="3"/>
        <charset val="128"/>
      </rPr>
      <t>kL
ナノソルダーペーストによるリフロー炉1台の年間消費電力削減量を原油に換算すると、
　　　（1.728×10</t>
    </r>
    <r>
      <rPr>
        <vertAlign val="superscript"/>
        <sz val="14"/>
        <color theme="1"/>
        <rFont val="ＭＳ Ｐゴシック"/>
        <family val="3"/>
        <charset val="128"/>
      </rPr>
      <t>6</t>
    </r>
    <r>
      <rPr>
        <sz val="10.5"/>
        <color theme="1"/>
        <rFont val="ＭＳ Ｐゴシック"/>
        <family val="3"/>
        <charset val="128"/>
      </rPr>
      <t>－3.456×10</t>
    </r>
    <r>
      <rPr>
        <vertAlign val="superscript"/>
        <sz val="14"/>
        <color theme="1"/>
        <rFont val="ＭＳ Ｐゴシック"/>
        <family val="3"/>
        <charset val="128"/>
      </rPr>
      <t>5</t>
    </r>
    <r>
      <rPr>
        <sz val="10.5"/>
        <color theme="1"/>
        <rFont val="ＭＳ Ｐゴシック"/>
        <family val="3"/>
        <charset val="128"/>
      </rPr>
      <t>）kWh/年×８．６４MJ/kWh×2.58×10</t>
    </r>
    <r>
      <rPr>
        <vertAlign val="superscript"/>
        <sz val="14"/>
        <color theme="1"/>
        <rFont val="ＭＳ Ｐゴシック"/>
        <family val="3"/>
        <charset val="128"/>
      </rPr>
      <t>-5</t>
    </r>
    <r>
      <rPr>
        <sz val="10.5"/>
        <color theme="1"/>
        <rFont val="ＭＳ Ｐゴシック"/>
        <family val="3"/>
        <charset val="128"/>
      </rPr>
      <t>kL　＝　308.15 kL/台</t>
    </r>
    <rPh sb="119" eb="121">
      <t>シサン</t>
    </rPh>
    <rPh sb="122" eb="124">
      <t>ジカン</t>
    </rPh>
    <rPh sb="124" eb="126">
      <t>ヘイキン</t>
    </rPh>
    <rPh sb="161" eb="163">
      <t>デンリョク</t>
    </rPh>
    <rPh sb="163" eb="166">
      <t>ショウヒリョウ</t>
    </rPh>
    <rPh sb="169" eb="171">
      <t>ジュウライ</t>
    </rPh>
    <rPh sb="171" eb="174">
      <t>セツゴウザイ</t>
    </rPh>
    <rPh sb="189" eb="190">
      <t>ネン</t>
    </rPh>
    <rPh sb="204" eb="205">
      <t>ネン</t>
    </rPh>
    <rPh sb="208" eb="211">
      <t>コウキノウ</t>
    </rPh>
    <rPh sb="211" eb="214">
      <t>セツゴウザイ</t>
    </rPh>
    <rPh sb="228" eb="229">
      <t>ネン</t>
    </rPh>
    <rPh sb="243" eb="244">
      <t>ネン</t>
    </rPh>
    <phoneticPr fontId="6"/>
  </si>
  <si>
    <t>商業施設の空調</t>
    <phoneticPr fontId="6"/>
  </si>
  <si>
    <t>当面、国内展開のみで、海外展開は想定外</t>
    <rPh sb="0" eb="2">
      <t>トウメン</t>
    </rPh>
    <rPh sb="3" eb="7">
      <t>コクナイテンカイ</t>
    </rPh>
    <rPh sb="11" eb="15">
      <t>カイガイテンカイ</t>
    </rPh>
    <rPh sb="16" eb="18">
      <t>ソウテイ</t>
    </rPh>
    <rPh sb="18" eb="19">
      <t>ガイ</t>
    </rPh>
    <phoneticPr fontId="6"/>
  </si>
  <si>
    <t>従来の空調</t>
    <rPh sb="0" eb="2">
      <t>ジュウライ</t>
    </rPh>
    <rPh sb="3" eb="5">
      <t>クウチョウ</t>
    </rPh>
    <phoneticPr fontId="6"/>
  </si>
  <si>
    <t>開発技術による空調</t>
    <rPh sb="0" eb="2">
      <t>カイハツ</t>
    </rPh>
    <rPh sb="2" eb="4">
      <t>ギジュツ</t>
    </rPh>
    <rPh sb="7" eb="9">
      <t>クウチョウ</t>
    </rPh>
    <phoneticPr fontId="6"/>
  </si>
  <si>
    <t>大型商業施設</t>
    <rPh sb="0" eb="6">
      <t>オオガタショウギョウシセツ</t>
    </rPh>
    <phoneticPr fontId="6"/>
  </si>
  <si>
    <t>大型有機ELテレビの技術開発</t>
    <rPh sb="0" eb="2">
      <t>オオガタ</t>
    </rPh>
    <rPh sb="2" eb="4">
      <t>ユウキ</t>
    </rPh>
    <rPh sb="10" eb="12">
      <t>ギジュツ</t>
    </rPh>
    <rPh sb="12" eb="14">
      <t>カイハツ</t>
    </rPh>
    <phoneticPr fontId="6"/>
  </si>
  <si>
    <t>現在の大型有機ELテレビ１台の年間消費電力量　：
　　　Ｅ＝（４００－２００）×４．５×３６０＝３２４．０kWh／（個・年）　　</t>
    <phoneticPr fontId="6"/>
  </si>
  <si>
    <t>技術開発する大型有機ELテレビ１台の消費電力量：
　　　Ｅ＝（４００－２００）×０．６×４．５×３６０＝１９４．４kWh／（個・年）　 
　　（開発による消費電力減に比例し、節電効果の影響も60％減とした）</t>
    <phoneticPr fontId="6"/>
  </si>
  <si>
    <t>国内有機ELテレビ市場</t>
    <rPh sb="0" eb="2">
      <t>コクナイ</t>
    </rPh>
    <rPh sb="2" eb="4">
      <t>ユウキ</t>
    </rPh>
    <rPh sb="9" eb="11">
      <t>シジョウ</t>
    </rPh>
    <phoneticPr fontId="6"/>
  </si>
  <si>
    <t>国内から３年遅れの５倍を想定</t>
    <rPh sb="0" eb="2">
      <t>コクナイ</t>
    </rPh>
    <rPh sb="5" eb="6">
      <t>ネン</t>
    </rPh>
    <rPh sb="6" eb="7">
      <t>オク</t>
    </rPh>
    <rPh sb="10" eb="11">
      <t>バイ</t>
    </rPh>
    <rPh sb="12" eb="14">
      <t>ソウテイ</t>
    </rPh>
    <phoneticPr fontId="6"/>
  </si>
  <si>
    <t>高効率ガスタービン</t>
    <rPh sb="0" eb="3">
      <t>コウコウリツ</t>
    </rPh>
    <phoneticPr fontId="6"/>
  </si>
  <si>
    <t>家庭用小型ヒートポンプ給湯器</t>
    <phoneticPr fontId="2"/>
  </si>
  <si>
    <t>従来型家庭用小型ヒートポンプ給湯器</t>
    <rPh sb="0" eb="3">
      <t>ジュウライガタ</t>
    </rPh>
    <phoneticPr fontId="2"/>
  </si>
  <si>
    <t>高効率家庭用小型ヒートポンプ給湯器</t>
    <rPh sb="0" eb="3">
      <t>コウコウリツ</t>
    </rPh>
    <phoneticPr fontId="2"/>
  </si>
  <si>
    <t>本技術開発では国内市場だけを対象とする
技術開発成果は活かすが、海外用には別途微調整の上で製品化する</t>
    <rPh sb="0" eb="5">
      <t>ホンギジュツカイハツ</t>
    </rPh>
    <rPh sb="7" eb="9">
      <t>コクナイ</t>
    </rPh>
    <rPh sb="9" eb="11">
      <t>シジョウ</t>
    </rPh>
    <rPh sb="14" eb="16">
      <t>タイショウ</t>
    </rPh>
    <rPh sb="20" eb="22">
      <t>ギジュツ</t>
    </rPh>
    <rPh sb="22" eb="24">
      <t>カイハツ</t>
    </rPh>
    <rPh sb="24" eb="26">
      <t>セイカ</t>
    </rPh>
    <rPh sb="27" eb="28">
      <t>イ</t>
    </rPh>
    <rPh sb="32" eb="35">
      <t>カイガイヨウ</t>
    </rPh>
    <rPh sb="37" eb="39">
      <t>ベット</t>
    </rPh>
    <rPh sb="39" eb="42">
      <t>ビチョウセイ</t>
    </rPh>
    <rPh sb="43" eb="44">
      <t>ウエ</t>
    </rPh>
    <rPh sb="45" eb="48">
      <t>セイヒンカ</t>
    </rPh>
    <phoneticPr fontId="2"/>
  </si>
  <si>
    <t>・上記から3.6％改善</t>
    <rPh sb="1" eb="3">
      <t>ジョウキ</t>
    </rPh>
    <rPh sb="9" eb="11">
      <t>カイゼン</t>
    </rPh>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</si>
  <si>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○指標B： 2028・31・34・37・40年に各1台竣工する
　省エネルギー効果は、 16,103.07 × 5 = 8.052 万ｋL/年 </t>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</si>
  <si>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t>
    <rPh sb="1" eb="5">
      <t>カイハツナイヨウ</t>
    </rPh>
    <rPh sb="13" eb="16">
      <t>ハツデンキ</t>
    </rPh>
    <rPh sb="17" eb="19">
      <t>テキヨウ</t>
    </rPh>
    <rPh sb="19" eb="21">
      <t>カノウ</t>
    </rPh>
    <rPh sb="22" eb="24">
      <t>コウオン</t>
    </rPh>
    <rPh sb="24" eb="26">
      <t>コウゾウ</t>
    </rPh>
    <rPh sb="26" eb="28">
      <t>ザイリョウ</t>
    </rPh>
    <rPh sb="29" eb="31">
      <t>カイハツ</t>
    </rPh>
    <rPh sb="33" eb="35">
      <t>ジョウキ</t>
    </rPh>
    <rPh sb="35" eb="38">
      <t>コウオンカ</t>
    </rPh>
    <rPh sb="46" eb="50">
      <t>コウリツカイゼン</t>
    </rPh>
    <rPh sb="51" eb="53">
      <t>ジツゲン</t>
    </rPh>
    <rPh sb="72" eb="75">
      <t>ネツコウリツ</t>
    </rPh>
    <rPh sb="147" eb="151">
      <t>ジュウライギジュツ</t>
    </rPh>
    <rPh sb="242" eb="244">
      <t>カイハツ</t>
    </rPh>
    <rPh sb="343" eb="345">
      <t>シヒョウ</t>
    </rPh>
    <rPh sb="406" eb="407">
      <t>ダイ</t>
    </rPh>
    <rPh sb="408" eb="409">
      <t>ネン</t>
    </rPh>
    <phoneticPr fontId="6"/>
  </si>
  <si>
    <t xml:space="preserve">指標B： 2028・31・34・37・40年に各1台竣工する
　省エネルギー効果は、 16,103.07 × 5 = 8.052 万ｋL/年 </t>
    <rPh sb="21" eb="22">
      <t>ネン</t>
    </rPh>
    <rPh sb="33" eb="34">
      <t>ショウ</t>
    </rPh>
    <rPh sb="39" eb="41">
      <t>コウカ</t>
    </rPh>
    <rPh sb="66" eb="67">
      <t>マン</t>
    </rPh>
    <rPh sb="70" eb="71">
      <t>ネン</t>
    </rPh>
    <phoneticPr fontId="6"/>
  </si>
  <si>
    <r>
      <t> ＜前提＞
　○技術開発ターゲット
　　・自動車部材のＣＦＲＰへの置き換えにより、車両の重量を６％低減
&lt;指標Ａ（効果量）&gt;
　　・６％の車両軽量化によるエネルギー消費量削減効果は３％※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t>
    </r>
    <r>
      <rPr>
        <vertAlign val="superscript"/>
        <sz val="14"/>
        <rFont val="ＭＳ Ｐゴシック"/>
        <family val="3"/>
        <charset val="128"/>
      </rPr>
      <t>－５</t>
    </r>
    <r>
      <rPr>
        <sz val="10.5"/>
        <rFont val="ＭＳ Ｐゴシック"/>
        <family val="3"/>
        <charset val="128"/>
      </rPr>
      <t>ｋℓ＝0.013714  kℓ／年・台
&lt;指標Ｂ（導入量）&gt;
　　・対象車両は乗用車で年間販売台数430万台、2026年から販売を開始し、2035年までにシェア15％を達成、以降15％維持を想定
　　　　→２０４０年における当該技術適用車両の市場ストック量は７３１．０万台　（指標B導出部の表参照）
●省エネルギー効果量（原油換算値）
　　以上の指標Ａ、指標Ｂの計算結果から、0.013714  kℓ／年・台×731.0万台＝１０．０３ 万ｋℓ／年
 　　　※ＮＥＤＯ成果報告書（2019年度）「戦略的省エネルギー技術革新プログラム／経路床による省エネルギー効果に関する調査」による</t>
    </r>
    <rPh sb="307" eb="311">
      <t>タイショウシャリョウ</t>
    </rPh>
    <rPh sb="312" eb="315">
      <t>ジョウヨウシャ</t>
    </rPh>
    <rPh sb="316" eb="318">
      <t>ネンカン</t>
    </rPh>
    <rPh sb="318" eb="322">
      <t>ハンバイダイスウ</t>
    </rPh>
    <rPh sb="357" eb="359">
      <t>タッセイ</t>
    </rPh>
    <rPh sb="360" eb="362">
      <t>イコウ</t>
    </rPh>
    <rPh sb="365" eb="367">
      <t>イジ</t>
    </rPh>
    <rPh sb="368" eb="370">
      <t>ソウテイ</t>
    </rPh>
    <rPh sb="411" eb="413">
      <t>シヒョウ</t>
    </rPh>
    <rPh sb="414" eb="417">
      <t>ドウシュツブ</t>
    </rPh>
    <rPh sb="418" eb="419">
      <t>ヒョウ</t>
    </rPh>
    <rPh sb="419" eb="421">
      <t>サンショウ</t>
    </rPh>
    <phoneticPr fontId="6"/>
  </si>
  <si>
    <t>＜前提＞
　○技術開発ターゲット
　　・自動車部材のＣＦＲＰへの置き換えにより、車両の重量を６％低減
　○車両の条件
　　・乗用車の平均燃費は２２．６ｋｍ／ℓ、乗用車の平均走行距離は1万ｋｍ／年
&lt;指標Ａ（効果量）&gt;
　　・６％の車両軽量化によるエネルギー消費量削減効果は３．６％※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原油量に換算すると、５３１．５５ＭＪ／年・台×２．５８×１０－５ｋℓ＝0.013714 kℓ／年・台
　※ＮＥＤＯ成果報告書（2019年度）
　　「戦略的省エネルギー技術革新プログラム／軽量化による省エネルギー効果に関する調査」による
　　　（乗用車(電動車)：10％の車両軽量化により６％の省エネルギー効果）</t>
    <rPh sb="384" eb="387">
      <t>ケイリョウカ</t>
    </rPh>
    <rPh sb="413" eb="416">
      <t>ジョウヨウシャ</t>
    </rPh>
    <rPh sb="417" eb="420">
      <t>デンドウシャ</t>
    </rPh>
    <rPh sb="426" eb="431">
      <t>シャリョウケイリョウカ</t>
    </rPh>
    <rPh sb="437" eb="438">
      <t>ショウ</t>
    </rPh>
    <rPh sb="443" eb="445">
      <t>コウカ</t>
    </rPh>
    <phoneticPr fontId="6"/>
  </si>
  <si>
    <t>・乗用車の平均燃費は２２．６ ｋｍ／ℓ、乗用車の平均走行距離は1万ｋｍ／年
・ガソリンの発熱量は33.37MJ/L</t>
    <rPh sb="44" eb="47">
      <t>ハツネツリョウ</t>
    </rPh>
    <phoneticPr fontId="6"/>
  </si>
  <si>
    <t> ＜前提＞
　○車両の条件
　　・対象車両は乗用車で、年間販売台数は４３０万台
　　・２０２６年度から販売を開始し、２０３０年までにシェア10％、２０３５年までにシェア15％、以降15％維持を想定 
&lt;指標Ｂ（導入量）&gt;
　　・２０４０年における当該技術適用車両の市場ストック量は、下表の通り、7,310,000台
●省エネルギー効果量（原油換算値）
　　以上の指標Ａ、指標Ｂの計算結果から、0.013714 kℓ／年・台×731.0万台 ＝ 10.03 万ｋℓ／年
 </t>
    <rPh sb="88" eb="90">
      <t>イコウ</t>
    </rPh>
    <rPh sb="93" eb="95">
      <t>イジ</t>
    </rPh>
    <rPh sb="142" eb="144">
      <t>カヒョウ</t>
    </rPh>
    <rPh sb="145" eb="146">
      <t>トオ</t>
    </rPh>
    <rPh sb="157" eb="158">
      <t>ダイ</t>
    </rPh>
    <phoneticPr fontId="6"/>
  </si>
  <si>
    <t>＜前提＞　省エネルギー効果20％の根拠は様式４（提案書本文）を参照
　○現状／技術開発ターゲット
　　・商業施設のエネルギー消費原単位：３５７２ MJ／（m2・年）　　　　　　　　　・・・（１）
　　・商業施設の空調のエネルギー消費量の割合：４０%　　　　　　　　　　　 ・・・（２）
　　・開発技術で得られる省エネルギー率：２０%　　　　　　　　　　　　　　　　　　　・・・（３）
　　　　開発技術を用いたエネルギー消費量：（１）の８０％
　　・２０４０年の導入量（年間の新築着工床面積の総和）：１１４０万m2　　　・・・（４）
　　・シェアは２０４０年まで現在の３０%を維持　　　　　　　　　　　　　　　　　　　　 ・・・（５）
　指標Ａ（効果量）
　　従来技術の年間エネルギー消費量は
　　　　（１）×（２）　＝　1428.8　MJ／（m2・年）
　　開発技術を導入した商業施設の床面積１m2当たりの年間の一次エネルギーは、
　　　　（１）＊０．８×（２）　＝　1143.0　MJ／（m2・年）　
　　指標A：（1428.8－1143.0）×原油換算値　＝　0.0073726 ｋL/（m2・年）　　　　　　　　　　　　　　　　
　</t>
    <rPh sb="196" eb="200">
      <t>カイハツギジュツ</t>
    </rPh>
    <rPh sb="201" eb="202">
      <t>モチ</t>
    </rPh>
    <rPh sb="209" eb="212">
      <t>ショウヒリョウ</t>
    </rPh>
    <rPh sb="330" eb="334">
      <t>ジュウライギジュツ</t>
    </rPh>
    <rPh sb="335" eb="337">
      <t>ネンカン</t>
    </rPh>
    <rPh sb="342" eb="345">
      <t>ショウヒリョウ</t>
    </rPh>
    <rPh sb="457" eb="459">
      <t>シヒョウ</t>
    </rPh>
    <rPh sb="495" eb="496">
      <t>ネン</t>
    </rPh>
    <phoneticPr fontId="6"/>
  </si>
  <si>
    <t xml:space="preserve">　・年間の商業施設の新築着工面積は、ここ１０年の推移によりほぼ変化しないと想定されるため、
　　２０４０年度までの年間当たりの新築着工面積はここ１０年の平均値と同値と推定される。
　　　⇒　２０２４年から２０４０年までの年間の新築着工床面積は：毎年１１４０万m2 （下図）
　　　⇒　毎年、新規分として上記面積が増加していくと推定される。
　・新規開発の実現される成果は、提案者の開発・導入計画より2025年より市場に導入する予定で進んでいる。
　　空調設備としては、共同提案者との協議を進めており、技術開発成果を2025年度から空調機に取り込む計画で進行している。
　・商業施設の着工面積における当社のシェアは、現在３０％程度であり、今後増大させる計画ではあるが未知数であるため、
　　２０４０年まで３０％のまま推移することを想定している。
　・提案者の新規工事物件の内、当該開発技術の適用された空調設備は２０２５年には５％、２０３０年に30％、２０４０年に50%の導入の計画で進めており、
　　2040年時には、市場累計量として、17,544,600ｍ２の面積に新技術が導入される計画である。
　・この市場累計量に指標Aとの積を計算すると、２０４０年度の省エネ効果量が12.935万ｋL／年と算出される
</t>
    <rPh sb="122" eb="124">
      <t>マイトシ</t>
    </rPh>
    <rPh sb="133" eb="135">
      <t>カズ</t>
    </rPh>
    <rPh sb="145" eb="148">
      <t>シンキブン</t>
    </rPh>
    <rPh sb="226" eb="230">
      <t>クウチョウセツビ</t>
    </rPh>
    <rPh sb="242" eb="244">
      <t>キョウギ</t>
    </rPh>
    <rPh sb="245" eb="246">
      <t>スス</t>
    </rPh>
    <rPh sb="251" eb="257">
      <t>ギジュツカイハツセイカ</t>
    </rPh>
    <rPh sb="262" eb="264">
      <t>ネンド</t>
    </rPh>
    <rPh sb="266" eb="269">
      <t>クウチョウキ</t>
    </rPh>
    <rPh sb="270" eb="271">
      <t>ト</t>
    </rPh>
    <rPh sb="272" eb="273">
      <t>コ</t>
    </rPh>
    <rPh sb="274" eb="276">
      <t>ケイカク</t>
    </rPh>
    <rPh sb="277" eb="279">
      <t>シンコウ</t>
    </rPh>
    <rPh sb="303" eb="305">
      <t>トウシャ</t>
    </rPh>
    <rPh sb="404" eb="408">
      <t>クウチョウセツビ</t>
    </rPh>
    <rPh sb="509" eb="514">
      <t>シジョウルイケイリョウ</t>
    </rPh>
    <rPh sb="515" eb="517">
      <t>シヒョウ</t>
    </rPh>
    <rPh sb="520" eb="521">
      <t>セキ</t>
    </rPh>
    <rPh sb="522" eb="524">
      <t>ケイサン</t>
    </rPh>
    <rPh sb="532" eb="534">
      <t>ネンド</t>
    </rPh>
    <rPh sb="535" eb="536">
      <t>ショウ</t>
    </rPh>
    <rPh sb="538" eb="541">
      <t>コウカリョウ</t>
    </rPh>
    <rPh sb="548" eb="549">
      <t>マン</t>
    </rPh>
    <rPh sb="552" eb="553">
      <t>ネン</t>
    </rPh>
    <rPh sb="554" eb="556">
      <t>サンシュツ</t>
    </rPh>
    <phoneticPr fontId="6"/>
  </si>
  <si>
    <r>
      <t>　　＜前提＞　省エネルギー効果60％の根拠は様式４（提案書本文）を参照
　○現状／技術開発ターゲット
　　・現在の大型有機ELテレビ１台の消費電力　　　　：４００W　　　　　　　 　　　・・・（１）
　　・現在の大型有機ELテレビ１台の節電機能　　　　：２００W　　　　　　　　　　 ・・・（２）
　　・技術開発する大型有機ELテレビ１台の消費電力　：開発により30％減　 ・・・（３）
　　テレビの年間消費電力量（E）については、以下で算出
　　Ｅ＝｛（Ｐｏ－ＰＡ )×ｔ１＋Ｐｓ×ｔ２｝／１０００（ｋＷ・ｈ／年）
　　Ｐｏ：消費電力	ｔ１：動作時間（視聴時間：４．５時間／日）
　　ＰＡ：節電機能　　　ｔ２：待機時間
　　Ｐｓ：待機電力（但し、待機電力が十分小さいため０とした）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指標A：（324.0-226.8)×8.64×2.58×10</t>
    </r>
    <r>
      <rPr>
        <vertAlign val="superscript"/>
        <sz val="14"/>
        <rFont val="游ゴシック"/>
        <family val="3"/>
        <charset val="128"/>
        <scheme val="minor"/>
      </rPr>
      <t>-5</t>
    </r>
    <r>
      <rPr>
        <sz val="10.5"/>
        <rFont val="游ゴシック"/>
        <family val="3"/>
        <charset val="128"/>
        <scheme val="minor"/>
      </rPr>
      <t>=0.021667kL/個/年</t>
    </r>
    <rPh sb="7" eb="8">
      <t>ショウ</t>
    </rPh>
    <rPh sb="13" eb="15">
      <t>コウカ</t>
    </rPh>
    <rPh sb="19" eb="21">
      <t>コンキョ</t>
    </rPh>
    <rPh sb="22" eb="24">
      <t>ヨウシキ</t>
    </rPh>
    <rPh sb="26" eb="29">
      <t>テイアンショ</t>
    </rPh>
    <rPh sb="29" eb="31">
      <t>ホンブン</t>
    </rPh>
    <rPh sb="33" eb="35">
      <t>サンショウ</t>
    </rPh>
    <rPh sb="543" eb="545">
      <t>シヒョウ</t>
    </rPh>
    <rPh sb="587" eb="588">
      <t>コ</t>
    </rPh>
    <rPh sb="589" eb="590">
      <t>ネン</t>
    </rPh>
    <phoneticPr fontId="6"/>
  </si>
  <si>
    <t xml:space="preserve">
　・大型テレビ導入量は2024年時点で年間400万台、以降、年平均成長率（CAGR）１％と推定
　・有機ELテレビ導入量は、販売開始の2026年時点で年間75万台、以降、年平均成長率（CAGR）10％で推移すると推定
　・開発技術の市場導入量は、以下を想定し、算出
　　　大型テレビ市場における当社のシェアは現在30％
　　　本開発技術の製品化は、2026年から市場導入を開始する予定で、新規に販売する製品のすべてを開発技術搭載製品に変更する
　　　当社の有機ELテレビの販売のシェアは、当初2026年の5%から、2034年以降33％に増大させる計画としている。
　・開発製品の寿命は１０年を想定しているため、２０２６年から導入した製品は、２０３６年から廃棄されるものと推定
　　　2040年時点での市場累計量は、5,741,987台
　　　この累計量に、指標Aをかけ合わせて、12.441万KL／年　が、本技術での２０４０年度に達成できる省エネ効果量である。</t>
    <rPh sb="16" eb="17">
      <t>ネン</t>
    </rPh>
    <rPh sb="17" eb="19">
      <t>ジテン</t>
    </rPh>
    <rPh sb="20" eb="22">
      <t>ネンカン</t>
    </rPh>
    <rPh sb="52" eb="54">
      <t>ユウキ</t>
    </rPh>
    <rPh sb="64" eb="66">
      <t>ハンバイ</t>
    </rPh>
    <rPh sb="66" eb="68">
      <t>カイシ</t>
    </rPh>
    <rPh sb="74" eb="76">
      <t>ジテン</t>
    </rPh>
    <rPh sb="103" eb="105">
      <t>スイイ</t>
    </rPh>
    <rPh sb="139" eb="141">
      <t>オオガタ</t>
    </rPh>
    <rPh sb="157" eb="159">
      <t>ゲンザイ</t>
    </rPh>
    <rPh sb="231" eb="233">
      <t>ユウキ</t>
    </rPh>
    <rPh sb="239" eb="241">
      <t>ハンバイ</t>
    </rPh>
    <rPh sb="247" eb="249">
      <t>トウショ</t>
    </rPh>
    <rPh sb="253" eb="254">
      <t>ネン</t>
    </rPh>
    <rPh sb="355" eb="358">
      <t>ネンジテン</t>
    </rPh>
    <rPh sb="360" eb="362">
      <t>シジョウ</t>
    </rPh>
    <rPh sb="362" eb="365">
      <t>ルイケイリョウ</t>
    </rPh>
    <rPh sb="376" eb="377">
      <t>ダイ</t>
    </rPh>
    <rPh sb="384" eb="387">
      <t>ルイケイリョウ</t>
    </rPh>
    <rPh sb="389" eb="391">
      <t>シヒョウ</t>
    </rPh>
    <rPh sb="395" eb="396">
      <t>ア</t>
    </rPh>
    <rPh sb="406" eb="407">
      <t>マン</t>
    </rPh>
    <rPh sb="410" eb="411">
      <t>ネン</t>
    </rPh>
    <rPh sb="414" eb="417">
      <t>ホンギジュツ</t>
    </rPh>
    <rPh sb="423" eb="425">
      <t>ネンド</t>
    </rPh>
    <rPh sb="426" eb="428">
      <t>タッセイ</t>
    </rPh>
    <rPh sb="431" eb="432">
      <t>ショウ</t>
    </rPh>
    <rPh sb="434" eb="437">
      <t>コウカリョウ</t>
    </rPh>
    <phoneticPr fontId="6"/>
  </si>
  <si>
    <t>量産体制を整備する2032年から販売を開始する</t>
    <rPh sb="0" eb="2">
      <t>リョウサン</t>
    </rPh>
    <rPh sb="2" eb="4">
      <t>タイセイ</t>
    </rPh>
    <rPh sb="5" eb="7">
      <t>セイビ</t>
    </rPh>
    <rPh sb="13" eb="14">
      <t>ネン</t>
    </rPh>
    <rPh sb="16" eb="18">
      <t>ハンバイ</t>
    </rPh>
    <rPh sb="19" eb="21">
      <t>カイシ</t>
    </rPh>
    <phoneticPr fontId="6"/>
  </si>
  <si>
    <t>＜前提条件＞ 
〇ガスタービンの出力は、20MWとする。 
〇従来のGTは、定格(100%)の時の効率は50%（１）、50%負荷時の効率は30%（２）、負荷応答性は5%/分とする。 
〇開発するGTは、定格時の効率は52.5%（４）、40%負荷まで運転可能でその時の効率を30%（５）、負荷応答性は10%/分とする。 
〇100%負荷の運転は、18時間/日で、残りの6時間（6回/日）は、再生可能エネルギー対応のため部分負荷運転とする。 
〇従来GTの部分負荷運転は、100%から５%/分で10分かけて50%負荷に達し、40分間負荷50%で運転し、10分間かけて100%負荷に達する。 （３）
〇開発GTの部分負荷運転は、100%から10%/分で6分かけて40%負荷に達し、48分間負荷40%で運転し、6分間かけて100%負荷に達する。 （６）
〇40または50％負荷～100%負荷では、出力・効率ともに線形とする。 
〇年間の稼働率を95%とする。 
〇2024年まで開発し、2027年度から販売開始とする。 
指標Aの算出
　〇従来GT
　　　（１）100%負荷時(1時間)の原油相当の燃料消費量	
　　　  	20MW×1000ｋW/MW/0.5×8.64MJ/kWh　＝　345600 MJ/h
　　　（２）50%負荷時(1時間)の原油相当の燃料消費量	
　　　  	20MW×0.5×1000kW/MW/0.3×8.64MJ/kWh　＝　288000 MJ/h
　　　（３）100%～50%負荷変化時(10分間)の原油相当の燃料消費量	
　　　  	(20MW/0.5＋10MW/0.3) ×1000ｋW/MW/2×8.64MJ/kWh　＝　329143 MJ/h
　　　1年間の原油相当の燃料消費量	
　　　　　(（１）MJ/h×18h/d+（２）MJ/h×40/60×6h/d+（３）MJ/h×10/60×2×6h/d) ×365d/y×0.95 = 2,776,219,200 MJ/y
　〇開発GT
　　　（４）100%負荷時(1時間)の原油相当の燃料消費量	
　　　  	20MW×1000kW/MW/0.525×8.64MJ/kWh　＝　329142.9 MJ/h
　　　（５）40%負荷時(1時間)の原油相当の燃料消費量	
　　　  	20MW×0.4×1000kW/MW/0.3×8.64MJ/kWh　＝　230400 MJ/h
　　　（６）100%～40%負荷変化時(6分間)の原油相当の燃料消費量	
　　　  	(20MW/0.525＋8MW/0.3) ×1000kW/MW/2×8.64MJ/kWh　＝　279771.4 MJ/h
　　　　1年間の原油相当の燃料消費量	
　　　　　(（４）MJ/h×18h/d+（５）MJ/h×48/60×6h/d+（６）MJ/h×6/60×2×6h/d) ×365d/y×0.95 = 2,554,236,050  MJ/y</t>
    <rPh sb="458" eb="460">
      <t>シヒョウ</t>
    </rPh>
    <rPh sb="462" eb="464">
      <t>サンシュツ</t>
    </rPh>
    <phoneticPr fontId="6"/>
  </si>
  <si>
    <t>1年間の原油相当の燃料消費量	
	(（１）×18+（２）×40/60×6+（３）×10/60×2×6) ×365×0.95 =2,776,219,200 MJ/y</t>
    <phoneticPr fontId="6"/>
  </si>
  <si>
    <t>1年間の原油相当の燃料消費量	
	(（４）×18+（５）×48/60×6+（６）×6/60×2×6) ×365×0.95 = 2,554,235,462 MJ/y</t>
    <phoneticPr fontId="6"/>
  </si>
  <si>
    <t xml:space="preserve">○市場動向
・世界のガスタービン市場は年平均成長率(CAGR)３～５％の堅調な成長が見込まれている
・30MW級ガスタービンの国内稼働基数は60基程度で、更新・新規導入の両面を含め堅調な増加が期待される（当社調べ）
　　 →本技術開発によって高効率ニーズに適応し、2040年度時点でストック量で40％のシェアを目指す
　〇具体的には、以下の製造・販売計画に基づき、市場導入量を算出する。
　　・2024年までに開発を完了し、生産環境を整備して2027年度から販売を開始する。 
　　・2032年までに生産環境を強化し、この年より増産を開始する
  ○海外に対しては、上記増産環境に合わせ、2032年からの販売を計画する
</t>
    <rPh sb="1" eb="3">
      <t>シジョウ</t>
    </rPh>
    <rPh sb="3" eb="5">
      <t>ドウコウ</t>
    </rPh>
    <rPh sb="7" eb="9">
      <t>セカイ</t>
    </rPh>
    <rPh sb="16" eb="18">
      <t>シジョウ</t>
    </rPh>
    <rPh sb="19" eb="22">
      <t>ネンヘイキン</t>
    </rPh>
    <rPh sb="22" eb="25">
      <t>セイチョウリツ</t>
    </rPh>
    <rPh sb="36" eb="38">
      <t>ケンチョウ</t>
    </rPh>
    <rPh sb="39" eb="41">
      <t>セイチョウ</t>
    </rPh>
    <rPh sb="42" eb="44">
      <t>ミコ</t>
    </rPh>
    <rPh sb="63" eb="65">
      <t>コクナイ</t>
    </rPh>
    <rPh sb="65" eb="69">
      <t>カドウキスウ</t>
    </rPh>
    <rPh sb="77" eb="79">
      <t>コウシン</t>
    </rPh>
    <rPh sb="88" eb="89">
      <t>フク</t>
    </rPh>
    <rPh sb="90" eb="92">
      <t>ケンチョウ</t>
    </rPh>
    <rPh sb="93" eb="95">
      <t>ゾウカ</t>
    </rPh>
    <rPh sb="96" eb="98">
      <t>キタイ</t>
    </rPh>
    <rPh sb="102" eb="104">
      <t>トウシャ</t>
    </rPh>
    <rPh sb="104" eb="105">
      <t>シラ</t>
    </rPh>
    <rPh sb="121" eb="124">
      <t>コウコウリツ</t>
    </rPh>
    <rPh sb="128" eb="130">
      <t>テキオウ</t>
    </rPh>
    <rPh sb="136" eb="138">
      <t>ネンド</t>
    </rPh>
    <rPh sb="138" eb="140">
      <t>ジテン</t>
    </rPh>
    <rPh sb="145" eb="146">
      <t>リョウ</t>
    </rPh>
    <rPh sb="155" eb="157">
      <t>メザ</t>
    </rPh>
    <rPh sb="239" eb="242">
      <t>グタイテキ</t>
    </rPh>
    <rPh sb="245" eb="247">
      <t>イカ</t>
    </rPh>
    <rPh sb="324" eb="325">
      <t>ネン</t>
    </rPh>
    <rPh sb="328" eb="332">
      <t>セイサンカンキョウ</t>
    </rPh>
    <rPh sb="333" eb="335">
      <t>キョウカ</t>
    </rPh>
    <rPh sb="339" eb="340">
      <t>トシ</t>
    </rPh>
    <rPh sb="342" eb="344">
      <t>ゾウサン</t>
    </rPh>
    <rPh sb="345" eb="347">
      <t>カイシ</t>
    </rPh>
    <rPh sb="354" eb="356">
      <t>カイガイ</t>
    </rPh>
    <rPh sb="357" eb="358">
      <t>タイ</t>
    </rPh>
    <rPh sb="362" eb="364">
      <t>ジョウキ</t>
    </rPh>
    <rPh sb="364" eb="366">
      <t>ゾウサン</t>
    </rPh>
    <rPh sb="366" eb="368">
      <t>カンキョウ</t>
    </rPh>
    <rPh sb="369" eb="370">
      <t>ア</t>
    </rPh>
    <rPh sb="377" eb="378">
      <t>ネン</t>
    </rPh>
    <rPh sb="381" eb="383">
      <t>ハンバイ</t>
    </rPh>
    <rPh sb="384" eb="386">
      <t>ケイカク</t>
    </rPh>
    <phoneticPr fontId="6"/>
  </si>
  <si>
    <t>本枠内の情報は【提案書ファイルB】内では別シートかつ非表示</t>
    <rPh sb="0" eb="3">
      <t>ホンワクナイ</t>
    </rPh>
    <rPh sb="4" eb="6">
      <t>ジョウホウ</t>
    </rPh>
    <rPh sb="8" eb="11">
      <t>テイアンショ</t>
    </rPh>
    <rPh sb="17" eb="18">
      <t>ナイ</t>
    </rPh>
    <rPh sb="20" eb="21">
      <t>ベツ</t>
    </rPh>
    <rPh sb="26" eb="29">
      <t>ヒヒョウジ</t>
    </rPh>
    <phoneticPr fontId="2"/>
  </si>
  <si>
    <t>市場1</t>
    <rPh sb="0" eb="2">
      <t>シジョウ</t>
    </rPh>
    <phoneticPr fontId="2"/>
  </si>
  <si>
    <t>市場2</t>
    <rPh sb="0" eb="2">
      <t>シジョウ</t>
    </rPh>
    <phoneticPr fontId="2"/>
  </si>
  <si>
    <t>市場3</t>
    <rPh sb="0" eb="2">
      <t>シジョウ</t>
    </rPh>
    <phoneticPr fontId="2"/>
  </si>
  <si>
    <t>フリーフォーマット</t>
    <phoneticPr fontId="2"/>
  </si>
  <si>
    <t>合計</t>
    <rPh sb="0" eb="2">
      <t>ゴウケイ</t>
    </rPh>
    <phoneticPr fontId="2"/>
  </si>
  <si>
    <t>基礎化学品Xのバイオプロセス生産による省エネルギー</t>
    <phoneticPr fontId="6"/>
  </si>
  <si>
    <t xml:space="preserve">指標A：単位当たりの省エネルギー効果量 
・従来法の場合の熱処理炉の消費電力：200kW/台（実測）
・高機能接合剤を用いた場合の熱処理炉の消費電力：40kW/台（試算、時間平均）
　　加熱保持温度を下げる／熱処理時間を短縮する ・熱処理炉の年間稼働時間；8640h/年（＝24h×360日/年） 
　　受電端発熱量：8.64MJ／kWh 　　原油換算　　：2.58×10-5KL/MJ 
　　　→（200－40）kW/台×8640h/年×8.64MJ/kWh×2.58E-5kL/MJ＝308.15kL/台・年
 指標B：2040年時点の市場導入（普及）量
 　2040年の市場ストック量 
　　国内対象熱処理炉台数1000台 
　　社内適用＋社外販売（・標準化）で導入量を拡大する
 　　　→シェア40%～400台
 省エネルギー効果 　308.15ｋL/台・年×400台 ＝ 12.33万ｋL/年 </t>
    <rPh sb="45" eb="46">
      <t>ダイ</t>
    </rPh>
    <rPh sb="80" eb="81">
      <t>ダイ</t>
    </rPh>
    <rPh sb="134" eb="135">
      <t>ネン</t>
    </rPh>
    <rPh sb="146" eb="147">
      <t>ネン</t>
    </rPh>
    <rPh sb="210" eb="211">
      <t>ダイ</t>
    </rPh>
    <rPh sb="218" eb="219">
      <t>ネン</t>
    </rPh>
    <rPh sb="304" eb="308">
      <t>ネツショリロ</t>
    </rPh>
    <phoneticPr fontId="6"/>
  </si>
  <si>
    <t>サンプル版</t>
  </si>
  <si>
    <t>＜前提条件＞ 
　・ガスタービンの出力は、20MWとする。 
　・従来のGTは、定格(100%)の時の効率は50%（１）、50%負荷時の効率は30%（２）、負荷応答性は5%/分とする。 
　・開発するGTは、定格時の効率は52.5%（４）、40%負荷まで運転可能でその時の効率を30%（５）、負荷応答性は10%/分とする。 
　・100%負荷の運転は、18時間/日で、残りの6時間（6回/日）は、再生可能エネルギー対応のため部分負荷運転とする。 
　・従来GTの部分負荷運転は、100%から５%/分で10分かけて50%負荷に達し、40分間負荷50%で運転し、10分間かけて100%負荷に達する。 （３）
　・開発GTの部分負荷運転は、100%から10%/分で6分かけて40%負荷に達し、48分間負荷40%で運転し、6分間かけて100%負荷に達する。（６） 
　・40または50％負荷～100%負荷で、出力・効率ともに線形とする。 
　・年間の稼働率を95%とする。
指標Aの算出
　・従来GT
　　　1年間の原油相当の燃料消費量	
　　　　(（１）MJ/h×18h/d+（２）MJ/h×40/60×6h/d+（３）MJ/h×10/60×2×6h/d) ×365d/y×0.95 = 2,776,219,200 MJ/y
　・開発GT
　　　　1年間の原油相当の燃料消費量	
　　　　　(（４）MJ/h×18h/d+（５）MJ/h×48/60×6h/d+（６）MJ/h×6/60×2×6h/d) ×365d/y×0.95 = 2,554,236,050  MJ/y
指標B
　・2024年までに開発を完了し、生産環境を整備して2027年度から販売を開始する。 
　・2032年までに生産環境を強化し、この年より増産を開始する
　・2040年のストック量は30台
　　省エネ効果量　＝　指標A（従来GT－開発GT）×原油換算係数×指標B（30）＝17.18万ｋL／年</t>
    <rPh sb="683" eb="685">
      <t>シヒョウ</t>
    </rPh>
    <rPh sb="769" eb="770">
      <t>ネン</t>
    </rPh>
    <rPh sb="775" eb="776">
      <t>リョウ</t>
    </rPh>
    <rPh sb="779" eb="780">
      <t>ダイ</t>
    </rPh>
    <rPh sb="784" eb="785">
      <t>ショウ</t>
    </rPh>
    <rPh sb="787" eb="790">
      <t>コウカリョウ</t>
    </rPh>
    <rPh sb="793" eb="795">
      <t>シヒョウ</t>
    </rPh>
    <rPh sb="797" eb="799">
      <t>ジュウライ</t>
    </rPh>
    <rPh sb="802" eb="804">
      <t>カイハツ</t>
    </rPh>
    <rPh sb="808" eb="810">
      <t>ゲンユ</t>
    </rPh>
    <rPh sb="810" eb="812">
      <t>カンサン</t>
    </rPh>
    <rPh sb="812" eb="814">
      <t>ケイスウ</t>
    </rPh>
    <rPh sb="815" eb="817">
      <t>シヒョウ</t>
    </rPh>
    <rPh sb="828" eb="829">
      <t>マン</t>
    </rPh>
    <rPh sb="832" eb="833">
      <t>ネン</t>
    </rPh>
    <phoneticPr fontId="6"/>
  </si>
  <si>
    <t xml:space="preserve">指標A: 単位当たりの省エネルギー効果量
  基礎化学品Aの従来法による製造エネルギー
　　原料M1(石油化学品)→中間原料M2→基礎化学品X の製造エネルギー：132MJ/kg-X 
　を
　基礎化学品Aのバイオプロセスによる製造エネルギー 
　　原料糖(バイオマス由来)→バイオ変換工程→濃縮精製工程(蒸留＋膜)：48MJ/kg-X
　に置き換える
　指標A：（132－48）MJ/kg-X×1000kg-X/t-X×2.58×10-5kL/MJ＝2.167kl/t-X
指標B:2040年時点の市場導入（普及）量
 ・国内基礎化学品Xの需要量100万t/年
　　この６％に当たる６万t/年をバイオプロセス生産品に置き換える
　指標Ｂ：６万ｔ/年
 省エネルギー効果 　＝2.167kL/t-X×60,000t-X/年 ＝ 13.0万ｋL/年 </t>
    <rPh sb="156" eb="157">
      <t>マク</t>
    </rPh>
    <rPh sb="171" eb="172">
      <t>オ</t>
    </rPh>
    <rPh sb="173" eb="174">
      <t>カ</t>
    </rPh>
    <rPh sb="178" eb="180">
      <t>シヒョウ</t>
    </rPh>
    <rPh sb="322" eb="323">
      <t>マン</t>
    </rPh>
    <rPh sb="325" eb="326">
      <t>ネン</t>
    </rPh>
    <rPh sb="362" eb="363">
      <t>ネン</t>
    </rPh>
    <phoneticPr fontId="6"/>
  </si>
  <si>
    <t>　＜前提＞　　　　　　　 (注)　下記は数値のみを示していますが、根拠の詳細な説明が必要です。
　○現状／技術開発ターゲット
　　・現在の大型有機ELテレビ１台の消費電力　　　　：４００W　　　　　　　 　　　　　　　　　・・・（１）
　　・現在の大型有機ELテレビ１台の節電機能　　　　：２００W　　　　　　　　　　　　 　　　　・・・（２）
　　・技術開発する大型有機ELテレビ１台の消費電力：２８０W　（開発により３０％減）　 ・・・（３）
　　　（待機電力は十分小さいため０とする）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　・（４）－（５）＝９７．２kWh／（個・年）　
　　　　　　　　　 受電端係数及び原油換算を考慮して　0.021667kL/個・年
＜指標B＞　・大型テレビ導入量は2024年時点で年間400万台、以降、年平均成長率（CAGR）１％と推定
　　　　　　　　・有機ELテレビ導入量は、販売開始の2026年時点で年間75万台、以降、年平均成長率（CAGR）10％で推移すると推定
　　　　　　　　・開発技術の市場導入量は、提案者の有機ELテレビ販売シェアで、当初2026年の5%から、2034年以降33％に増大させる計画
　　　　　　　　　　～２０４０年時点での市場累計量は、5,741,987台
　この累計量に、指標Aをかけ合わせて、12.441万KL／年　が、本技術での２０４０年度に達成できる省エネ効果量である。</t>
    <rPh sb="460" eb="462">
      <t>シヒョウ</t>
    </rPh>
    <rPh sb="499" eb="502">
      <t>ジュデンタン</t>
    </rPh>
    <rPh sb="502" eb="504">
      <t>ケイスウ</t>
    </rPh>
    <rPh sb="504" eb="505">
      <t>オヨ</t>
    </rPh>
    <rPh sb="506" eb="510">
      <t>ゲンユカンサン</t>
    </rPh>
    <rPh sb="511" eb="513">
      <t>コウリョ</t>
    </rPh>
    <rPh sb="527" eb="528">
      <t>コ</t>
    </rPh>
    <rPh sb="529" eb="530">
      <t>ネン</t>
    </rPh>
    <rPh sb="533" eb="535">
      <t>シヒョウ</t>
    </rPh>
    <rPh sb="674" eb="677">
      <t>テイアンシャ</t>
    </rPh>
    <phoneticPr fontId="6"/>
  </si>
  <si>
    <t>例⑤は欠番です。</t>
    <rPh sb="0" eb="1">
      <t>レイ</t>
    </rPh>
    <rPh sb="3" eb="5">
      <t>ケツバン</t>
    </rPh>
    <phoneticPr fontId="2"/>
  </si>
  <si>
    <t>目次</t>
    <rPh sb="0" eb="2">
      <t>モクジ</t>
    </rPh>
    <phoneticPr fontId="2"/>
  </si>
  <si>
    <t>（事例⑤は欠番）</t>
    <rPh sb="1" eb="3">
      <t>ジレイ</t>
    </rPh>
    <phoneticPr fontId="2"/>
  </si>
  <si>
    <r>
      <t>事例①</t>
    </r>
    <r>
      <rPr>
        <sz val="11"/>
        <rFont val="Calibri"/>
        <family val="2"/>
      </rPr>
      <t xml:space="preserve">. </t>
    </r>
    <r>
      <rPr>
        <sz val="11"/>
        <rFont val="游ゴシック"/>
        <family val="3"/>
        <charset val="128"/>
        <scheme val="minor"/>
      </rPr>
      <t>高機能接合剤の開発による電子部品熱処理工程の省エネルギー</t>
    </r>
    <phoneticPr fontId="2"/>
  </si>
  <si>
    <r>
      <t>事例③</t>
    </r>
    <r>
      <rPr>
        <sz val="11"/>
        <rFont val="Calibri"/>
        <family val="2"/>
      </rPr>
      <t>. 500MW</t>
    </r>
    <r>
      <rPr>
        <sz val="11"/>
        <rFont val="游ゴシック"/>
        <family val="3"/>
        <charset val="128"/>
        <scheme val="minor"/>
      </rPr>
      <t>級耐熱型高効率発電機</t>
    </r>
    <phoneticPr fontId="2"/>
  </si>
  <si>
    <r>
      <t>事例④</t>
    </r>
    <r>
      <rPr>
        <sz val="11"/>
        <rFont val="Calibri"/>
        <family val="2"/>
      </rPr>
      <t xml:space="preserve">. </t>
    </r>
    <r>
      <rPr>
        <sz val="11"/>
        <rFont val="游ゴシック"/>
        <family val="3"/>
        <charset val="128"/>
        <scheme val="minor"/>
      </rPr>
      <t>自動車部材の</t>
    </r>
    <r>
      <rPr>
        <sz val="11"/>
        <rFont val="Calibri"/>
        <family val="2"/>
      </rPr>
      <t>CFRP</t>
    </r>
    <r>
      <rPr>
        <sz val="11"/>
        <rFont val="游ゴシック"/>
        <family val="3"/>
        <charset val="128"/>
        <scheme val="minor"/>
      </rPr>
      <t>への置き換えによる車両の軽量化</t>
    </r>
    <phoneticPr fontId="2"/>
  </si>
  <si>
    <r>
      <t>事例⑥</t>
    </r>
    <r>
      <rPr>
        <sz val="11"/>
        <rFont val="Calibri"/>
        <family val="2"/>
      </rPr>
      <t xml:space="preserve">. </t>
    </r>
    <r>
      <rPr>
        <sz val="11"/>
        <rFont val="游ゴシック"/>
        <family val="3"/>
        <charset val="128"/>
        <scheme val="minor"/>
      </rPr>
      <t>商業施設の空調制御技術の開発</t>
    </r>
    <phoneticPr fontId="2"/>
  </si>
  <si>
    <r>
      <t>事例⑦</t>
    </r>
    <r>
      <rPr>
        <sz val="11"/>
        <rFont val="Calibri"/>
        <family val="2"/>
      </rPr>
      <t xml:space="preserve">. </t>
    </r>
    <r>
      <rPr>
        <sz val="11"/>
        <rFont val="游ゴシック"/>
        <family val="3"/>
        <charset val="128"/>
        <scheme val="minor"/>
      </rPr>
      <t>大型有機</t>
    </r>
    <r>
      <rPr>
        <sz val="11"/>
        <rFont val="Calibri"/>
        <family val="2"/>
      </rPr>
      <t>EL</t>
    </r>
    <r>
      <rPr>
        <sz val="11"/>
        <rFont val="游ゴシック"/>
        <family val="3"/>
        <charset val="128"/>
        <scheme val="minor"/>
      </rPr>
      <t>テレビの技術開発</t>
    </r>
    <phoneticPr fontId="2"/>
  </si>
  <si>
    <r>
      <t>事例⑧</t>
    </r>
    <r>
      <rPr>
        <sz val="11"/>
        <rFont val="Calibri"/>
        <family val="2"/>
      </rPr>
      <t xml:space="preserve">. </t>
    </r>
    <r>
      <rPr>
        <sz val="11"/>
        <rFont val="游ゴシック"/>
        <family val="3"/>
        <charset val="128"/>
        <scheme val="minor"/>
      </rPr>
      <t>ガスタービン（</t>
    </r>
    <r>
      <rPr>
        <sz val="11"/>
        <rFont val="Calibri"/>
        <family val="2"/>
      </rPr>
      <t>GT</t>
    </r>
    <r>
      <rPr>
        <sz val="11"/>
        <rFont val="游ゴシック"/>
        <family val="3"/>
        <charset val="128"/>
        <scheme val="minor"/>
      </rPr>
      <t>）の開発</t>
    </r>
    <phoneticPr fontId="2"/>
  </si>
  <si>
    <r>
      <t>事例⑨</t>
    </r>
    <r>
      <rPr>
        <sz val="11"/>
        <rFont val="Calibri"/>
        <family val="2"/>
      </rPr>
      <t xml:space="preserve">. </t>
    </r>
    <r>
      <rPr>
        <sz val="11"/>
        <rFont val="游ゴシック"/>
        <family val="3"/>
        <charset val="128"/>
        <scheme val="minor"/>
      </rPr>
      <t>家庭用小型ヒートポンプ給湯器</t>
    </r>
    <phoneticPr fontId="2"/>
  </si>
  <si>
    <r>
      <t>事例②</t>
    </r>
    <r>
      <rPr>
        <sz val="11"/>
        <rFont val="Calibri"/>
        <family val="2"/>
      </rPr>
      <t xml:space="preserve">. </t>
    </r>
    <r>
      <rPr>
        <sz val="11"/>
        <rFont val="游ゴシック"/>
        <family val="3"/>
        <charset val="128"/>
        <scheme val="minor"/>
      </rPr>
      <t>基礎化学品</t>
    </r>
    <r>
      <rPr>
        <sz val="11"/>
        <rFont val="Calibri"/>
        <family val="2"/>
      </rPr>
      <t>X</t>
    </r>
    <r>
      <rPr>
        <sz val="11"/>
        <rFont val="游ゴシック"/>
        <family val="3"/>
        <charset val="128"/>
        <scheme val="minor"/>
      </rPr>
      <t>のバイオプロセス生産による省エネルギー</t>
    </r>
    <phoneticPr fontId="2"/>
  </si>
  <si>
    <t>乗用車の軽量化材料</t>
    <rPh sb="0" eb="3">
      <t>ジョウヨウシャ</t>
    </rPh>
    <rPh sb="4" eb="9">
      <t>ケイリョウカザイリョウ</t>
    </rPh>
    <phoneticPr fontId="2"/>
  </si>
  <si>
    <t>　○現状／技術開発ターゲット
　　・商業施設のエネルギー消費原単位：３５７２MJ／（m2・年）　　・・・（１）
　　・商業施設の空調のエネルギー消費量の割合：４０%　　　　 ・・・（２）
　　・開発技術で得られる省エネルギー率：２０%　　　　　　　　　　　　・・・（３）
　　　　開発技術を用いたエネルギー消費量：（１）の８０％
　指標Ａ（効果量）
　　従来技術の年間エネルギー消費量は
　　　　（１）×（２）　＝　1428.8　MJ／年
　　開発技術を導入した商業施設の床面積１m2当たりの年間の一次エネルギーは、
　　　　（１）＊０．８×（２）　＝　1143.0　MJ／年　　　　　
　　開発技術１ｍ２あたりの効果量は、（1428.8－1143.0）×原油換算値　＝　0.0073726 ｋL/（m2・年）　　　　　　　　　　　　　　　　
　指標B（市場導入量）
　　本事業で対象とする商業施設の新築着工面積は1140万m2／年で一定、提案者のシェアも30％で一定、
　　　その中で本技術の適用割合は、販売開始の2025年の５％から2030年の30％を経て2040年に50％に到達すると想定
　　2040年時には、市場累計量として、17,544,600 ｍ２の面積に新技術が導入される計画である。
省エネ効果量
　　指標A　×　指標B　＝　0.0073726　×　17,544,600　＝　12.93万ｋL／年　　　　　　　　　　　　</t>
    <rPh sb="298" eb="300">
      <t>カイハツ</t>
    </rPh>
    <rPh sb="300" eb="302">
      <t>ギジュツ</t>
    </rPh>
    <rPh sb="309" eb="312">
      <t>コウカリョウ</t>
    </rPh>
    <rPh sb="376" eb="378">
      <t>シヒョウ</t>
    </rPh>
    <rPh sb="380" eb="382">
      <t>シジョウ</t>
    </rPh>
    <rPh sb="382" eb="385">
      <t>ドウニュウリョウ</t>
    </rPh>
    <rPh sb="389" eb="390">
      <t>ホン</t>
    </rPh>
    <rPh sb="390" eb="392">
      <t>ジギョウ</t>
    </rPh>
    <rPh sb="393" eb="395">
      <t>タイショウ</t>
    </rPh>
    <rPh sb="418" eb="419">
      <t>ネン</t>
    </rPh>
    <rPh sb="420" eb="422">
      <t>イッテイ</t>
    </rPh>
    <rPh sb="423" eb="426">
      <t>テイアンシャ</t>
    </rPh>
    <rPh sb="435" eb="437">
      <t>イッテイ</t>
    </rPh>
    <rPh sb="444" eb="445">
      <t>ナカ</t>
    </rPh>
    <rPh sb="456" eb="460">
      <t>ハンバイカイシ</t>
    </rPh>
    <rPh sb="465" eb="466">
      <t>ネン</t>
    </rPh>
    <rPh sb="475" eb="476">
      <t>ネン</t>
    </rPh>
    <rPh sb="481" eb="482">
      <t>ヘ</t>
    </rPh>
    <rPh sb="493" eb="495">
      <t>トウタツ</t>
    </rPh>
    <rPh sb="498" eb="500">
      <t>ソウテイ</t>
    </rPh>
    <phoneticPr fontId="6"/>
  </si>
  <si>
    <r>
      <t>　＜前提＞
　○現状／技術開発ターゲット
　　・従来の家庭用小型ヒートポンプ給湯器COPの現状値：５．０　　　　　・・・（１）
　　・技術開発する家庭用小型ヒートポンプ給湯器COPの目標値：８．０　・・・（２）
　　・年間給湯負荷：１８０００MJ／年・台　　　　　　　　　　　　　　　　　　　 ・・・（３）
　○定数等　　　　　　　　（注）別表1より
　　・電力受電端発熱量：　８．６４MJ／kWh　　　　　　　　　　　　　　　　　　・・・（７）
　　・電力消費時発生熱量：３．６００MJ／kWh　　　　　　　　　　　　　　　　 ・・・（８）
　○原油への換算
　　・発熱量１MJを原油２．５８×１０</t>
    </r>
    <r>
      <rPr>
        <vertAlign val="superscript"/>
        <sz val="14"/>
        <rFont val="ＭＳ Ｐゴシック"/>
        <family val="3"/>
        <charset val="128"/>
      </rPr>
      <t>－５</t>
    </r>
    <r>
      <rPr>
        <sz val="10.5"/>
        <rFont val="ＭＳ Ｐゴシック"/>
        <family val="3"/>
        <charset val="128"/>
      </rPr>
      <t>kL　　　　　　　　　　　　　　　　　　・・・（９）
＜指標Ａ（効果量）＞
　　①開発器１台当たりの稼働に必要な一次エネルギーは、
　　（３）÷（８）÷（２）＝１８０００÷３．６００÷８．０＝　６２５kWh／（台・年）　　　・・・（１０）
　　②従来の家庭用小型ヒートポンプ給湯器１台当たりの稼働に必要な一次エネルギーは、
　　（３）÷（８）÷（１）＝１８０００÷３．６００÷５．０＝１０００ｋWh／（台・年）　　　・・・（１１）
　　③よって、開発器１台当たりの年間の省エネルギー量は、（１０）、（１１）より
　　　１０００－６２５＝３７５ｋWh／（台・年）　　　　　　　　　　　　　　　　　　　　　　・・・（１２）
　　④原油量に換算すると、
　　（１２）×（９）＝３７５×８．６４×２．５８×１０</t>
    </r>
    <r>
      <rPr>
        <vertAlign val="superscript"/>
        <sz val="12"/>
        <rFont val="ＭＳ Ｐゴシック"/>
        <family val="3"/>
        <charset val="128"/>
      </rPr>
      <t>－５</t>
    </r>
    <r>
      <rPr>
        <sz val="10.5"/>
        <rFont val="ＭＳ Ｐゴシック"/>
        <family val="3"/>
        <charset val="128"/>
      </rPr>
      <t>＝０．０８３５９２kL／（台・年） ・・・（１３）</t>
    </r>
    <phoneticPr fontId="2"/>
  </si>
  <si>
    <t>＜前提＞
　○現状／技術開発ターゲット
　　・販売開始３年後の普及台数（全メーカー製品のストック）：１７００万台　　 　　　　　　　　　・・・（４）
　　・２０４０年の普及台数（全メーカー製品のストック）：２６００万台　　　　　 　　　　　　　　　　 ・・・（５）
　　・上記の内提案者のシェア：現在のシェア20％を２０３６年以降全て開発器で維持する　 　・・・（６）
＜指標Ｂ（導入量）＞
　　　２０４０年における当該開発器の市場ストック量は、下表より１８５万台　　　　　　　　　　・・・（１４）
　　　販売開始３年後　　　　　　　　 の市場ストック量は、下表より　２５万台　　　　　　　　　　・・・（１５）
●省エネルギー効果量（原油換算値）
　　以上の指標Ａ、指標Ｂの計算結果から、
　（１３）×（１４）＝０．０８３５９２×１８５万台＝１５．４６５ 万KL（＠２０３０年）
[参考値]
　（１３）×（１５）＝０．０８３５９２×２５万台＝２．０９万KL（＠販売開始後３年後）</t>
    <rPh sb="148" eb="150">
      <t>ゲンザイ</t>
    </rPh>
    <rPh sb="162" eb="163">
      <t>ネン</t>
    </rPh>
    <rPh sb="163" eb="165">
      <t>イコウ</t>
    </rPh>
    <rPh sb="165" eb="166">
      <t>スベ</t>
    </rPh>
    <rPh sb="224" eb="226">
      <t>カヒョウ</t>
    </rPh>
    <rPh sb="254" eb="256">
      <t>ハンバイ</t>
    </rPh>
    <rPh sb="256" eb="258">
      <t>カイシ</t>
    </rPh>
    <rPh sb="259" eb="261">
      <t>ネンゴ</t>
    </rPh>
    <phoneticPr fontId="2"/>
  </si>
  <si>
    <t>　＜前提＞
　○現状／技術開発ターゲット
　　・従来の家庭用小型ヒートポンプ給湯器COPの現状値：５．０　　　　・・・（１）
　　・技術開発する家庭用小型ヒートポンプ給湯器COPの目標値：８．０・・・（２）
　　・年間給湯負荷：１８０００MJ／年・台　　　　　　　　　　　　　　　　　　　 ・・・（３）
　　・販売開始３年後の普及台数（全メーカー製品のストック）：１７００万台　　 　・・・（４）
　　・２０４０年の普及台数（全メーカー製品のストック）：２６００万台　　　　　　  　・・・（５）
　　・提案者のシェア：現在のシェア20％を２０３６年以降全て開発器で維持する・・・（６）
＜指標Ａ（効果量）＞
　　①開発器１台当たりの稼働に必要な一次エネルギーは、
　　（３）÷（８）÷（２）＝１８０００÷３．６００÷８．０＝６２５ｋWh／（台・年）・・・（１０）
　　②従来の家庭用小型ヒートポンプ給湯器１台当たりの稼働に必要な一次エネルギーは、
　　（３）÷（８）÷（１）＝１８０００÷３．６００÷５．０×８．６４＝１０００ｋWh／（台・年）・・・（１１）
　　③よって、開発器１台当たりの年間の省エネルギー量は、（１０）、（１１）より
　　　１０００－６２５＝３７５ｋWh／（台・年）　　　　　　　　　　　　　　　　　　　　　 ・・・（１２）
　　④原油量に換算すると、
　　（１２）×（９）＝３７５×８．６４×２．５８×１０－５＝０．０８３５９２kL／（台・年）　 　 ・・・（１３）
＜指標Ｂ（導入量）＞
　　①２０４０年における当該開発器の市場ストック量は１８５万台　　　　　　　　 ・・・（１４）
●省エネルギー効果量（原油換算値）
　（１３）×（１４）＝０．０８３５９２×１８５万台＝１５．４６５ 万KL（＠２０４０年）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</si>
</sst>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0E+00"/>
    <numFmt numFmtId="177" formatCode="0.000000000"/>
    <numFmt numFmtId="178" formatCode="#,##0.0000000000;[Red]\-#,##0.0000000000"/>
    <numFmt numFmtId="179" formatCode="0.0000000000"/>
    <numFmt numFmtId="180" formatCode="0.000"/>
    <numFmt numFmtId="181" formatCode="0.0"/>
    <numFmt numFmtId="182" formatCode="0.0%"/>
    <numFmt numFmtId="183" formatCode="#,##0_ ;[Red]\-#,##0\ "/>
    <numFmt numFmtId="184" formatCode="0.000_ "/>
    <numFmt numFmtId="185" formatCode="#,##0_);[Red]\(#,##0\)"/>
    <numFmt numFmtId="186" formatCode="#,##0.000;[Red]\-#,##0.000"/>
    <numFmt numFmtId="187" formatCode="#,##0.0;[Red]\-#,##0.0"/>
    <numFmt numFmtId="188" formatCode="#,##0.000000;[Red]\-#,##0.000000"/>
  </numFmts>
  <fonts count="4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rgb="FFC00000"/>
      <name val="游ゴシック"/>
      <family val="3"/>
      <charset val="128"/>
      <scheme val="minor"/>
    </font>
    <font>
      <sz val="10.5"/>
      <color theme="1"/>
      <name val="游ゴシック"/>
      <family val="3"/>
      <charset val="128"/>
      <scheme val="minor"/>
    </font>
    <font>
      <sz val="10.5"/>
      <name val="Meiryo UI"/>
      <family val="3"/>
      <charset val="128"/>
    </font>
    <font>
      <sz val="6"/>
      <name val="ＭＳ Ｐゴシック"/>
      <family val="3"/>
      <charset val="128"/>
    </font>
    <font>
      <sz val="10.5"/>
      <name val="ＭＳ Ｐゴシック"/>
      <family val="3"/>
      <charset val="128"/>
    </font>
    <font>
      <b/>
      <sz val="14"/>
      <color theme="1"/>
      <name val="游ゴシック"/>
      <family val="3"/>
      <charset val="128"/>
      <scheme val="minor"/>
    </font>
    <font>
      <b/>
      <u/>
      <sz val="14"/>
      <color theme="1"/>
      <name val="游ゴシック"/>
      <family val="3"/>
      <charset val="128"/>
      <scheme val="minor"/>
    </font>
    <font>
      <b/>
      <sz val="10.5"/>
      <color theme="1"/>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
      <sz val="10.5"/>
      <name val="游ゴシック"/>
      <family val="3"/>
      <charset val="128"/>
      <scheme val="minor"/>
    </font>
    <font>
      <b/>
      <sz val="10.5"/>
      <color rgb="FFC00000"/>
      <name val="游ゴシック"/>
      <family val="3"/>
      <charset val="128"/>
      <scheme val="minor"/>
    </font>
    <font>
      <b/>
      <sz val="10.5"/>
      <color rgb="FFFF0000"/>
      <name val="游ゴシック"/>
      <family val="3"/>
      <charset val="128"/>
      <scheme val="minor"/>
    </font>
    <font>
      <u/>
      <sz val="10.5"/>
      <color theme="10"/>
      <name val="游ゴシック"/>
      <family val="3"/>
      <charset val="128"/>
      <scheme val="minor"/>
    </font>
    <font>
      <b/>
      <u/>
      <sz val="14"/>
      <name val="游ゴシック"/>
      <family val="3"/>
      <charset val="128"/>
      <scheme val="minor"/>
    </font>
    <font>
      <u/>
      <sz val="11"/>
      <color rgb="FFFF0000"/>
      <name val="游ゴシック"/>
      <family val="3"/>
      <charset val="128"/>
      <scheme val="minor"/>
    </font>
    <font>
      <sz val="10.5"/>
      <color rgb="FFFF0000"/>
      <name val="游ゴシック"/>
      <family val="3"/>
      <charset val="128"/>
      <scheme val="minor"/>
    </font>
    <font>
      <sz val="10.5"/>
      <color theme="1"/>
      <name val="游ゴシック"/>
      <family val="2"/>
      <charset val="128"/>
      <scheme val="minor"/>
    </font>
    <font>
      <vertAlign val="superscript"/>
      <sz val="14"/>
      <color theme="1"/>
      <name val="游ゴシック"/>
      <family val="3"/>
      <charset val="128"/>
      <scheme val="minor"/>
    </font>
    <font>
      <vertAlign val="superscript"/>
      <sz val="10.5"/>
      <color theme="1"/>
      <name val="游ゴシック"/>
      <family val="3"/>
      <charset val="128"/>
      <scheme val="minor"/>
    </font>
    <font>
      <sz val="11"/>
      <name val="ＭＳ Ｐゴシック"/>
      <family val="3"/>
      <charset val="128"/>
    </font>
    <font>
      <b/>
      <sz val="14"/>
      <name val="游ゴシック"/>
      <family val="3"/>
      <charset val="128"/>
      <scheme val="minor"/>
    </font>
    <font>
      <sz val="11"/>
      <name val="游ゴシック"/>
      <family val="3"/>
      <charset val="128"/>
      <scheme val="minor"/>
    </font>
    <font>
      <sz val="11"/>
      <name val="游ゴシック"/>
      <family val="2"/>
      <charset val="128"/>
      <scheme val="minor"/>
    </font>
    <font>
      <sz val="10.5"/>
      <color theme="1"/>
      <name val="ＭＳ Ｐゴシック"/>
      <family val="3"/>
      <charset val="128"/>
    </font>
    <font>
      <b/>
      <sz val="18"/>
      <color theme="1"/>
      <name val="ＭＳ Ｐゴシック"/>
      <family val="3"/>
      <charset val="128"/>
    </font>
    <font>
      <sz val="10.5"/>
      <color rgb="FFFF0000"/>
      <name val="ＭＳ Ｐゴシック"/>
      <family val="3"/>
      <charset val="128"/>
    </font>
    <font>
      <b/>
      <sz val="10.5"/>
      <color theme="1"/>
      <name val="ＭＳ Ｐゴシック"/>
      <family val="3"/>
      <charset val="128"/>
    </font>
    <font>
      <u/>
      <sz val="10.5"/>
      <color theme="10"/>
      <name val="ＭＳ Ｐゴシック"/>
      <family val="3"/>
      <charset val="128"/>
    </font>
    <font>
      <b/>
      <sz val="14"/>
      <color theme="1"/>
      <name val="ＭＳ Ｐゴシック"/>
      <family val="3"/>
      <charset val="128"/>
    </font>
    <font>
      <sz val="11"/>
      <color theme="1"/>
      <name val="ＭＳ Ｐゴシック"/>
      <family val="3"/>
      <charset val="128"/>
    </font>
    <font>
      <sz val="10.5"/>
      <color rgb="FFC00000"/>
      <name val="ＭＳ Ｐゴシック"/>
      <family val="3"/>
      <charset val="128"/>
    </font>
    <font>
      <sz val="11"/>
      <color rgb="FFC00000"/>
      <name val="ＭＳ Ｐゴシック"/>
      <family val="3"/>
      <charset val="128"/>
    </font>
    <font>
      <b/>
      <sz val="14"/>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vertAlign val="superscript"/>
      <sz val="14"/>
      <name val="游ゴシック"/>
      <family val="3"/>
      <charset val="128"/>
      <scheme val="minor"/>
    </font>
    <font>
      <sz val="10"/>
      <name val="ＭＳ Ｐゴシック"/>
      <family val="3"/>
      <charset val="128"/>
    </font>
    <font>
      <vertAlign val="superscript"/>
      <sz val="12"/>
      <name val="ＭＳ Ｐゴシック"/>
      <family val="3"/>
      <charset val="128"/>
    </font>
    <font>
      <sz val="11"/>
      <name val="Calibri"/>
      <family val="2"/>
    </font>
  </fonts>
  <fills count="7">
    <fill>
      <patternFill patternType="none"/>
    </fill>
    <fill>
      <patternFill patternType="gray125"/>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top/>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style="medium">
        <color rgb="FFC00000"/>
      </right>
      <top/>
      <bottom/>
      <diagonal/>
    </border>
    <border>
      <left style="thin">
        <color indexed="64"/>
      </left>
      <right style="medium">
        <color rgb="FFC00000"/>
      </right>
      <top style="thin">
        <color indexed="64"/>
      </top>
      <bottom/>
      <diagonal/>
    </border>
    <border>
      <left style="medium">
        <color rgb="FFC00000"/>
      </left>
      <right style="medium">
        <color rgb="FFC00000"/>
      </right>
      <top style="medium">
        <color rgb="FFC00000"/>
      </top>
      <bottom/>
      <diagonal/>
    </border>
    <border>
      <left/>
      <right/>
      <top style="thin">
        <color indexed="64"/>
      </top>
      <bottom/>
      <diagonal/>
    </border>
    <border>
      <left style="medium">
        <color rgb="FFC00000"/>
      </left>
      <right style="medium">
        <color rgb="FF00B050"/>
      </right>
      <top style="medium">
        <color rgb="FF00B050"/>
      </top>
      <bottom/>
      <diagonal/>
    </border>
    <border>
      <left style="medium">
        <color rgb="FF00B050"/>
      </left>
      <right style="medium">
        <color rgb="FF00B050"/>
      </right>
      <top style="medium">
        <color rgb="FF00B050"/>
      </top>
      <bottom/>
      <diagonal/>
    </border>
    <border>
      <left style="thin">
        <color indexed="64"/>
      </left>
      <right style="medium">
        <color rgb="FFC00000"/>
      </right>
      <top/>
      <bottom style="thin">
        <color indexed="64"/>
      </bottom>
      <diagonal/>
    </border>
    <border>
      <left style="medium">
        <color rgb="FFC00000"/>
      </left>
      <right/>
      <top/>
      <bottom style="thin">
        <color indexed="64"/>
      </bottom>
      <diagonal/>
    </border>
    <border>
      <left style="thin">
        <color indexed="64"/>
      </left>
      <right style="medium">
        <color rgb="FFC00000"/>
      </right>
      <top style="medium">
        <color rgb="FFC00000"/>
      </top>
      <bottom style="thin">
        <color indexed="64"/>
      </bottom>
      <diagonal/>
    </border>
    <border>
      <left style="medium">
        <color rgb="FFC00000"/>
      </left>
      <right style="medium">
        <color rgb="FF00B050"/>
      </right>
      <top style="medium">
        <color rgb="FF00B050"/>
      </top>
      <bottom style="thin">
        <color indexed="64"/>
      </bottom>
      <diagonal/>
    </border>
    <border>
      <left/>
      <right style="medium">
        <color rgb="FFC00000"/>
      </right>
      <top/>
      <bottom style="thin">
        <color indexed="64"/>
      </bottom>
      <diagonal/>
    </border>
    <border>
      <left style="medium">
        <color rgb="FFC00000"/>
      </left>
      <right style="medium">
        <color rgb="FF00B050"/>
      </right>
      <top/>
      <bottom style="thin">
        <color indexed="64"/>
      </bottom>
      <diagonal/>
    </border>
    <border>
      <left style="medium">
        <color rgb="FF00B050"/>
      </left>
      <right style="medium">
        <color rgb="FF00B050"/>
      </right>
      <top/>
      <bottom style="thin">
        <color indexed="64"/>
      </bottom>
      <diagonal/>
    </border>
    <border>
      <left style="thin">
        <color indexed="64"/>
      </left>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right style="medium">
        <color rgb="FFC00000"/>
      </right>
      <top style="thin">
        <color indexed="64"/>
      </top>
      <bottom style="thin">
        <color indexed="64"/>
      </bottom>
      <diagonal/>
    </border>
    <border>
      <left/>
      <right style="medium">
        <color rgb="FF00B050"/>
      </right>
      <top style="thin">
        <color indexed="64"/>
      </top>
      <bottom style="thin">
        <color indexed="64"/>
      </bottom>
      <diagonal/>
    </border>
    <border>
      <left style="medium">
        <color rgb="FF00B050"/>
      </left>
      <right style="medium">
        <color rgb="FF00B050"/>
      </right>
      <top style="thin">
        <color indexed="64"/>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rgb="FFC00000"/>
      </left>
      <right style="medium">
        <color rgb="FF00B050"/>
      </right>
      <top/>
      <bottom style="medium">
        <color rgb="FF00B050"/>
      </bottom>
      <diagonal/>
    </border>
    <border>
      <left/>
      <right style="medium">
        <color rgb="FFC00000"/>
      </right>
      <top style="thin">
        <color indexed="64"/>
      </top>
      <bottom style="medium">
        <color rgb="FFC00000"/>
      </bottom>
      <diagonal/>
    </border>
    <border>
      <left/>
      <right style="medium">
        <color rgb="FF00B050"/>
      </right>
      <top style="thin">
        <color indexed="64"/>
      </top>
      <bottom style="medium">
        <color rgb="FF00B050"/>
      </bottom>
      <diagonal/>
    </border>
    <border>
      <left style="medium">
        <color rgb="FF00B050"/>
      </left>
      <right style="medium">
        <color rgb="FF00B050"/>
      </right>
      <top style="thin">
        <color indexed="64"/>
      </top>
      <bottom style="medium">
        <color rgb="FF00B050"/>
      </bottom>
      <diagonal/>
    </border>
    <border>
      <left style="medium">
        <color rgb="FF00B050"/>
      </left>
      <right style="medium">
        <color rgb="FF00B050"/>
      </right>
      <top/>
      <bottom style="medium">
        <color rgb="FF00B05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style="thin">
        <color indexed="64"/>
      </bottom>
      <diagonal/>
    </border>
    <border>
      <left style="medium">
        <color rgb="FFC00000"/>
      </left>
      <right style="thin">
        <color auto="1"/>
      </right>
      <top style="thin">
        <color auto="1"/>
      </top>
      <bottom/>
      <diagonal/>
    </border>
    <border>
      <left style="medium">
        <color rgb="FFC00000"/>
      </left>
      <right style="thin">
        <color indexed="64"/>
      </right>
      <top/>
      <bottom style="medium">
        <color rgb="FFC00000"/>
      </bottom>
      <diagonal/>
    </border>
    <border>
      <left style="thin">
        <color indexed="64"/>
      </left>
      <right style="thin">
        <color indexed="64"/>
      </right>
      <top style="thin">
        <color indexed="64"/>
      </top>
      <bottom style="medium">
        <color rgb="FFC00000"/>
      </bottom>
      <diagonal/>
    </border>
    <border>
      <left style="medium">
        <color rgb="FFC00000"/>
      </left>
      <right style="thin">
        <color indexed="64"/>
      </right>
      <top style="medium">
        <color rgb="FFC00000"/>
      </top>
      <bottom style="thin">
        <color indexed="64"/>
      </bottom>
      <diagonal/>
    </border>
    <border>
      <left style="thin">
        <color indexed="64"/>
      </left>
      <right/>
      <top style="medium">
        <color rgb="FFC00000"/>
      </top>
      <bottom style="thin">
        <color indexed="64"/>
      </bottom>
      <diagonal/>
    </border>
    <border>
      <left style="medium">
        <color rgb="FFC00000"/>
      </left>
      <right style="medium">
        <color rgb="FFC00000"/>
      </right>
      <top style="medium">
        <color rgb="FFC00000"/>
      </top>
      <bottom style="thin">
        <color indexed="64"/>
      </bottom>
      <diagonal/>
    </border>
    <border>
      <left style="thin">
        <color indexed="64"/>
      </left>
      <right style="thin">
        <color indexed="64"/>
      </right>
      <top style="thin">
        <color indexed="64"/>
      </top>
      <bottom style="thin">
        <color indexed="64"/>
      </bottom>
      <diagonal/>
    </border>
    <border>
      <left style="medium">
        <color rgb="FFC00000"/>
      </left>
      <right style="medium">
        <color rgb="FFC00000"/>
      </right>
      <top style="thin">
        <color indexed="64"/>
      </top>
      <bottom style="thin">
        <color indexed="64"/>
      </bottom>
      <diagonal/>
    </border>
    <border>
      <left style="thin">
        <color indexed="64"/>
      </left>
      <right/>
      <top style="thin">
        <color indexed="64"/>
      </top>
      <bottom style="medium">
        <color rgb="FFC00000"/>
      </bottom>
      <diagonal/>
    </border>
    <border>
      <left style="medium">
        <color rgb="FFC00000"/>
      </left>
      <right style="medium">
        <color rgb="FFC00000"/>
      </right>
      <top style="thin">
        <color indexed="64"/>
      </top>
      <bottom style="medium">
        <color rgb="FFC00000"/>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261">
    <xf numFmtId="0" fontId="0" fillId="0" borderId="0" xfId="0">
      <alignment vertical="center"/>
    </xf>
    <xf numFmtId="0" fontId="1" fillId="0" borderId="0" xfId="2" applyAlignment="1">
      <alignment vertical="top" wrapText="1"/>
    </xf>
    <xf numFmtId="0" fontId="1" fillId="0" borderId="0" xfId="2" applyAlignment="1">
      <alignment horizontal="left" vertical="top"/>
    </xf>
    <xf numFmtId="0" fontId="3" fillId="0" borderId="0" xfId="2" applyFont="1" applyAlignment="1">
      <alignment vertical="top" wrapText="1"/>
    </xf>
    <xf numFmtId="0" fontId="1" fillId="0" borderId="0" xfId="2">
      <alignment vertical="center"/>
    </xf>
    <xf numFmtId="0" fontId="4" fillId="0" borderId="0" xfId="2" applyFont="1">
      <alignment vertical="center"/>
    </xf>
    <xf numFmtId="0" fontId="4" fillId="0" borderId="0" xfId="2" applyFont="1" applyAlignment="1">
      <alignment vertical="top" wrapText="1"/>
    </xf>
    <xf numFmtId="0" fontId="5" fillId="0" borderId="0" xfId="0" applyFont="1" applyAlignment="1">
      <alignment horizontal="right" vertical="center"/>
    </xf>
    <xf numFmtId="0" fontId="5" fillId="0" borderId="1" xfId="0" applyFont="1" applyBorder="1" applyAlignment="1">
      <alignment horizontal="right" vertical="center"/>
    </xf>
    <xf numFmtId="0" fontId="3" fillId="0" borderId="0" xfId="2" applyFont="1">
      <alignment vertical="center"/>
    </xf>
    <xf numFmtId="0" fontId="3" fillId="0" borderId="0" xfId="2" applyFont="1" applyAlignment="1">
      <alignment vertical="top"/>
    </xf>
    <xf numFmtId="0" fontId="4" fillId="0" borderId="0" xfId="2" applyFont="1" applyAlignment="1">
      <alignment vertical="top"/>
    </xf>
    <xf numFmtId="0" fontId="4" fillId="0" borderId="0" xfId="2" applyFont="1" applyAlignment="1">
      <alignment horizontal="left" vertical="top"/>
    </xf>
    <xf numFmtId="38" fontId="7" fillId="0" borderId="0" xfId="3" applyFont="1" applyAlignment="1">
      <alignment vertical="top" wrapText="1"/>
    </xf>
    <xf numFmtId="38" fontId="0" fillId="0" borderId="0" xfId="3" applyFont="1" applyAlignment="1">
      <alignment vertical="top" wrapText="1"/>
    </xf>
    <xf numFmtId="0" fontId="9" fillId="0" borderId="0" xfId="2" applyFont="1">
      <alignment vertical="center"/>
    </xf>
    <xf numFmtId="0" fontId="1" fillId="0" borderId="0" xfId="2" applyAlignment="1">
      <alignment horizontal="left" vertical="center"/>
    </xf>
    <xf numFmtId="0" fontId="10" fillId="0" borderId="0" xfId="2" applyFont="1">
      <alignment vertical="center"/>
    </xf>
    <xf numFmtId="38" fontId="7" fillId="2" borderId="2" xfId="3" applyFont="1" applyFill="1" applyBorder="1" applyAlignment="1" applyProtection="1">
      <alignment horizontal="center" vertical="center"/>
      <protection locked="0"/>
    </xf>
    <xf numFmtId="0" fontId="4" fillId="0" borderId="0" xfId="2" applyFont="1" applyAlignment="1">
      <alignment horizontal="left" vertical="center"/>
    </xf>
    <xf numFmtId="0" fontId="13" fillId="0" borderId="0" xfId="2" applyFont="1">
      <alignment vertical="center"/>
    </xf>
    <xf numFmtId="0" fontId="14" fillId="0" borderId="0" xfId="2" applyFont="1">
      <alignment vertical="center"/>
    </xf>
    <xf numFmtId="2" fontId="8" fillId="0" borderId="0" xfId="2" applyNumberFormat="1" applyFont="1" applyAlignment="1">
      <alignment horizontal="right" vertical="center"/>
    </xf>
    <xf numFmtId="0" fontId="15" fillId="0" borderId="0" xfId="4">
      <alignment vertical="center"/>
    </xf>
    <xf numFmtId="0" fontId="18" fillId="0" borderId="0" xfId="2" applyFont="1" applyAlignment="1">
      <alignment vertical="top" wrapText="1"/>
    </xf>
    <xf numFmtId="0" fontId="19" fillId="0" borderId="0" xfId="4" applyFont="1">
      <alignment vertical="center"/>
    </xf>
    <xf numFmtId="0" fontId="20" fillId="0" borderId="0" xfId="2" applyFont="1">
      <alignment vertical="center"/>
    </xf>
    <xf numFmtId="0" fontId="21" fillId="0" borderId="0" xfId="4" applyFont="1">
      <alignment vertical="center"/>
    </xf>
    <xf numFmtId="0" fontId="8" fillId="0" borderId="0" xfId="2" applyFont="1">
      <alignment vertical="center"/>
    </xf>
    <xf numFmtId="0" fontId="4" fillId="0" borderId="17" xfId="2" applyFont="1" applyBorder="1">
      <alignment vertical="center"/>
    </xf>
    <xf numFmtId="2" fontId="10" fillId="0" borderId="0" xfId="2" applyNumberFormat="1" applyFont="1" applyAlignment="1">
      <alignment horizontal="right" vertical="center"/>
    </xf>
    <xf numFmtId="0" fontId="22" fillId="0" borderId="0" xfId="2" applyFont="1">
      <alignment vertical="center"/>
    </xf>
    <xf numFmtId="2" fontId="8" fillId="3" borderId="18" xfId="2" applyNumberFormat="1" applyFont="1" applyFill="1" applyBorder="1">
      <alignment vertical="center"/>
    </xf>
    <xf numFmtId="0" fontId="16" fillId="0" borderId="0" xfId="2" applyFont="1">
      <alignment vertical="center"/>
    </xf>
    <xf numFmtId="0" fontId="4" fillId="4" borderId="2" xfId="2" applyFont="1" applyFill="1" applyBorder="1" applyAlignment="1" applyProtection="1">
      <alignment vertical="center" wrapText="1"/>
      <protection locked="0"/>
    </xf>
    <xf numFmtId="2" fontId="12" fillId="0" borderId="0" xfId="2" applyNumberFormat="1" applyFont="1" applyAlignment="1">
      <alignment horizontal="right" vertical="center"/>
    </xf>
    <xf numFmtId="2" fontId="4" fillId="0" borderId="0" xfId="2" applyNumberFormat="1" applyFont="1">
      <alignment vertical="center"/>
    </xf>
    <xf numFmtId="0" fontId="16" fillId="0" borderId="0" xfId="2" applyFont="1" applyAlignment="1">
      <alignment vertical="center" wrapText="1"/>
    </xf>
    <xf numFmtId="0" fontId="4" fillId="0" borderId="0" xfId="2" quotePrefix="1" applyFont="1" applyAlignment="1">
      <alignment horizontal="center" vertical="center"/>
    </xf>
    <xf numFmtId="176" fontId="7" fillId="4" borderId="2" xfId="3" applyNumberFormat="1" applyFont="1" applyFill="1" applyBorder="1" applyProtection="1">
      <alignment vertical="center"/>
      <protection locked="0"/>
    </xf>
    <xf numFmtId="0" fontId="4" fillId="0" borderId="0" xfId="2" applyFont="1" applyAlignment="1">
      <alignment horizontal="center" vertical="center"/>
    </xf>
    <xf numFmtId="0" fontId="4" fillId="0" borderId="0" xfId="2" quotePrefix="1" applyFont="1" applyAlignment="1">
      <alignment horizontal="left" vertical="center"/>
    </xf>
    <xf numFmtId="178" fontId="7" fillId="4" borderId="2" xfId="3" applyNumberFormat="1" applyFont="1" applyFill="1" applyBorder="1" applyProtection="1">
      <alignment vertical="center"/>
      <protection locked="0"/>
    </xf>
    <xf numFmtId="179" fontId="4" fillId="0" borderId="0" xfId="2" applyNumberFormat="1" applyFont="1">
      <alignment vertical="center"/>
    </xf>
    <xf numFmtId="178" fontId="7" fillId="4" borderId="2" xfId="3" applyNumberFormat="1" applyFont="1" applyFill="1" applyBorder="1" applyAlignment="1" applyProtection="1">
      <alignment horizontal="right" vertical="center"/>
      <protection locked="0"/>
    </xf>
    <xf numFmtId="9" fontId="4" fillId="0" borderId="0" xfId="1" applyFont="1">
      <alignment vertical="center"/>
    </xf>
    <xf numFmtId="40" fontId="0" fillId="0" borderId="0" xfId="3" applyNumberFormat="1" applyFont="1" applyFill="1" applyBorder="1" applyAlignment="1">
      <alignment horizontal="right" vertical="center"/>
    </xf>
    <xf numFmtId="0" fontId="27" fillId="0" borderId="0" xfId="2" applyFont="1">
      <alignment vertical="center"/>
    </xf>
    <xf numFmtId="0" fontId="1" fillId="0" borderId="0" xfId="2" applyAlignment="1">
      <alignment horizontal="center" vertical="center"/>
    </xf>
    <xf numFmtId="56" fontId="27" fillId="0" borderId="0" xfId="2" quotePrefix="1" applyNumberFormat="1" applyFont="1">
      <alignment vertical="center"/>
    </xf>
    <xf numFmtId="0" fontId="8" fillId="0" borderId="0" xfId="2" applyFont="1" applyAlignment="1">
      <alignment horizontal="left" vertical="center"/>
    </xf>
    <xf numFmtId="0" fontId="28" fillId="0" borderId="23" xfId="2" applyFont="1" applyBorder="1" applyAlignment="1">
      <alignment horizontal="center" vertical="center" wrapText="1"/>
    </xf>
    <xf numFmtId="0" fontId="28" fillId="0" borderId="28" xfId="2" applyFont="1" applyBorder="1" applyAlignment="1">
      <alignment horizontal="center" vertical="center" wrapText="1"/>
    </xf>
    <xf numFmtId="0" fontId="1" fillId="0" borderId="29" xfId="2" applyBorder="1" applyAlignment="1">
      <alignment horizontal="center" vertical="center" wrapText="1"/>
    </xf>
    <xf numFmtId="0" fontId="28" fillId="0" borderId="30" xfId="2" applyFont="1" applyBorder="1" applyAlignment="1">
      <alignment horizontal="center" vertical="center" wrapText="1"/>
    </xf>
    <xf numFmtId="0" fontId="1" fillId="0" borderId="34" xfId="2" applyBorder="1" applyAlignment="1">
      <alignment horizontal="center" vertical="center" wrapText="1"/>
    </xf>
    <xf numFmtId="38" fontId="0" fillId="4" borderId="35" xfId="3" applyFont="1" applyFill="1" applyBorder="1" applyAlignment="1" applyProtection="1">
      <alignment vertical="center" wrapText="1"/>
      <protection locked="0"/>
    </xf>
    <xf numFmtId="38" fontId="0" fillId="4" borderId="36" xfId="3" applyFont="1" applyFill="1" applyBorder="1" applyAlignment="1" applyProtection="1">
      <alignment vertical="center" wrapText="1"/>
      <protection locked="0"/>
    </xf>
    <xf numFmtId="9" fontId="0" fillId="3" borderId="32" xfId="1" applyFont="1" applyFill="1" applyBorder="1" applyAlignment="1">
      <alignment vertical="center" wrapText="1"/>
    </xf>
    <xf numFmtId="38" fontId="0" fillId="4" borderId="37" xfId="3" applyFont="1" applyFill="1" applyBorder="1" applyAlignment="1" applyProtection="1">
      <alignment vertical="center" wrapText="1"/>
      <protection locked="0"/>
    </xf>
    <xf numFmtId="38" fontId="0" fillId="3" borderId="38" xfId="3" applyFont="1" applyFill="1" applyBorder="1" applyAlignment="1">
      <alignment vertical="center" wrapText="1"/>
    </xf>
    <xf numFmtId="180" fontId="4" fillId="3" borderId="39" xfId="2" applyNumberFormat="1" applyFont="1" applyFill="1" applyBorder="1">
      <alignment vertical="center"/>
    </xf>
    <xf numFmtId="38" fontId="0" fillId="4" borderId="40" xfId="3" applyFont="1" applyFill="1" applyBorder="1" applyAlignment="1" applyProtection="1">
      <alignment vertical="center" wrapText="1"/>
      <protection locked="0"/>
    </xf>
    <xf numFmtId="38" fontId="0" fillId="4" borderId="41" xfId="3" applyFont="1" applyFill="1" applyBorder="1" applyAlignment="1" applyProtection="1">
      <alignment vertical="center" wrapText="1"/>
      <protection locked="0"/>
    </xf>
    <xf numFmtId="9" fontId="0" fillId="3" borderId="42" xfId="1" applyFont="1" applyFill="1" applyBorder="1" applyAlignment="1">
      <alignment vertical="center" wrapText="1"/>
    </xf>
    <xf numFmtId="38" fontId="0" fillId="4" borderId="43" xfId="3" applyFont="1" applyFill="1" applyBorder="1" applyAlignment="1" applyProtection="1">
      <alignment vertical="center" wrapText="1"/>
      <protection locked="0"/>
    </xf>
    <xf numFmtId="38" fontId="0" fillId="5" borderId="44" xfId="3" applyFont="1" applyFill="1" applyBorder="1" applyAlignment="1">
      <alignment vertical="center" wrapText="1"/>
    </xf>
    <xf numFmtId="180" fontId="4" fillId="5" borderId="45" xfId="2" applyNumberFormat="1" applyFont="1" applyFill="1" applyBorder="1">
      <alignment vertical="center"/>
    </xf>
    <xf numFmtId="0" fontId="1" fillId="0" borderId="0" xfId="2" applyAlignment="1">
      <alignment horizontal="center" vertical="center" wrapText="1"/>
    </xf>
    <xf numFmtId="38" fontId="0" fillId="0" borderId="0" xfId="3" applyFont="1" applyFill="1" applyBorder="1" applyAlignment="1">
      <alignment vertical="center" wrapText="1"/>
    </xf>
    <xf numFmtId="9" fontId="0" fillId="0" borderId="0" xfId="5" applyFont="1" applyFill="1" applyBorder="1" applyAlignment="1">
      <alignment vertical="center" wrapText="1"/>
    </xf>
    <xf numFmtId="38" fontId="0" fillId="0" borderId="0" xfId="3" applyFont="1" applyFill="1" applyBorder="1" applyAlignment="1">
      <alignment horizontal="right" vertical="center" wrapText="1"/>
    </xf>
    <xf numFmtId="180" fontId="4" fillId="0" borderId="0" xfId="2" applyNumberFormat="1" applyFont="1" applyAlignment="1">
      <alignment horizontal="right" vertical="center"/>
    </xf>
    <xf numFmtId="181" fontId="1" fillId="0" borderId="0" xfId="2" applyNumberFormat="1">
      <alignment vertical="center"/>
    </xf>
    <xf numFmtId="0" fontId="4" fillId="0" borderId="0" xfId="2" applyFont="1" applyAlignment="1">
      <alignment horizontal="center" vertical="center" wrapText="1"/>
    </xf>
    <xf numFmtId="181" fontId="4" fillId="0" borderId="0" xfId="2" applyNumberFormat="1" applyFont="1">
      <alignment vertical="center"/>
    </xf>
    <xf numFmtId="180" fontId="4" fillId="3" borderId="33" xfId="2" applyNumberFormat="1" applyFont="1" applyFill="1" applyBorder="1">
      <alignment vertical="center"/>
    </xf>
    <xf numFmtId="0" fontId="30" fillId="0" borderId="0" xfId="2" applyFont="1">
      <alignment vertical="center"/>
    </xf>
    <xf numFmtId="0" fontId="30" fillId="0" borderId="0" xfId="2" applyFont="1" applyAlignment="1">
      <alignment vertical="top" wrapText="1"/>
    </xf>
    <xf numFmtId="0" fontId="30" fillId="0" borderId="17" xfId="2" applyFont="1" applyBorder="1">
      <alignment vertical="center"/>
    </xf>
    <xf numFmtId="0" fontId="32" fillId="0" borderId="0" xfId="2" applyFont="1">
      <alignment vertical="center"/>
    </xf>
    <xf numFmtId="2" fontId="33" fillId="0" borderId="0" xfId="2" applyNumberFormat="1" applyFont="1" applyAlignment="1">
      <alignment horizontal="right" vertical="center"/>
    </xf>
    <xf numFmtId="0" fontId="7" fillId="0" borderId="0" xfId="2" applyFont="1">
      <alignment vertical="center"/>
    </xf>
    <xf numFmtId="0" fontId="30" fillId="4" borderId="2" xfId="2" applyFont="1" applyFill="1" applyBorder="1" applyAlignment="1" applyProtection="1">
      <alignment vertical="center" wrapText="1"/>
      <protection locked="0"/>
    </xf>
    <xf numFmtId="0" fontId="34" fillId="0" borderId="0" xfId="4" applyFont="1">
      <alignment vertical="center"/>
    </xf>
    <xf numFmtId="0" fontId="28" fillId="0" borderId="0" xfId="2" applyFont="1">
      <alignment vertical="center"/>
    </xf>
    <xf numFmtId="0" fontId="35" fillId="0" borderId="0" xfId="2" applyFont="1">
      <alignment vertical="center"/>
    </xf>
    <xf numFmtId="0" fontId="36" fillId="0" borderId="0" xfId="2" applyFont="1">
      <alignment vertical="center"/>
    </xf>
    <xf numFmtId="0" fontId="37" fillId="0" borderId="0" xfId="2" applyFont="1">
      <alignment vertical="center"/>
    </xf>
    <xf numFmtId="0" fontId="30" fillId="0" borderId="0" xfId="2" applyFont="1" applyAlignment="1">
      <alignment horizontal="left" vertical="center"/>
    </xf>
    <xf numFmtId="0" fontId="7" fillId="0" borderId="0" xfId="2" applyFont="1" applyAlignment="1">
      <alignment vertical="center" wrapText="1"/>
    </xf>
    <xf numFmtId="0" fontId="38" fillId="0" borderId="0" xfId="2" applyFont="1">
      <alignment vertical="center"/>
    </xf>
    <xf numFmtId="0" fontId="7" fillId="4" borderId="2" xfId="2" applyFont="1" applyFill="1" applyBorder="1" applyProtection="1">
      <alignment vertical="center"/>
      <protection locked="0"/>
    </xf>
    <xf numFmtId="40" fontId="26" fillId="0" borderId="0" xfId="3" applyNumberFormat="1" applyFont="1" applyFill="1" applyBorder="1" applyAlignment="1">
      <alignment horizontal="right" vertical="center"/>
    </xf>
    <xf numFmtId="0" fontId="36" fillId="0" borderId="0" xfId="2" applyFont="1" applyAlignment="1">
      <alignment horizontal="left" vertical="center"/>
    </xf>
    <xf numFmtId="0" fontId="7" fillId="0" borderId="0" xfId="0" applyFont="1" applyAlignment="1">
      <alignment horizontal="right" vertical="center"/>
    </xf>
    <xf numFmtId="0" fontId="39" fillId="0" borderId="0" xfId="2" applyFont="1">
      <alignment vertical="center"/>
    </xf>
    <xf numFmtId="0" fontId="26" fillId="0" borderId="0" xfId="2" applyFont="1">
      <alignment vertical="center"/>
    </xf>
    <xf numFmtId="0" fontId="36" fillId="0" borderId="0" xfId="2" applyFont="1" applyAlignment="1">
      <alignment horizontal="center" vertical="center"/>
    </xf>
    <xf numFmtId="0" fontId="26" fillId="0" borderId="0" xfId="2" applyFont="1" applyAlignment="1">
      <alignment horizontal="center" vertical="center"/>
    </xf>
    <xf numFmtId="0" fontId="0" fillId="0" borderId="0" xfId="2" applyFont="1">
      <alignment vertical="center"/>
    </xf>
    <xf numFmtId="0" fontId="28" fillId="0" borderId="47" xfId="2" applyFont="1" applyBorder="1" applyAlignment="1">
      <alignment horizontal="center" vertical="center" wrapText="1"/>
    </xf>
    <xf numFmtId="0" fontId="28" fillId="0" borderId="50" xfId="2" applyFont="1" applyBorder="1" applyAlignment="1">
      <alignment horizontal="center" vertical="center" wrapText="1"/>
    </xf>
    <xf numFmtId="0" fontId="1" fillId="0" borderId="51" xfId="2" applyBorder="1" applyAlignment="1">
      <alignment horizontal="center" vertical="center" wrapText="1"/>
    </xf>
    <xf numFmtId="0" fontId="28" fillId="0" borderId="51" xfId="2" applyFont="1" applyBorder="1" applyAlignment="1">
      <alignment horizontal="center" vertical="center" wrapText="1"/>
    </xf>
    <xf numFmtId="0" fontId="36" fillId="0" borderId="34" xfId="2" applyFont="1" applyBorder="1" applyAlignment="1">
      <alignment horizontal="center" vertical="center" wrapText="1"/>
    </xf>
    <xf numFmtId="38" fontId="26" fillId="4" borderId="52" xfId="3" applyFont="1" applyFill="1" applyBorder="1" applyAlignment="1" applyProtection="1">
      <alignment vertical="center" wrapText="1"/>
      <protection locked="0"/>
    </xf>
    <xf numFmtId="38" fontId="26" fillId="4" borderId="53" xfId="3" applyFont="1" applyFill="1" applyBorder="1" applyAlignment="1" applyProtection="1">
      <alignment vertical="center" wrapText="1"/>
      <protection locked="0"/>
    </xf>
    <xf numFmtId="9" fontId="26" fillId="4" borderId="48" xfId="1" applyFont="1" applyFill="1" applyBorder="1" applyAlignment="1" applyProtection="1">
      <alignment horizontal="right" vertical="center" wrapText="1"/>
      <protection locked="0"/>
    </xf>
    <xf numFmtId="38" fontId="26" fillId="4" borderId="48" xfId="3" applyFont="1" applyFill="1" applyBorder="1" applyAlignment="1" applyProtection="1">
      <alignment vertical="center" wrapText="1"/>
      <protection locked="0"/>
    </xf>
    <xf numFmtId="38" fontId="26" fillId="4" borderId="54" xfId="3" applyFont="1" applyFill="1" applyBorder="1" applyAlignment="1" applyProtection="1">
      <alignment vertical="center" wrapText="1"/>
      <protection locked="0"/>
    </xf>
    <xf numFmtId="180" fontId="30" fillId="3" borderId="39" xfId="2" applyNumberFormat="1" applyFont="1" applyFill="1" applyBorder="1">
      <alignment vertical="center"/>
    </xf>
    <xf numFmtId="38" fontId="26" fillId="4" borderId="35" xfId="3" applyFont="1" applyFill="1" applyBorder="1" applyAlignment="1" applyProtection="1">
      <alignment vertical="center" wrapText="1"/>
      <protection locked="0"/>
    </xf>
    <xf numFmtId="38" fontId="26" fillId="4" borderId="34" xfId="3" applyFont="1" applyFill="1" applyBorder="1" applyAlignment="1" applyProtection="1">
      <alignment vertical="center" wrapText="1"/>
      <protection locked="0"/>
    </xf>
    <xf numFmtId="9" fontId="26" fillId="4" borderId="55" xfId="1" applyFont="1" applyFill="1" applyBorder="1" applyAlignment="1" applyProtection="1">
      <alignment horizontal="right" vertical="center" wrapText="1"/>
      <protection locked="0"/>
    </xf>
    <xf numFmtId="38" fontId="26" fillId="4" borderId="55" xfId="3" applyFont="1" applyFill="1" applyBorder="1" applyAlignment="1" applyProtection="1">
      <alignment vertical="center" wrapText="1"/>
      <protection locked="0"/>
    </xf>
    <xf numFmtId="38" fontId="26" fillId="4" borderId="56" xfId="3" applyFont="1" applyFill="1" applyBorder="1" applyAlignment="1" applyProtection="1">
      <alignment vertical="center" wrapText="1"/>
      <protection locked="0"/>
    </xf>
    <xf numFmtId="38" fontId="26" fillId="4" borderId="40" xfId="3" applyFont="1" applyFill="1" applyBorder="1" applyAlignment="1" applyProtection="1">
      <alignment vertical="center" wrapText="1"/>
      <protection locked="0"/>
    </xf>
    <xf numFmtId="38" fontId="26" fillId="4" borderId="57" xfId="3" applyFont="1" applyFill="1" applyBorder="1" applyAlignment="1" applyProtection="1">
      <alignment vertical="center" wrapText="1"/>
      <protection locked="0"/>
    </xf>
    <xf numFmtId="9" fontId="26" fillId="4" borderId="51" xfId="1" applyFont="1" applyFill="1" applyBorder="1" applyAlignment="1" applyProtection="1">
      <alignment horizontal="right" vertical="center" wrapText="1"/>
      <protection locked="0"/>
    </xf>
    <xf numFmtId="38" fontId="26" fillId="4" borderId="51" xfId="3" applyFont="1" applyFill="1" applyBorder="1" applyAlignment="1" applyProtection="1">
      <alignment vertical="center" wrapText="1"/>
      <protection locked="0"/>
    </xf>
    <xf numFmtId="38" fontId="26" fillId="4" borderId="58" xfId="3" applyFont="1" applyFill="1" applyBorder="1" applyAlignment="1" applyProtection="1">
      <alignment vertical="center" wrapText="1"/>
      <protection locked="0"/>
    </xf>
    <xf numFmtId="180" fontId="30" fillId="5" borderId="45" xfId="2" applyNumberFormat="1" applyFont="1" applyFill="1" applyBorder="1">
      <alignment vertical="center"/>
    </xf>
    <xf numFmtId="0" fontId="36" fillId="0" borderId="0" xfId="2" applyFont="1" applyAlignment="1">
      <alignment horizontal="center" vertical="center" wrapText="1"/>
    </xf>
    <xf numFmtId="38" fontId="26" fillId="0" borderId="0" xfId="3" applyFont="1" applyFill="1" applyBorder="1" applyAlignment="1">
      <alignment vertical="center" wrapText="1"/>
    </xf>
    <xf numFmtId="9" fontId="26" fillId="0" borderId="0" xfId="5" applyFont="1" applyFill="1" applyBorder="1" applyAlignment="1">
      <alignment vertical="center" wrapText="1"/>
    </xf>
    <xf numFmtId="0" fontId="7" fillId="4" borderId="2" xfId="2" applyFont="1" applyFill="1" applyBorder="1" applyAlignment="1" applyProtection="1">
      <alignment horizontal="right" vertical="center"/>
      <protection locked="0"/>
    </xf>
    <xf numFmtId="182" fontId="0" fillId="3" borderId="32" xfId="1" applyNumberFormat="1" applyFont="1" applyFill="1" applyBorder="1" applyAlignment="1">
      <alignment vertical="center" wrapText="1"/>
    </xf>
    <xf numFmtId="182" fontId="0" fillId="3" borderId="42" xfId="1" applyNumberFormat="1" applyFont="1" applyFill="1" applyBorder="1" applyAlignment="1">
      <alignment vertical="center" wrapText="1"/>
    </xf>
    <xf numFmtId="183" fontId="7" fillId="4" borderId="2" xfId="3" applyNumberFormat="1" applyFont="1" applyFill="1" applyBorder="1" applyProtection="1">
      <alignment vertical="center"/>
      <protection locked="0"/>
    </xf>
    <xf numFmtId="183" fontId="7" fillId="4" borderId="2" xfId="3" applyNumberFormat="1" applyFont="1" applyFill="1" applyBorder="1" applyAlignment="1" applyProtection="1">
      <alignment horizontal="right" vertical="center"/>
      <protection locked="0"/>
    </xf>
    <xf numFmtId="38" fontId="7" fillId="4" borderId="2" xfId="3" applyFont="1" applyFill="1" applyBorder="1" applyProtection="1">
      <alignment vertical="center"/>
      <protection locked="0"/>
    </xf>
    <xf numFmtId="187" fontId="7" fillId="4" borderId="2" xfId="3" applyNumberFormat="1" applyFont="1" applyFill="1" applyBorder="1" applyProtection="1">
      <alignment vertical="center"/>
      <protection locked="0"/>
    </xf>
    <xf numFmtId="187" fontId="7" fillId="4" borderId="2" xfId="3" applyNumberFormat="1" applyFont="1" applyFill="1" applyBorder="1" applyAlignment="1" applyProtection="1">
      <alignment horizontal="right" vertical="center"/>
      <protection locked="0"/>
    </xf>
    <xf numFmtId="40" fontId="7" fillId="4" borderId="2" xfId="3" applyNumberFormat="1" applyFont="1" applyFill="1" applyBorder="1" applyProtection="1">
      <alignment vertical="center"/>
      <protection locked="0"/>
    </xf>
    <xf numFmtId="38" fontId="7" fillId="4" borderId="2" xfId="3" applyFont="1" applyFill="1" applyBorder="1" applyAlignment="1" applyProtection="1">
      <alignment horizontal="right" vertical="center"/>
      <protection locked="0"/>
    </xf>
    <xf numFmtId="0" fontId="4" fillId="6" borderId="0" xfId="2" applyFont="1" applyFill="1">
      <alignment vertical="center"/>
    </xf>
    <xf numFmtId="0" fontId="3" fillId="6" borderId="0" xfId="2" applyFont="1" applyFill="1">
      <alignment vertical="center"/>
    </xf>
    <xf numFmtId="0" fontId="17" fillId="6" borderId="0" xfId="2" applyFont="1" applyFill="1" applyAlignment="1">
      <alignment vertical="top" wrapText="1"/>
    </xf>
    <xf numFmtId="0" fontId="18" fillId="6" borderId="0" xfId="2" applyFont="1" applyFill="1" applyAlignment="1">
      <alignment vertical="top" wrapText="1"/>
    </xf>
    <xf numFmtId="0" fontId="1" fillId="6" borderId="0" xfId="2" applyFill="1">
      <alignment vertical="center"/>
    </xf>
    <xf numFmtId="0" fontId="0" fillId="6" borderId="0" xfId="0" applyFill="1">
      <alignment vertical="center"/>
    </xf>
    <xf numFmtId="38" fontId="0" fillId="6" borderId="55" xfId="0" applyNumberFormat="1" applyFill="1" applyBorder="1">
      <alignment vertical="center"/>
    </xf>
    <xf numFmtId="0" fontId="0" fillId="6" borderId="55" xfId="0" applyFill="1" applyBorder="1">
      <alignment vertical="center"/>
    </xf>
    <xf numFmtId="0" fontId="1" fillId="6" borderId="34" xfId="2" applyFill="1" applyBorder="1" applyAlignment="1">
      <alignment horizontal="center" vertical="center" wrapText="1"/>
    </xf>
    <xf numFmtId="180" fontId="0" fillId="6" borderId="55" xfId="0" applyNumberFormat="1" applyFill="1" applyBorder="1">
      <alignment vertical="center"/>
    </xf>
    <xf numFmtId="0" fontId="17" fillId="0" borderId="0" xfId="2" applyFont="1" applyAlignment="1">
      <alignment vertical="top" wrapText="1"/>
    </xf>
    <xf numFmtId="2" fontId="4" fillId="6" borderId="0" xfId="2" applyNumberFormat="1" applyFont="1" applyFill="1">
      <alignment vertical="center"/>
    </xf>
    <xf numFmtId="0" fontId="4" fillId="6" borderId="0" xfId="2" applyFont="1" applyFill="1" applyAlignment="1">
      <alignment horizontal="right" vertical="center"/>
    </xf>
    <xf numFmtId="0" fontId="29" fillId="0" borderId="0" xfId="0" applyFont="1">
      <alignment vertical="center"/>
    </xf>
    <xf numFmtId="0" fontId="1" fillId="0" borderId="22" xfId="2" applyBorder="1" applyAlignment="1">
      <alignment horizontal="center" vertical="center" wrapText="1"/>
    </xf>
    <xf numFmtId="0" fontId="1" fillId="0" borderId="27" xfId="2" applyBorder="1" applyAlignment="1">
      <alignment horizontal="center" vertical="center" wrapText="1"/>
    </xf>
    <xf numFmtId="0" fontId="1" fillId="0" borderId="48" xfId="2" applyBorder="1" applyAlignment="1">
      <alignment horizontal="center" vertical="center" wrapText="1"/>
    </xf>
    <xf numFmtId="0" fontId="1" fillId="0" borderId="29" xfId="2" applyBorder="1" applyAlignment="1">
      <alignment horizontal="center" vertical="center" wrapText="1"/>
    </xf>
    <xf numFmtId="0" fontId="1" fillId="0" borderId="41" xfId="2" applyBorder="1" applyAlignment="1">
      <alignment horizontal="center" vertical="center" wrapText="1"/>
    </xf>
    <xf numFmtId="0" fontId="1" fillId="0" borderId="49" xfId="2" applyBorder="1" applyAlignment="1">
      <alignment horizontal="center" vertical="center" wrapText="1"/>
    </xf>
    <xf numFmtId="0" fontId="1" fillId="0" borderId="50" xfId="2" applyBorder="1" applyAlignment="1">
      <alignment horizontal="center" vertical="center" wrapText="1"/>
    </xf>
    <xf numFmtId="0" fontId="4" fillId="0" borderId="26" xfId="2" applyFont="1" applyBorder="1" applyAlignment="1">
      <alignment horizontal="center" vertical="center"/>
    </xf>
    <xf numFmtId="0" fontId="4" fillId="0" borderId="46" xfId="2" applyFont="1" applyBorder="1" applyAlignment="1">
      <alignment horizontal="center" vertical="center"/>
    </xf>
    <xf numFmtId="0" fontId="0" fillId="0" borderId="0" xfId="2" applyFont="1" applyAlignment="1">
      <alignment horizontal="left" vertical="center" wrapText="1"/>
    </xf>
    <xf numFmtId="0" fontId="26" fillId="0" borderId="21" xfId="2" applyFont="1" applyBorder="1" applyAlignment="1">
      <alignment horizontal="left" vertical="center" wrapText="1"/>
    </xf>
    <xf numFmtId="38" fontId="26" fillId="4" borderId="12" xfId="3" applyFont="1" applyFill="1" applyBorder="1" applyAlignment="1" applyProtection="1">
      <alignment horizontal="left" vertical="top"/>
      <protection locked="0"/>
    </xf>
    <xf numFmtId="38" fontId="26" fillId="4" borderId="13" xfId="3" applyFont="1" applyFill="1" applyBorder="1" applyAlignment="1" applyProtection="1">
      <alignment horizontal="left" vertical="top"/>
      <protection locked="0"/>
    </xf>
    <xf numFmtId="38" fontId="26" fillId="4" borderId="14" xfId="3" applyFont="1" applyFill="1" applyBorder="1" applyAlignment="1" applyProtection="1">
      <alignment horizontal="left" vertical="top"/>
      <protection locked="0"/>
    </xf>
    <xf numFmtId="2" fontId="31" fillId="3" borderId="15" xfId="2" applyNumberFormat="1" applyFont="1" applyFill="1" applyBorder="1" applyAlignment="1">
      <alignment horizontal="right" vertical="center"/>
    </xf>
    <xf numFmtId="2" fontId="31" fillId="3" borderId="16" xfId="2" applyNumberFormat="1" applyFont="1" applyFill="1" applyBorder="1" applyAlignment="1">
      <alignment horizontal="right" vertical="center"/>
    </xf>
    <xf numFmtId="2" fontId="12" fillId="4" borderId="12" xfId="2" applyNumberFormat="1" applyFont="1" applyFill="1" applyBorder="1" applyAlignment="1" applyProtection="1">
      <alignment horizontal="right" vertical="center"/>
      <protection locked="0"/>
    </xf>
    <xf numFmtId="2" fontId="12" fillId="4" borderId="14" xfId="2" applyNumberFormat="1" applyFont="1" applyFill="1" applyBorder="1" applyAlignment="1" applyProtection="1">
      <alignment horizontal="right" vertical="center"/>
      <protection locked="0"/>
    </xf>
    <xf numFmtId="38" fontId="7" fillId="4" borderId="12" xfId="3" applyFont="1" applyFill="1" applyBorder="1" applyAlignment="1" applyProtection="1">
      <alignment horizontal="left" vertical="top"/>
      <protection locked="0"/>
    </xf>
    <xf numFmtId="38" fontId="7" fillId="4" borderId="13" xfId="3" applyFont="1" applyFill="1" applyBorder="1" applyAlignment="1" applyProtection="1">
      <alignment horizontal="left" vertical="top"/>
      <protection locked="0"/>
    </xf>
    <xf numFmtId="38" fontId="7" fillId="4" borderId="14" xfId="3" applyFont="1" applyFill="1" applyBorder="1" applyAlignment="1" applyProtection="1">
      <alignment horizontal="left" vertical="top"/>
      <protection locked="0"/>
    </xf>
    <xf numFmtId="0" fontId="30" fillId="0" borderId="10" xfId="2" applyFont="1" applyBorder="1" applyAlignment="1">
      <alignment horizontal="left" vertical="center" wrapText="1"/>
    </xf>
    <xf numFmtId="0" fontId="30" fillId="4" borderId="12" xfId="2" applyFont="1" applyFill="1" applyBorder="1" applyAlignment="1" applyProtection="1">
      <alignment horizontal="left" vertical="top" wrapText="1"/>
      <protection locked="0"/>
    </xf>
    <xf numFmtId="0" fontId="30" fillId="4" borderId="13" xfId="2" applyFont="1" applyFill="1" applyBorder="1" applyAlignment="1" applyProtection="1">
      <alignment horizontal="left" vertical="top" wrapText="1"/>
      <protection locked="0"/>
    </xf>
    <xf numFmtId="0" fontId="30" fillId="4" borderId="14" xfId="2" applyFont="1" applyFill="1" applyBorder="1" applyAlignment="1" applyProtection="1">
      <alignment horizontal="left" vertical="top" wrapText="1"/>
      <protection locked="0"/>
    </xf>
    <xf numFmtId="38" fontId="7" fillId="4" borderId="12" xfId="3" applyFont="1" applyFill="1" applyBorder="1" applyAlignment="1" applyProtection="1">
      <alignment horizontal="left" vertical="top" wrapText="1"/>
      <protection locked="0"/>
    </xf>
    <xf numFmtId="38" fontId="7" fillId="4" borderId="13" xfId="3" applyFont="1" applyFill="1" applyBorder="1" applyAlignment="1" applyProtection="1">
      <alignment horizontal="left" vertical="top" wrapText="1"/>
      <protection locked="0"/>
    </xf>
    <xf numFmtId="38" fontId="7" fillId="4" borderId="14" xfId="3" applyFont="1" applyFill="1" applyBorder="1" applyAlignment="1" applyProtection="1">
      <alignment horizontal="left" vertical="top" wrapText="1"/>
      <protection locked="0"/>
    </xf>
    <xf numFmtId="178" fontId="7" fillId="4" borderId="12" xfId="3" applyNumberFormat="1" applyFont="1" applyFill="1" applyBorder="1" applyAlignment="1" applyProtection="1">
      <alignment horizontal="right" vertical="center"/>
      <protection locked="0"/>
    </xf>
    <xf numFmtId="178" fontId="7" fillId="4" borderId="14" xfId="3" applyNumberFormat="1" applyFont="1" applyFill="1" applyBorder="1" applyAlignment="1" applyProtection="1">
      <alignment horizontal="right" vertical="center"/>
      <protection locked="0"/>
    </xf>
    <xf numFmtId="0" fontId="0" fillId="0" borderId="10" xfId="2" applyFont="1" applyBorder="1" applyAlignment="1">
      <alignment horizontal="left" vertical="center" wrapText="1"/>
    </xf>
    <xf numFmtId="0" fontId="26" fillId="0" borderId="10" xfId="2" applyFont="1" applyBorder="1" applyAlignment="1">
      <alignment horizontal="left" vertical="center" wrapText="1"/>
    </xf>
    <xf numFmtId="38" fontId="7" fillId="4" borderId="12" xfId="3" applyFont="1" applyFill="1" applyBorder="1" applyAlignment="1" applyProtection="1">
      <alignment horizontal="left" vertical="center"/>
      <protection locked="0"/>
    </xf>
    <xf numFmtId="38" fontId="7" fillId="4" borderId="13" xfId="3" applyFont="1" applyFill="1" applyBorder="1" applyAlignment="1" applyProtection="1">
      <alignment horizontal="left" vertical="center"/>
      <protection locked="0"/>
    </xf>
    <xf numFmtId="38" fontId="7" fillId="4" borderId="14" xfId="3" applyFont="1" applyFill="1" applyBorder="1" applyAlignment="1" applyProtection="1">
      <alignment horizontal="left" vertical="center"/>
      <protection locked="0"/>
    </xf>
    <xf numFmtId="179" fontId="4" fillId="3" borderId="19" xfId="2" applyNumberFormat="1" applyFont="1" applyFill="1" applyBorder="1" applyAlignment="1">
      <alignment horizontal="right" vertical="center"/>
    </xf>
    <xf numFmtId="179" fontId="4" fillId="3" borderId="20" xfId="2" applyNumberFormat="1" applyFont="1" applyFill="1" applyBorder="1" applyAlignment="1">
      <alignment horizontal="right" vertical="center"/>
    </xf>
    <xf numFmtId="178" fontId="7" fillId="3" borderId="15" xfId="3" applyNumberFormat="1" applyFont="1" applyFill="1" applyBorder="1" applyAlignment="1">
      <alignment horizontal="right" vertical="center"/>
    </xf>
    <xf numFmtId="178" fontId="7" fillId="3" borderId="16" xfId="3" applyNumberFormat="1" applyFont="1" applyFill="1" applyBorder="1" applyAlignment="1">
      <alignment horizontal="right" vertical="center"/>
    </xf>
    <xf numFmtId="0" fontId="28" fillId="0" borderId="0" xfId="2" applyFont="1" applyAlignment="1">
      <alignment horizontal="left" vertical="center" wrapText="1"/>
    </xf>
    <xf numFmtId="0" fontId="23" fillId="4" borderId="12" xfId="2" applyFont="1" applyFill="1" applyBorder="1" applyAlignment="1" applyProtection="1">
      <alignment horizontal="left" vertical="top" wrapText="1"/>
      <protection locked="0"/>
    </xf>
    <xf numFmtId="0" fontId="23" fillId="4" borderId="13" xfId="2" applyFont="1" applyFill="1" applyBorder="1" applyAlignment="1" applyProtection="1">
      <alignment horizontal="left" vertical="top" wrapText="1"/>
      <protection locked="0"/>
    </xf>
    <xf numFmtId="0" fontId="23" fillId="4" borderId="14" xfId="2" applyFont="1" applyFill="1" applyBorder="1" applyAlignment="1" applyProtection="1">
      <alignment horizontal="left" vertical="top" wrapText="1"/>
      <protection locked="0"/>
    </xf>
    <xf numFmtId="0" fontId="29" fillId="0" borderId="0" xfId="2" applyFont="1" applyAlignment="1">
      <alignment horizontal="left" vertical="center" wrapText="1"/>
    </xf>
    <xf numFmtId="0" fontId="29" fillId="0" borderId="21" xfId="2" applyFont="1" applyBorder="1" applyAlignment="1">
      <alignment horizontal="left" vertical="center" wrapText="1"/>
    </xf>
    <xf numFmtId="38" fontId="0" fillId="4" borderId="12" xfId="3" applyFont="1" applyFill="1" applyBorder="1" applyAlignment="1" applyProtection="1">
      <alignment horizontal="left" vertical="top" wrapText="1"/>
      <protection locked="0"/>
    </xf>
    <xf numFmtId="38" fontId="0" fillId="4" borderId="13" xfId="3" applyFont="1" applyFill="1" applyBorder="1" applyAlignment="1" applyProtection="1">
      <alignment horizontal="left" vertical="top" wrapText="1"/>
      <protection locked="0"/>
    </xf>
    <xf numFmtId="38" fontId="0" fillId="4" borderId="14" xfId="3" applyFont="1" applyFill="1" applyBorder="1" applyAlignment="1" applyProtection="1">
      <alignment horizontal="left" vertical="top" wrapText="1"/>
      <protection locked="0"/>
    </xf>
    <xf numFmtId="0" fontId="1" fillId="0" borderId="24" xfId="2" applyBorder="1" applyAlignment="1">
      <alignment horizontal="center" vertical="center" wrapText="1"/>
    </xf>
    <xf numFmtId="0" fontId="1" fillId="0" borderId="23" xfId="2" applyBorder="1" applyAlignment="1">
      <alignment horizontal="center" vertical="center" wrapText="1"/>
    </xf>
    <xf numFmtId="0" fontId="1" fillId="0" borderId="31" xfId="2" applyBorder="1" applyAlignment="1">
      <alignment horizontal="center" vertical="center" wrapText="1"/>
    </xf>
    <xf numFmtId="0" fontId="1" fillId="0" borderId="25" xfId="2" applyBorder="1" applyAlignment="1">
      <alignment horizontal="center" vertical="center" wrapText="1"/>
    </xf>
    <xf numFmtId="0" fontId="1" fillId="0" borderId="32" xfId="2" applyBorder="1" applyAlignment="1">
      <alignment horizontal="center" vertical="center" wrapText="1"/>
    </xf>
    <xf numFmtId="2" fontId="12" fillId="3" borderId="15" xfId="2" applyNumberFormat="1" applyFont="1" applyFill="1" applyBorder="1" applyAlignment="1">
      <alignment horizontal="right" vertical="center"/>
    </xf>
    <xf numFmtId="2" fontId="12" fillId="3" borderId="16" xfId="2" applyNumberFormat="1" applyFont="1" applyFill="1" applyBorder="1" applyAlignment="1">
      <alignment horizontal="right" vertical="center"/>
    </xf>
    <xf numFmtId="0" fontId="23" fillId="0" borderId="10" xfId="2" applyFont="1" applyBorder="1" applyAlignment="1">
      <alignment horizontal="left" vertical="center" wrapText="1"/>
    </xf>
    <xf numFmtId="177" fontId="4" fillId="3" borderId="19" xfId="2" applyNumberFormat="1" applyFont="1" applyFill="1" applyBorder="1" applyAlignment="1">
      <alignment horizontal="right" vertical="center"/>
    </xf>
    <xf numFmtId="177" fontId="4" fillId="3" borderId="20" xfId="2" applyNumberFormat="1" applyFont="1" applyFill="1" applyBorder="1" applyAlignment="1">
      <alignment horizontal="right" vertical="center"/>
    </xf>
    <xf numFmtId="40" fontId="7" fillId="3" borderId="15" xfId="3" applyNumberFormat="1" applyFont="1" applyFill="1" applyBorder="1" applyAlignment="1">
      <alignment horizontal="right" vertical="center"/>
    </xf>
    <xf numFmtId="40" fontId="7" fillId="3" borderId="16" xfId="3" applyNumberFormat="1" applyFont="1" applyFill="1" applyBorder="1" applyAlignment="1">
      <alignment horizontal="right" vertical="center"/>
    </xf>
    <xf numFmtId="0" fontId="4" fillId="0" borderId="33" xfId="2" applyFont="1" applyBorder="1" applyAlignment="1">
      <alignment horizontal="center" vertical="center"/>
    </xf>
    <xf numFmtId="0" fontId="8" fillId="0" borderId="0" xfId="2" applyFont="1" applyAlignment="1">
      <alignment horizontal="center" vertical="center"/>
    </xf>
    <xf numFmtId="2" fontId="11" fillId="3" borderId="3" xfId="2" applyNumberFormat="1" applyFont="1" applyFill="1" applyBorder="1" applyAlignment="1">
      <alignment horizontal="right" vertical="center"/>
    </xf>
    <xf numFmtId="2" fontId="11" fillId="3" borderId="4" xfId="2" applyNumberFormat="1" applyFont="1" applyFill="1" applyBorder="1" applyAlignment="1">
      <alignment horizontal="right" vertical="center"/>
    </xf>
    <xf numFmtId="2" fontId="11" fillId="3" borderId="5" xfId="2" applyNumberFormat="1" applyFont="1" applyFill="1" applyBorder="1" applyAlignment="1">
      <alignment horizontal="right" vertical="center"/>
    </xf>
    <xf numFmtId="2" fontId="12" fillId="3" borderId="3" xfId="2" applyNumberFormat="1" applyFont="1" applyFill="1" applyBorder="1" applyAlignment="1">
      <alignment horizontal="right" vertical="center"/>
    </xf>
    <xf numFmtId="2" fontId="12" fillId="3" borderId="4"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0" fontId="16" fillId="0" borderId="0" xfId="2" applyFont="1" applyAlignment="1">
      <alignment horizontal="left" vertical="center" wrapText="1"/>
    </xf>
    <xf numFmtId="0" fontId="4" fillId="4" borderId="6" xfId="2" applyFont="1" applyFill="1" applyBorder="1" applyAlignment="1" applyProtection="1">
      <alignment horizontal="left" vertical="top" wrapText="1"/>
      <protection locked="0"/>
    </xf>
    <xf numFmtId="0" fontId="4" fillId="4" borderId="7" xfId="2" applyFont="1" applyFill="1" applyBorder="1" applyAlignment="1" applyProtection="1">
      <alignment horizontal="left" vertical="top" wrapText="1"/>
      <protection locked="0"/>
    </xf>
    <xf numFmtId="0" fontId="4" fillId="4" borderId="8" xfId="2" applyFont="1" applyFill="1" applyBorder="1" applyAlignment="1" applyProtection="1">
      <alignment horizontal="left" vertical="top" wrapText="1"/>
      <protection locked="0"/>
    </xf>
    <xf numFmtId="0" fontId="4" fillId="4" borderId="9" xfId="2" applyFont="1" applyFill="1" applyBorder="1" applyAlignment="1" applyProtection="1">
      <alignment horizontal="left" vertical="top" wrapText="1"/>
      <protection locked="0"/>
    </xf>
    <xf numFmtId="0" fontId="4" fillId="4" borderId="10" xfId="2" applyFont="1" applyFill="1" applyBorder="1" applyAlignment="1" applyProtection="1">
      <alignment horizontal="left" vertical="top" wrapText="1"/>
      <protection locked="0"/>
    </xf>
    <xf numFmtId="0" fontId="4" fillId="4" borderId="11" xfId="2" applyFont="1" applyFill="1" applyBorder="1" applyAlignment="1" applyProtection="1">
      <alignment horizontal="left" vertical="top" wrapText="1"/>
      <protection locked="0"/>
    </xf>
    <xf numFmtId="184" fontId="7" fillId="3" borderId="15" xfId="3" applyNumberFormat="1" applyFont="1" applyFill="1" applyBorder="1" applyAlignment="1">
      <alignment horizontal="right" vertical="center"/>
    </xf>
    <xf numFmtId="184" fontId="7" fillId="3" borderId="16" xfId="3" applyNumberFormat="1" applyFont="1" applyFill="1" applyBorder="1" applyAlignment="1">
      <alignment horizontal="right" vertical="center"/>
    </xf>
    <xf numFmtId="0" fontId="30" fillId="4" borderId="6" xfId="2" applyFont="1" applyFill="1" applyBorder="1" applyAlignment="1" applyProtection="1">
      <alignment horizontal="left" vertical="top" wrapText="1"/>
      <protection locked="0"/>
    </xf>
    <xf numFmtId="0" fontId="30" fillId="4" borderId="7" xfId="2" applyFont="1" applyFill="1" applyBorder="1" applyAlignment="1" applyProtection="1">
      <alignment horizontal="left" vertical="top" wrapText="1"/>
      <protection locked="0"/>
    </xf>
    <xf numFmtId="0" fontId="30" fillId="4" borderId="8" xfId="2" applyFont="1" applyFill="1" applyBorder="1" applyAlignment="1" applyProtection="1">
      <alignment horizontal="left" vertical="top" wrapText="1"/>
      <protection locked="0"/>
    </xf>
    <xf numFmtId="0" fontId="30" fillId="4" borderId="9" xfId="2" applyFont="1" applyFill="1" applyBorder="1" applyAlignment="1" applyProtection="1">
      <alignment horizontal="left" vertical="top" wrapText="1"/>
      <protection locked="0"/>
    </xf>
    <xf numFmtId="0" fontId="30" fillId="4" borderId="10" xfId="2" applyFont="1" applyFill="1" applyBorder="1" applyAlignment="1" applyProtection="1">
      <alignment horizontal="left" vertical="top" wrapText="1"/>
      <protection locked="0"/>
    </xf>
    <xf numFmtId="0" fontId="30" fillId="4" borderId="11" xfId="2" applyFont="1" applyFill="1" applyBorder="1" applyAlignment="1" applyProtection="1">
      <alignment horizontal="left" vertical="top" wrapText="1"/>
      <protection locked="0"/>
    </xf>
    <xf numFmtId="185" fontId="4" fillId="3" borderId="19" xfId="2" applyNumberFormat="1" applyFont="1" applyFill="1" applyBorder="1" applyAlignment="1">
      <alignment horizontal="right" vertical="center"/>
    </xf>
    <xf numFmtId="185" fontId="4" fillId="3" borderId="20" xfId="2" applyNumberFormat="1" applyFont="1" applyFill="1" applyBorder="1" applyAlignment="1">
      <alignment horizontal="right" vertical="center"/>
    </xf>
    <xf numFmtId="186" fontId="7" fillId="3" borderId="15" xfId="3" applyNumberFormat="1" applyFont="1" applyFill="1" applyBorder="1" applyAlignment="1">
      <alignment horizontal="right" vertical="center"/>
    </xf>
    <xf numFmtId="186" fontId="7" fillId="3" borderId="16" xfId="3" applyNumberFormat="1" applyFont="1" applyFill="1" applyBorder="1" applyAlignment="1">
      <alignment horizontal="right" vertical="center"/>
    </xf>
    <xf numFmtId="0" fontId="7" fillId="4" borderId="12" xfId="2" applyFont="1" applyFill="1" applyBorder="1" applyAlignment="1" applyProtection="1">
      <alignment horizontal="left" vertical="top" wrapText="1"/>
      <protection locked="0"/>
    </xf>
    <xf numFmtId="0" fontId="7" fillId="4" borderId="13" xfId="2" applyFont="1" applyFill="1" applyBorder="1" applyAlignment="1" applyProtection="1">
      <alignment horizontal="left" vertical="top" wrapText="1"/>
      <protection locked="0"/>
    </xf>
    <xf numFmtId="0" fontId="7" fillId="4" borderId="14" xfId="2" applyFont="1" applyFill="1" applyBorder="1" applyAlignment="1" applyProtection="1">
      <alignment horizontal="left" vertical="top" wrapText="1"/>
      <protection locked="0"/>
    </xf>
    <xf numFmtId="0" fontId="7" fillId="4" borderId="6" xfId="2" applyFont="1" applyFill="1" applyBorder="1" applyAlignment="1" applyProtection="1">
      <alignment horizontal="left" vertical="top" wrapText="1"/>
      <protection locked="0"/>
    </xf>
    <xf numFmtId="0" fontId="7" fillId="4" borderId="7" xfId="2" applyFont="1" applyFill="1" applyBorder="1" applyAlignment="1" applyProtection="1">
      <alignment horizontal="left" vertical="top" wrapText="1"/>
      <protection locked="0"/>
    </xf>
    <xf numFmtId="0" fontId="7" fillId="4" borderId="8" xfId="2" applyFont="1" applyFill="1" applyBorder="1" applyAlignment="1" applyProtection="1">
      <alignment horizontal="left" vertical="top" wrapText="1"/>
      <protection locked="0"/>
    </xf>
    <xf numFmtId="0" fontId="7" fillId="4" borderId="9" xfId="2" applyFont="1" applyFill="1" applyBorder="1" applyAlignment="1" applyProtection="1">
      <alignment horizontal="left" vertical="top" wrapText="1"/>
      <protection locked="0"/>
    </xf>
    <xf numFmtId="0" fontId="7" fillId="4" borderId="10" xfId="2" applyFont="1" applyFill="1" applyBorder="1" applyAlignment="1" applyProtection="1">
      <alignment horizontal="left" vertical="top" wrapText="1"/>
      <protection locked="0"/>
    </xf>
    <xf numFmtId="0" fontId="7" fillId="4" borderId="11" xfId="2" applyFont="1" applyFill="1" applyBorder="1" applyAlignment="1" applyProtection="1">
      <alignment horizontal="left" vertical="top" wrapText="1"/>
      <protection locked="0"/>
    </xf>
    <xf numFmtId="181" fontId="12" fillId="4" borderId="12" xfId="2" applyNumberFormat="1" applyFont="1" applyFill="1" applyBorder="1" applyAlignment="1" applyProtection="1">
      <alignment horizontal="right" vertical="center"/>
      <protection locked="0"/>
    </xf>
    <xf numFmtId="181" fontId="12" fillId="4" borderId="14" xfId="2" applyNumberFormat="1" applyFont="1" applyFill="1" applyBorder="1" applyAlignment="1" applyProtection="1">
      <alignment horizontal="right" vertical="center"/>
      <protection locked="0"/>
    </xf>
    <xf numFmtId="0" fontId="16" fillId="4" borderId="12" xfId="2" applyFont="1" applyFill="1" applyBorder="1" applyAlignment="1" applyProtection="1">
      <alignment horizontal="left" vertical="top" wrapText="1"/>
      <protection locked="0"/>
    </xf>
    <xf numFmtId="0" fontId="16" fillId="4" borderId="13" xfId="2" applyFont="1" applyFill="1" applyBorder="1" applyAlignment="1" applyProtection="1">
      <alignment horizontal="left" vertical="top" wrapText="1"/>
      <protection locked="0"/>
    </xf>
    <xf numFmtId="0" fontId="16" fillId="4" borderId="14" xfId="2" applyFont="1" applyFill="1" applyBorder="1" applyAlignment="1" applyProtection="1">
      <alignment horizontal="left" vertical="top" wrapText="1"/>
      <protection locked="0"/>
    </xf>
    <xf numFmtId="187" fontId="7" fillId="3" borderId="15" xfId="3" applyNumberFormat="1" applyFont="1" applyFill="1" applyBorder="1" applyAlignment="1">
      <alignment horizontal="right" vertical="center"/>
    </xf>
    <xf numFmtId="187" fontId="7" fillId="3" borderId="16" xfId="3" applyNumberFormat="1" applyFont="1" applyFill="1" applyBorder="1" applyAlignment="1">
      <alignment horizontal="right" vertical="center"/>
    </xf>
    <xf numFmtId="0" fontId="43" fillId="4" borderId="6" xfId="2" applyFont="1" applyFill="1" applyBorder="1" applyAlignment="1" applyProtection="1">
      <alignment horizontal="left" vertical="top" wrapText="1"/>
      <protection locked="0"/>
    </xf>
    <xf numFmtId="0" fontId="43" fillId="4" borderId="7" xfId="2" applyFont="1" applyFill="1" applyBorder="1" applyAlignment="1" applyProtection="1">
      <alignment horizontal="left" vertical="top" wrapText="1"/>
      <protection locked="0"/>
    </xf>
    <xf numFmtId="0" fontId="43" fillId="4" borderId="8" xfId="2" applyFont="1" applyFill="1" applyBorder="1" applyAlignment="1" applyProtection="1">
      <alignment horizontal="left" vertical="top" wrapText="1"/>
      <protection locked="0"/>
    </xf>
    <xf numFmtId="0" fontId="43" fillId="4" borderId="9" xfId="2" applyFont="1" applyFill="1" applyBorder="1" applyAlignment="1" applyProtection="1">
      <alignment horizontal="left" vertical="top" wrapText="1"/>
      <protection locked="0"/>
    </xf>
    <xf numFmtId="0" fontId="43" fillId="4" borderId="10" xfId="2" applyFont="1" applyFill="1" applyBorder="1" applyAlignment="1" applyProtection="1">
      <alignment horizontal="left" vertical="top" wrapText="1"/>
      <protection locked="0"/>
    </xf>
    <xf numFmtId="0" fontId="43" fillId="4" borderId="11" xfId="2" applyFont="1" applyFill="1" applyBorder="1" applyAlignment="1" applyProtection="1">
      <alignment horizontal="left" vertical="top" wrapText="1"/>
      <protection locked="0"/>
    </xf>
    <xf numFmtId="188" fontId="7" fillId="3" borderId="15" xfId="3" applyNumberFormat="1" applyFont="1" applyFill="1" applyBorder="1" applyAlignment="1">
      <alignment horizontal="right" vertical="center"/>
    </xf>
    <xf numFmtId="188" fontId="7" fillId="3" borderId="16" xfId="3" applyNumberFormat="1" applyFont="1" applyFill="1" applyBorder="1" applyAlignment="1">
      <alignment horizontal="right" vertical="center"/>
    </xf>
  </cellXfs>
  <cellStyles count="6">
    <cellStyle name="パーセント" xfId="1" builtinId="5"/>
    <cellStyle name="パーセント 3" xfId="5" xr:uid="{11A18459-8F74-44EC-B225-5D0C249F7296}"/>
    <cellStyle name="ハイパーリンク 3" xfId="4" xr:uid="{2069D58C-8A01-426E-84AD-48E64F8261DE}"/>
    <cellStyle name="桁区切り 3" xfId="3" xr:uid="{9AA5AB0A-A782-47C1-B347-855F8F5ADF9D}"/>
    <cellStyle name="標準" xfId="0" builtinId="0"/>
    <cellStyle name="標準 4" xfId="2" xr:uid="{D0F51CBA-30C4-48BE-836E-39A95E117B8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例①!$P$23</c:f>
              <c:strCache>
                <c:ptCount val="1"/>
                <c:pt idx="0">
                  <c:v>高機能接合剤の開発による電子部品熱処理工程の省エネルギー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例①!$P$24:$P$40</c:f>
              <c:numCache>
                <c:formatCode>0.000</c:formatCode>
                <c:ptCount val="17"/>
                <c:pt idx="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0-80D2-4F87-9845-DFACA2DFF4BE}"/>
            </c:ext>
          </c:extLst>
        </c:ser>
        <c:ser>
          <c:idx val="1"/>
          <c:order val="1"/>
          <c:tx>
            <c:strRef>
              <c:f>例①!$Q$23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0D2-4F87-9845-DFACA2DFF4BE}"/>
            </c:ext>
          </c:extLst>
        </c:ser>
        <c:ser>
          <c:idx val="2"/>
          <c:order val="2"/>
          <c:tx>
            <c:strRef>
              <c:f>例①!$R$23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0D2-4F87-9845-DFACA2DFF4BE}"/>
            </c:ext>
          </c:extLst>
        </c:ser>
        <c:ser>
          <c:idx val="3"/>
          <c:order val="3"/>
          <c:tx>
            <c:strRef>
              <c:f>例①!$S$23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0D2-4F87-9845-DFACA2DFF4BE}"/>
            </c:ext>
          </c:extLst>
        </c:ser>
        <c:ser>
          <c:idx val="4"/>
          <c:order val="4"/>
          <c:tx>
            <c:strRef>
              <c:f>例①!$T$23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例①!$T$24:$T$40</c:f>
              <c:numCache>
                <c:formatCode>General</c:formatCode>
                <c:ptCount val="17"/>
                <c:pt idx="0" formatCode="0.00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4-80D2-4F87-9845-DFACA2DFF4BE}"/>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例②!$P$23</c:f>
              <c:strCache>
                <c:ptCount val="1"/>
                <c:pt idx="0">
                  <c:v>基礎化学品Xのバイオプロセス生産による省エネルギー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例②!$P$24:$P$40</c:f>
              <c:numCache>
                <c:formatCode>0.000</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0-087E-44C1-AFBD-567AB3C23E00}"/>
            </c:ext>
          </c:extLst>
        </c:ser>
        <c:ser>
          <c:idx val="1"/>
          <c:order val="1"/>
          <c:tx>
            <c:strRef>
              <c:f>例②!$Q$23</c:f>
              <c:strCache>
                <c:ptCount val="1"/>
              </c:strCache>
            </c:strRef>
          </c:tx>
          <c:spPr>
            <a:ln w="19050" cap="rnd">
              <a:solidFill>
                <a:schemeClr val="accent2"/>
              </a:solidFill>
              <a:round/>
            </a:ln>
            <a:effectLst/>
          </c:spPr>
          <c:marker>
            <c:symbol val="triangle"/>
            <c:size val="8"/>
            <c:spPr>
              <a:solidFill>
                <a:srgbClr val="00B050"/>
              </a:solidFill>
              <a:ln w="9525">
                <a:solidFill>
                  <a:srgbClr val="00B05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087E-44C1-AFBD-567AB3C23E00}"/>
            </c:ext>
          </c:extLst>
        </c:ser>
        <c:ser>
          <c:idx val="2"/>
          <c:order val="2"/>
          <c:tx>
            <c:strRef>
              <c:f>例②!$R$23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087E-44C1-AFBD-567AB3C23E00}"/>
            </c:ext>
          </c:extLst>
        </c:ser>
        <c:ser>
          <c:idx val="3"/>
          <c:order val="3"/>
          <c:tx>
            <c:strRef>
              <c:f>例②!$S$23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087E-44C1-AFBD-567AB3C23E00}"/>
            </c:ext>
          </c:extLst>
        </c:ser>
        <c:ser>
          <c:idx val="4"/>
          <c:order val="4"/>
          <c:tx>
            <c:strRef>
              <c:f>例②!$T$23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例②!$T$24:$T$40</c:f>
              <c:numCache>
                <c:formatCode>General</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4-087E-44C1-AFBD-567AB3C23E0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例③!$P$23</c:f>
              <c:strCache>
                <c:ptCount val="1"/>
                <c:pt idx="0">
                  <c:v>500MW級耐熱型高効率発電機</c:v>
                </c:pt>
              </c:strCache>
            </c:strRef>
          </c:tx>
          <c:spPr>
            <a:ln w="19050" cap="rnd">
              <a:solidFill>
                <a:schemeClr val="accent1"/>
              </a:solidFill>
              <a:round/>
            </a:ln>
            <a:effectLst/>
          </c:spPr>
          <c:marker>
            <c:symbol val="square"/>
            <c:size val="8"/>
            <c:spPr>
              <a:solidFill>
                <a:srgbClr val="0000FF"/>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例③!$P$24:$P$40</c:f>
              <c:numCache>
                <c:formatCode>0.000</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0-5CA9-44EC-90A9-4D3C49291A93}"/>
            </c:ext>
          </c:extLst>
        </c:ser>
        <c:ser>
          <c:idx val="1"/>
          <c:order val="1"/>
          <c:tx>
            <c:strRef>
              <c:f>例③!$Q$23</c:f>
              <c:strCache>
                <c:ptCount val="1"/>
              </c:strCache>
            </c:strRef>
          </c:tx>
          <c:spPr>
            <a:ln w="19050" cap="rnd">
              <a:solidFill>
                <a:schemeClr val="accent2"/>
              </a:solidFill>
              <a:round/>
            </a:ln>
            <a:effectLst/>
          </c:spPr>
          <c:marker>
            <c:symbol val="triangle"/>
            <c:size val="8"/>
            <c:spPr>
              <a:solidFill>
                <a:srgbClr val="00B05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CA9-44EC-90A9-4D3C49291A93}"/>
            </c:ext>
          </c:extLst>
        </c:ser>
        <c:ser>
          <c:idx val="2"/>
          <c:order val="2"/>
          <c:tx>
            <c:strRef>
              <c:f>例③!$R$23</c:f>
              <c:strCache>
                <c:ptCount val="1"/>
              </c:strCache>
            </c:strRef>
          </c:tx>
          <c:spPr>
            <a:ln w="19050" cap="rnd">
              <a:solidFill>
                <a:schemeClr val="accent3"/>
              </a:solidFill>
              <a:round/>
            </a:ln>
            <a:effectLst/>
          </c:spPr>
          <c:marker>
            <c:symbol val="diamond"/>
            <c:size val="8"/>
            <c:spPr>
              <a:solidFill>
                <a:srgbClr val="00B0F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5CA9-44EC-90A9-4D3C49291A93}"/>
            </c:ext>
          </c:extLst>
        </c:ser>
        <c:ser>
          <c:idx val="3"/>
          <c:order val="3"/>
          <c:tx>
            <c:strRef>
              <c:f>例③!$S$23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5CA9-44EC-90A9-4D3C49291A93}"/>
            </c:ext>
          </c:extLst>
        </c:ser>
        <c:ser>
          <c:idx val="4"/>
          <c:order val="4"/>
          <c:tx>
            <c:strRef>
              <c:f>例③!$T$23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例③!$T$24:$T$40</c:f>
              <c:numCache>
                <c:formatCode>General</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4-5CA9-44EC-90A9-4D3C49291A9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例④!$P$23</c:f>
              <c:strCache>
                <c:ptCount val="1"/>
                <c:pt idx="0">
                  <c:v>自動車部材のCFRPへの置き換えによる車両の軽量化</c:v>
                </c:pt>
              </c:strCache>
            </c:strRef>
          </c:tx>
          <c:spPr>
            <a:ln w="19050" cap="rnd">
              <a:solidFill>
                <a:schemeClr val="accent1"/>
              </a:solidFill>
              <a:round/>
            </a:ln>
            <a:effectLst/>
          </c:spPr>
          <c:marker>
            <c:symbol val="square"/>
            <c:size val="8"/>
            <c:spPr>
              <a:solidFill>
                <a:srgbClr val="0000FF"/>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例④!$P$24:$P$40</c:f>
              <c:numCache>
                <c:formatCode>0.000</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0-8E10-435F-B364-4D16F926D6FA}"/>
            </c:ext>
          </c:extLst>
        </c:ser>
        <c:ser>
          <c:idx val="1"/>
          <c:order val="1"/>
          <c:tx>
            <c:strRef>
              <c:f>例④!$Q$23</c:f>
              <c:strCache>
                <c:ptCount val="1"/>
              </c:strCache>
            </c:strRef>
          </c:tx>
          <c:spPr>
            <a:ln w="19050" cap="rnd">
              <a:solidFill>
                <a:srgbClr val="00B050"/>
              </a:solidFill>
              <a:round/>
            </a:ln>
            <a:effectLst/>
          </c:spPr>
          <c:marker>
            <c:symbol val="triangle"/>
            <c:size val="8"/>
            <c:spPr>
              <a:solidFill>
                <a:srgbClr val="00B050"/>
              </a:solidFill>
              <a:ln w="9525">
                <a:solidFill>
                  <a:srgbClr val="00B05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E10-435F-B364-4D16F926D6FA}"/>
            </c:ext>
          </c:extLst>
        </c:ser>
        <c:ser>
          <c:idx val="2"/>
          <c:order val="2"/>
          <c:tx>
            <c:strRef>
              <c:f>例④!$R$23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E10-435F-B364-4D16F926D6FA}"/>
            </c:ext>
          </c:extLst>
        </c:ser>
        <c:ser>
          <c:idx val="3"/>
          <c:order val="3"/>
          <c:tx>
            <c:strRef>
              <c:f>例④!$S$23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E10-435F-B364-4D16F926D6FA}"/>
            </c:ext>
          </c:extLst>
        </c:ser>
        <c:ser>
          <c:idx val="4"/>
          <c:order val="4"/>
          <c:tx>
            <c:strRef>
              <c:f>例④!$T$23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例④!$T$24:$T$40</c:f>
              <c:numCache>
                <c:formatCode>General</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4-8E10-435F-B364-4D16F926D6FA}"/>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例⑥!$P$23</c:f>
              <c:strCache>
                <c:ptCount val="1"/>
                <c:pt idx="0">
                  <c:v>商業施設の空調</c:v>
                </c:pt>
              </c:strCache>
            </c:strRef>
          </c:tx>
          <c:spPr>
            <a:ln w="19050" cap="rnd">
              <a:solidFill>
                <a:schemeClr val="accent1"/>
              </a:solidFill>
              <a:round/>
            </a:ln>
            <a:effectLst/>
          </c:spPr>
          <c:marker>
            <c:symbol val="square"/>
            <c:size val="8"/>
            <c:spPr>
              <a:solidFill>
                <a:srgbClr val="0000FF"/>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例⑥!$P$24:$P$40</c:f>
              <c:numCache>
                <c:formatCode>0.000</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0-1264-43CD-9054-486A7D16DCF3}"/>
            </c:ext>
          </c:extLst>
        </c:ser>
        <c:ser>
          <c:idx val="1"/>
          <c:order val="1"/>
          <c:tx>
            <c:strRef>
              <c:f>例⑥!$Q$23</c:f>
              <c:strCache>
                <c:ptCount val="1"/>
              </c:strCache>
            </c:strRef>
          </c:tx>
          <c:spPr>
            <a:ln w="19050" cap="rnd">
              <a:solidFill>
                <a:srgbClr val="00B050"/>
              </a:solidFill>
              <a:round/>
            </a:ln>
            <a:effectLst/>
          </c:spPr>
          <c:marker>
            <c:symbol val="triangle"/>
            <c:size val="8"/>
            <c:spPr>
              <a:solidFill>
                <a:srgbClr val="00B05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1264-43CD-9054-486A7D16DCF3}"/>
            </c:ext>
          </c:extLst>
        </c:ser>
        <c:ser>
          <c:idx val="2"/>
          <c:order val="2"/>
          <c:tx>
            <c:strRef>
              <c:f>例⑥!$R$23</c:f>
              <c:strCache>
                <c:ptCount val="1"/>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1264-43CD-9054-486A7D16DCF3}"/>
            </c:ext>
          </c:extLst>
        </c:ser>
        <c:ser>
          <c:idx val="3"/>
          <c:order val="3"/>
          <c:tx>
            <c:strRef>
              <c:f>例⑥!$S$23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1264-43CD-9054-486A7D16DCF3}"/>
            </c:ext>
          </c:extLst>
        </c:ser>
        <c:ser>
          <c:idx val="4"/>
          <c:order val="4"/>
          <c:tx>
            <c:strRef>
              <c:f>例⑥!$T$23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例⑥!$T$24:$T$40</c:f>
              <c:numCache>
                <c:formatCode>General</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4-1264-43CD-9054-486A7D16DCF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例⑦!$P$23</c:f>
              <c:strCache>
                <c:ptCount val="1"/>
                <c:pt idx="0">
                  <c:v>大型有機ELテレビの技術開発</c:v>
                </c:pt>
              </c:strCache>
            </c:strRef>
          </c:tx>
          <c:spPr>
            <a:ln w="19050" cap="rnd">
              <a:solidFill>
                <a:schemeClr val="accent1"/>
              </a:solidFill>
              <a:round/>
            </a:ln>
            <a:effectLst/>
          </c:spPr>
          <c:marker>
            <c:symbol val="square"/>
            <c:size val="8"/>
            <c:spPr>
              <a:solidFill>
                <a:srgbClr val="0000FF"/>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例⑦!$P$24:$P$40</c:f>
              <c:numCache>
                <c:formatCode>0.000</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0-3168-4A75-812B-598660CDEAE8}"/>
            </c:ext>
          </c:extLst>
        </c:ser>
        <c:ser>
          <c:idx val="1"/>
          <c:order val="1"/>
          <c:tx>
            <c:strRef>
              <c:f>例⑦!$Q$23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168-4A75-812B-598660CDEAE8}"/>
            </c:ext>
          </c:extLst>
        </c:ser>
        <c:ser>
          <c:idx val="2"/>
          <c:order val="2"/>
          <c:tx>
            <c:strRef>
              <c:f>例⑦!$R$23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168-4A75-812B-598660CDEAE8}"/>
            </c:ext>
          </c:extLst>
        </c:ser>
        <c:ser>
          <c:idx val="3"/>
          <c:order val="3"/>
          <c:tx>
            <c:strRef>
              <c:f>例⑦!$S$23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168-4A75-812B-598660CDEAE8}"/>
            </c:ext>
          </c:extLst>
        </c:ser>
        <c:ser>
          <c:idx val="4"/>
          <c:order val="4"/>
          <c:tx>
            <c:strRef>
              <c:f>例⑦!$T$23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例⑦!$T$24:$T$40</c:f>
              <c:numCache>
                <c:formatCode>General</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4-3168-4A75-812B-598660CDEAE8}"/>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例⑧!$P$23</c:f>
              <c:strCache>
                <c:ptCount val="1"/>
                <c:pt idx="0">
                  <c:v>高効率ガスタービン</c:v>
                </c:pt>
              </c:strCache>
            </c:strRef>
          </c:tx>
          <c:spPr>
            <a:ln w="19050" cap="rnd">
              <a:solidFill>
                <a:schemeClr val="accent1"/>
              </a:solidFill>
              <a:round/>
            </a:ln>
            <a:effectLst/>
          </c:spPr>
          <c:marker>
            <c:symbol val="square"/>
            <c:size val="8"/>
            <c:spPr>
              <a:solidFill>
                <a:srgbClr val="0000FF"/>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例⑧!$P$24:$P$40</c:f>
              <c:numCache>
                <c:formatCode>0.000</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0-AC01-4E4B-B768-EB1B7EB8CCC0}"/>
            </c:ext>
          </c:extLst>
        </c:ser>
        <c:ser>
          <c:idx val="1"/>
          <c:order val="1"/>
          <c:tx>
            <c:strRef>
              <c:f>例⑧!$Q$23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AC01-4E4B-B768-EB1B7EB8CCC0}"/>
            </c:ext>
          </c:extLst>
        </c:ser>
        <c:ser>
          <c:idx val="2"/>
          <c:order val="2"/>
          <c:tx>
            <c:strRef>
              <c:f>例⑧!$R$23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AC01-4E4B-B768-EB1B7EB8CCC0}"/>
            </c:ext>
          </c:extLst>
        </c:ser>
        <c:ser>
          <c:idx val="3"/>
          <c:order val="3"/>
          <c:tx>
            <c:strRef>
              <c:f>例⑧!$S$23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AC01-4E4B-B768-EB1B7EB8CCC0}"/>
            </c:ext>
          </c:extLst>
        </c:ser>
        <c:ser>
          <c:idx val="4"/>
          <c:order val="4"/>
          <c:tx>
            <c:strRef>
              <c:f>例⑧!$T$23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例⑧!$T$24:$T$40</c:f>
              <c:numCache>
                <c:formatCode>General</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4-AC01-4E4B-B768-EB1B7EB8CCC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例⑨!$P$23</c:f>
              <c:strCache>
                <c:ptCount val="1"/>
                <c:pt idx="0">
                  <c:v>家庭用小型ヒートポンプ給湯器</c:v>
                </c:pt>
              </c:strCache>
            </c:strRef>
          </c:tx>
          <c:spPr>
            <a:ln w="19050" cap="rnd">
              <a:solidFill>
                <a:schemeClr val="accent1"/>
              </a:solidFill>
              <a:round/>
            </a:ln>
            <a:effectLst/>
          </c:spPr>
          <c:marker>
            <c:symbol val="square"/>
            <c:size val="8"/>
            <c:spPr>
              <a:solidFill>
                <a:srgbClr val="0000FF"/>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例⑨!$P$24:$P$40</c:f>
              <c:numCache>
                <c:formatCode>0.000</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0-30A0-4807-86DB-442B421E48E7}"/>
            </c:ext>
          </c:extLst>
        </c:ser>
        <c:ser>
          <c:idx val="1"/>
          <c:order val="1"/>
          <c:tx>
            <c:strRef>
              <c:f>例⑨!$Q$23</c:f>
              <c:strCache>
                <c:ptCount val="1"/>
              </c:strCache>
            </c:strRef>
          </c:tx>
          <c:spPr>
            <a:ln w="19050" cap="rnd">
              <a:solidFill>
                <a:srgbClr val="00B050"/>
              </a:solidFill>
              <a:round/>
            </a:ln>
            <a:effectLst/>
          </c:spPr>
          <c:marker>
            <c:symbol val="triangle"/>
            <c:size val="8"/>
            <c:spPr>
              <a:solidFill>
                <a:srgbClr val="00B05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0A0-4807-86DB-442B421E48E7}"/>
            </c:ext>
          </c:extLst>
        </c:ser>
        <c:ser>
          <c:idx val="2"/>
          <c:order val="2"/>
          <c:tx>
            <c:strRef>
              <c:f>例⑨!$R$23</c:f>
              <c:strCache>
                <c:ptCount val="1"/>
              </c:strCache>
            </c:strRef>
          </c:tx>
          <c:spPr>
            <a:ln w="19050" cap="rnd">
              <a:solidFill>
                <a:srgbClr val="00B0F0"/>
              </a:solidFill>
              <a:round/>
            </a:ln>
            <a:effectLst/>
          </c:spPr>
          <c:marker>
            <c:symbol val="diamond"/>
            <c:size val="8"/>
            <c:spPr>
              <a:solidFill>
                <a:srgbClr val="00B0F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0A0-4807-86DB-442B421E48E7}"/>
            </c:ext>
          </c:extLst>
        </c:ser>
        <c:ser>
          <c:idx val="3"/>
          <c:order val="3"/>
          <c:tx>
            <c:strRef>
              <c:f>例⑨!$S$23</c:f>
              <c:strCache>
                <c:ptCount val="1"/>
              </c:strCache>
            </c:strRef>
          </c:tx>
          <c:spPr>
            <a:ln w="19050" cap="rnd">
              <a:solidFill>
                <a:schemeClr val="accent4"/>
              </a:solidFill>
              <a:round/>
            </a:ln>
            <a:effectLst/>
          </c:spPr>
          <c:marker>
            <c:symbol val="circle"/>
            <c:size val="8"/>
            <c:spPr>
              <a:solidFill>
                <a:srgbClr val="FFC00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0A0-4807-86DB-442B421E48E7}"/>
            </c:ext>
          </c:extLst>
        </c:ser>
        <c:ser>
          <c:idx val="4"/>
          <c:order val="4"/>
          <c:tx>
            <c:strRef>
              <c:f>例⑨!$T$23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例⑨!$T$24:$T$40</c:f>
              <c:numCache>
                <c:formatCode>General</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4-30A0-4807-86DB-442B421E48E7}"/>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Relationships xmlns="http://schemas.openxmlformats.org/package/2006/relationships"><Relationship Id="rId1" Target="../charts/chart1.xml" Type="http://schemas.openxmlformats.org/officeDocument/2006/relationships/chart"/><Relationship Id="rId2" Target="../media/image1.emf" Type="http://schemas.openxmlformats.org/officeDocument/2006/relationships/image"/><Relationship Id="rId3" Target="../media/image2.emf" Type="http://schemas.openxmlformats.org/officeDocument/2006/relationships/image"/><Relationship Id="rId4" Target="../media/image3.emf" Type="http://schemas.openxmlformats.org/officeDocument/2006/relationships/image"/></Relationships>
</file>

<file path=xl/drawings/_rels/drawing3.xml.rels><?xml version="1.0" encoding="UTF-8" standalone="yes"?><Relationships xmlns="http://schemas.openxmlformats.org/package/2006/relationships"><Relationship Id="rId1" Target="../charts/chart2.xml" Type="http://schemas.openxmlformats.org/officeDocument/2006/relationships/chart"/><Relationship Id="rId2" Target="../media/image1.emf" Type="http://schemas.openxmlformats.org/officeDocument/2006/relationships/image"/><Relationship Id="rId3" Target="../media/image4.emf" Type="http://schemas.openxmlformats.org/officeDocument/2006/relationships/image"/></Relationships>
</file>

<file path=xl/drawings/_rels/drawing4.xml.rels><?xml version="1.0" encoding="UTF-8" standalone="yes"?><Relationships xmlns="http://schemas.openxmlformats.org/package/2006/relationships"><Relationship Id="rId1" Target="../charts/chart3.xml" Type="http://schemas.openxmlformats.org/officeDocument/2006/relationships/chart"/><Relationship Id="rId2" Target="../media/image1.emf" Type="http://schemas.openxmlformats.org/officeDocument/2006/relationships/image"/><Relationship Id="rId3" Target="../media/image5.emf" Type="http://schemas.openxmlformats.org/officeDocument/2006/relationships/image"/><Relationship Id="rId4" Target="../media/image6.emf" Type="http://schemas.openxmlformats.org/officeDocument/2006/relationships/image"/></Relationships>
</file>

<file path=xl/drawings/_rels/drawing5.xml.rels><?xml version="1.0" encoding="UTF-8" standalone="yes"?><Relationships xmlns="http://schemas.openxmlformats.org/package/2006/relationships"><Relationship Id="rId1" Target="../charts/chart4.xml" Type="http://schemas.openxmlformats.org/officeDocument/2006/relationships/chart"/><Relationship Id="rId2" Target="../media/image1.emf" Type="http://schemas.openxmlformats.org/officeDocument/2006/relationships/image"/><Relationship Id="rId3" Target="../media/image7.emf" Type="http://schemas.openxmlformats.org/officeDocument/2006/relationships/image"/><Relationship Id="rId4" Target="../media/image8.emf" Type="http://schemas.openxmlformats.org/officeDocument/2006/relationships/image"/></Relationships>
</file>

<file path=xl/drawings/_rels/drawing6.xml.rels><?xml version="1.0" encoding="UTF-8" standalone="yes"?><Relationships xmlns="http://schemas.openxmlformats.org/package/2006/relationships"><Relationship Id="rId1" Target="../media/image9.emf" Type="http://schemas.openxmlformats.org/officeDocument/2006/relationships/image"/><Relationship Id="rId2" Target="../media/image10.emf" Type="http://schemas.openxmlformats.org/officeDocument/2006/relationships/image"/><Relationship Id="rId3" Target="../media/image11.emf" Type="http://schemas.openxmlformats.org/officeDocument/2006/relationships/image"/><Relationship Id="rId4" Target="../charts/chart5.xml" Type="http://schemas.openxmlformats.org/officeDocument/2006/relationships/chart"/><Relationship Id="rId5" Target="../media/image1.emf" Type="http://schemas.openxmlformats.org/officeDocument/2006/relationships/image"/></Relationships>
</file>

<file path=xl/drawings/_rels/drawing7.xml.rels><?xml version="1.0" encoding="UTF-8" standalone="yes"?><Relationships xmlns="http://schemas.openxmlformats.org/package/2006/relationships"><Relationship Id="rId1" Target="../charts/chart6.xml" Type="http://schemas.openxmlformats.org/officeDocument/2006/relationships/chart"/><Relationship Id="rId2" Target="../media/image1.emf" Type="http://schemas.openxmlformats.org/officeDocument/2006/relationships/image"/><Relationship Id="rId3" Target="../media/image12.emf" Type="http://schemas.openxmlformats.org/officeDocument/2006/relationships/image"/><Relationship Id="rId4" Target="../media/image13.emf" Type="http://schemas.openxmlformats.org/officeDocument/2006/relationships/image"/></Relationships>
</file>

<file path=xl/drawings/_rels/drawing8.xml.rels><?xml version="1.0" encoding="UTF-8" standalone="yes"?><Relationships xmlns="http://schemas.openxmlformats.org/package/2006/relationships"><Relationship Id="rId1" Target="../charts/chart7.xml" Type="http://schemas.openxmlformats.org/officeDocument/2006/relationships/chart"/><Relationship Id="rId2" Target="../media/image1.emf" Type="http://schemas.openxmlformats.org/officeDocument/2006/relationships/image"/><Relationship Id="rId3" Target="../media/image14.emf" Type="http://schemas.openxmlformats.org/officeDocument/2006/relationships/image"/><Relationship Id="rId4" Target="../media/image15.emf" Type="http://schemas.openxmlformats.org/officeDocument/2006/relationships/image"/></Relationships>
</file>

<file path=xl/drawings/_rels/drawing9.xml.rels><?xml version="1.0" encoding="UTF-8" standalone="yes"?><Relationships xmlns="http://schemas.openxmlformats.org/package/2006/relationships"><Relationship Id="rId1" Target="../media/image1.emf" Type="http://schemas.openxmlformats.org/officeDocument/2006/relationships/image"/><Relationship Id="rId2" Target="../media/image16.emf" Type="http://schemas.openxmlformats.org/officeDocument/2006/relationships/image"/><Relationship Id="rId3" Target="../media/image17.emf" Type="http://schemas.openxmlformats.org/officeDocument/2006/relationships/image"/><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66675</xdr:colOff>
      <xdr:row>5</xdr:row>
      <xdr:rowOff>104776</xdr:rowOff>
    </xdr:to>
    <xdr:sp macro="" textlink="">
      <xdr:nvSpPr>
        <xdr:cNvPr id="2" name="テキスト ボックス 1">
          <a:extLst>
            <a:ext uri="{FF2B5EF4-FFF2-40B4-BE49-F238E27FC236}">
              <a16:creationId xmlns:a16="http://schemas.microsoft.com/office/drawing/2014/main" id="{8D4BC259-2878-44A3-ADC1-4950296FB1B1}"/>
            </a:ext>
          </a:extLst>
        </xdr:cNvPr>
        <xdr:cNvSpPr txBox="1"/>
      </xdr:nvSpPr>
      <xdr:spPr>
        <a:xfrm>
          <a:off x="5105400" y="23812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279513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68</xdr:row>
      <xdr:rowOff>1933575</xdr:rowOff>
    </xdr:from>
    <xdr:to>
      <xdr:col>8</xdr:col>
      <xdr:colOff>809625</xdr:colOff>
      <xdr:row>68</xdr:row>
      <xdr:rowOff>4686300</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7525" y="2999422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1295400</xdr:colOff>
      <xdr:row>41</xdr:row>
      <xdr:rowOff>361950</xdr:rowOff>
    </xdr:from>
    <xdr:to>
      <xdr:col>10</xdr:col>
      <xdr:colOff>1600200</xdr:colOff>
      <xdr:row>41</xdr:row>
      <xdr:rowOff>3067050</xdr:rowOff>
    </xdr:to>
    <xdr:pic>
      <xdr:nvPicPr>
        <xdr:cNvPr id="6" name="図 5">
          <a:extLst>
            <a:ext uri="{FF2B5EF4-FFF2-40B4-BE49-F238E27FC236}">
              <a16:creationId xmlns:a16="http://schemas.microsoft.com/office/drawing/2014/main" id="{9AA05A46-2D2F-828A-2A2B-A2A2C4A59A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8775" y="17554575"/>
          <a:ext cx="44577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550333</xdr:colOff>
      <xdr:row>3</xdr:row>
      <xdr:rowOff>10583</xdr:rowOff>
    </xdr:to>
    <xdr:sp macro="" textlink="">
      <xdr:nvSpPr>
        <xdr:cNvPr id="7" name="正方形/長方形 6">
          <a:extLst>
            <a:ext uri="{FF2B5EF4-FFF2-40B4-BE49-F238E27FC236}">
              <a16:creationId xmlns:a16="http://schemas.microsoft.com/office/drawing/2014/main" id="{86859C09-A837-144F-0CDB-3EC3C1D65913}"/>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事例①</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高機能接合剤の開発による電子部品熱処理工程の省エネルギー</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9" name="テキスト ボックス 8">
          <a:extLst>
            <a:ext uri="{FF2B5EF4-FFF2-40B4-BE49-F238E27FC236}">
              <a16:creationId xmlns:a16="http://schemas.microsoft.com/office/drawing/2014/main" id="{80A0C6B6-FC34-49EA-A52D-8D0AC895EAB1}"/>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68</xdr:row>
      <xdr:rowOff>1457325</xdr:rowOff>
    </xdr:from>
    <xdr:to>
      <xdr:col>8</xdr:col>
      <xdr:colOff>704850</xdr:colOff>
      <xdr:row>68</xdr:row>
      <xdr:rowOff>4210050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0" y="2951797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70D6450B-04AB-42CB-AA99-D07028A83979}"/>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事例②</a:t>
          </a:r>
          <a:r>
            <a:rPr kumimoji="1" lang="en-US" altLang="ja-JP" sz="1600" b="1">
              <a:solidFill>
                <a:sysClr val="windowText" lastClr="000000"/>
              </a:solidFill>
            </a:rPr>
            <a:t>. </a:t>
          </a:r>
          <a:r>
            <a:rPr kumimoji="1" lang="ja-JP" altLang="en-US" sz="1600" b="1">
              <a:solidFill>
                <a:sysClr val="windowText" lastClr="000000"/>
              </a:solidFill>
            </a:rPr>
            <a:t>基礎化学品</a:t>
          </a:r>
          <a:r>
            <a:rPr kumimoji="1" lang="en-US" altLang="ja-JP" sz="1600" b="1">
              <a:solidFill>
                <a:sysClr val="windowText" lastClr="000000"/>
              </a:solidFill>
            </a:rPr>
            <a:t>X</a:t>
          </a:r>
          <a:r>
            <a:rPr kumimoji="1" lang="ja-JP" altLang="en-US" sz="1600" b="1">
              <a:solidFill>
                <a:sysClr val="windowText" lastClr="000000"/>
              </a:solidFill>
            </a:rPr>
            <a:t>のバイオプロセス生産による省エネルギー</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CAC24123-4AB3-4FB7-BF91-63B8CAD9E9F8}"/>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433916</xdr:colOff>
      <xdr:row>41</xdr:row>
      <xdr:rowOff>4773084</xdr:rowOff>
    </xdr:from>
    <xdr:ext cx="4239998" cy="17222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891241" y="21965709"/>
          <a:ext cx="4239998"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https://trienplus.com/energy-thermal-power-generation-and-efficiency/</a:t>
          </a:r>
          <a:endParaRPr kumimoji="1" lang="ja-JP" altLang="en-US" sz="1100"/>
        </a:p>
      </xdr:txBody>
    </xdr:sp>
    <xdr:clientData/>
  </xdr:oneCellAnchor>
  <xdr:oneCellAnchor>
    <xdr:from>
      <xdr:col>5</xdr:col>
      <xdr:colOff>10583</xdr:colOff>
      <xdr:row>68</xdr:row>
      <xdr:rowOff>4466166</xdr:rowOff>
    </xdr:from>
    <xdr:ext cx="2204312" cy="17222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810933" y="32526816"/>
          <a:ext cx="2204312"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https://mirai-bridges.com/hatsuden/</a:t>
          </a:r>
          <a:endParaRPr kumimoji="1" lang="ja-JP" altLang="en-US" sz="1100"/>
        </a:p>
      </xdr:txBody>
    </xdr:sp>
    <xdr:clientData/>
  </xdr:oneCellAnchor>
  <xdr:twoCellAnchor editAs="oneCell">
    <xdr:from>
      <xdr:col>3</xdr:col>
      <xdr:colOff>295275</xdr:colOff>
      <xdr:row>68</xdr:row>
      <xdr:rowOff>609600</xdr:rowOff>
    </xdr:from>
    <xdr:to>
      <xdr:col>8</xdr:col>
      <xdr:colOff>132516</xdr:colOff>
      <xdr:row>68</xdr:row>
      <xdr:rowOff>4336810</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 y="28670250"/>
          <a:ext cx="5895141" cy="3727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495300</xdr:colOff>
      <xdr:row>41</xdr:row>
      <xdr:rowOff>1676400</xdr:rowOff>
    </xdr:from>
    <xdr:to>
      <xdr:col>7</xdr:col>
      <xdr:colOff>466725</xdr:colOff>
      <xdr:row>41</xdr:row>
      <xdr:rowOff>4743450</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2625" y="18869025"/>
          <a:ext cx="40005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BC4FB7D8-A682-40AD-9685-1EC6AA90964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事例③</a:t>
          </a:r>
          <a:r>
            <a:rPr kumimoji="1" lang="en-US" altLang="ja-JP" sz="1600" b="1">
              <a:solidFill>
                <a:sysClr val="windowText" lastClr="000000"/>
              </a:solidFill>
            </a:rPr>
            <a:t>.</a:t>
          </a:r>
          <a:r>
            <a:rPr kumimoji="1" lang="en-US" altLang="ja-JP" sz="1600" b="1" baseline="0">
              <a:solidFill>
                <a:sysClr val="windowText" lastClr="000000"/>
              </a:solidFill>
            </a:rPr>
            <a:t> </a:t>
          </a:r>
          <a:r>
            <a:rPr kumimoji="1" lang="en-US" altLang="ja-JP" sz="1600" b="1">
              <a:solidFill>
                <a:sysClr val="windowText" lastClr="000000"/>
              </a:solidFill>
            </a:rPr>
            <a:t>500MW</a:t>
          </a:r>
          <a:r>
            <a:rPr kumimoji="1" lang="ja-JP" altLang="en-US" sz="1600" b="1">
              <a:solidFill>
                <a:sysClr val="windowText" lastClr="000000"/>
              </a:solidFill>
            </a:rPr>
            <a:t>級耐熱型高効率発電機</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2F07D4A2-512A-4D93-8188-6B8F260B54CD}"/>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571500</xdr:colOff>
      <xdr:row>41</xdr:row>
      <xdr:rowOff>695325</xdr:rowOff>
    </xdr:from>
    <xdr:to>
      <xdr:col>10</xdr:col>
      <xdr:colOff>1476375</xdr:colOff>
      <xdr:row>41</xdr:row>
      <xdr:rowOff>4629150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00925" y="17887950"/>
          <a:ext cx="2371725"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68</xdr:row>
      <xdr:rowOff>1914525</xdr:rowOff>
    </xdr:from>
    <xdr:to>
      <xdr:col>8</xdr:col>
      <xdr:colOff>746125</xdr:colOff>
      <xdr:row>68</xdr:row>
      <xdr:rowOff>4667250</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90850" y="29975175"/>
          <a:ext cx="45847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457199</xdr:colOff>
      <xdr:row>41</xdr:row>
      <xdr:rowOff>1409700</xdr:rowOff>
    </xdr:from>
    <xdr:to>
      <xdr:col>10</xdr:col>
      <xdr:colOff>1571624</xdr:colOff>
      <xdr:row>41</xdr:row>
      <xdr:rowOff>1704975</xdr:rowOff>
    </xdr:to>
    <xdr:sp macro="" textlink="">
      <xdr:nvSpPr>
        <xdr:cNvPr id="4" name="楕円 3">
          <a:extLst>
            <a:ext uri="{FF2B5EF4-FFF2-40B4-BE49-F238E27FC236}">
              <a16:creationId xmlns:a16="http://schemas.microsoft.com/office/drawing/2014/main" id="{E6B40EA4-76D9-46E9-B396-0297008D33F4}"/>
            </a:ext>
          </a:extLst>
        </xdr:cNvPr>
        <xdr:cNvSpPr/>
      </xdr:nvSpPr>
      <xdr:spPr>
        <a:xfrm>
          <a:off x="7286624" y="18602325"/>
          <a:ext cx="2581275" cy="29527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7" name="正方形/長方形 6">
          <a:extLst>
            <a:ext uri="{FF2B5EF4-FFF2-40B4-BE49-F238E27FC236}">
              <a16:creationId xmlns:a16="http://schemas.microsoft.com/office/drawing/2014/main" id="{1E282194-D07A-4D3C-82B6-F09DC9F60CA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事例④</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自動車部材の</a:t>
          </a:r>
          <a:r>
            <a:rPr kumimoji="1" lang="en-US" altLang="ja-JP" sz="1600" b="1">
              <a:solidFill>
                <a:sysClr val="windowText" lastClr="000000"/>
              </a:solidFill>
            </a:rPr>
            <a:t>CFRP</a:t>
          </a:r>
          <a:r>
            <a:rPr kumimoji="1" lang="ja-JP" altLang="en-US" sz="1600" b="1">
              <a:solidFill>
                <a:sysClr val="windowText" lastClr="000000"/>
              </a:solidFill>
            </a:rPr>
            <a:t>への置き換えによる車両の軽量化</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8" name="テキスト ボックス 7">
          <a:extLst>
            <a:ext uri="{FF2B5EF4-FFF2-40B4-BE49-F238E27FC236}">
              <a16:creationId xmlns:a16="http://schemas.microsoft.com/office/drawing/2014/main" id="{D76C47B2-2311-43CD-81A8-F2620DDBD3F3}"/>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9525</xdr:colOff>
      <xdr:row>68</xdr:row>
      <xdr:rowOff>2505075</xdr:rowOff>
    </xdr:from>
    <xdr:to>
      <xdr:col>7</xdr:col>
      <xdr:colOff>914400</xdr:colOff>
      <xdr:row>68</xdr:row>
      <xdr:rowOff>5019675</xdr:rowOff>
    </xdr:to>
    <xdr:pic>
      <xdr:nvPicPr>
        <xdr:cNvPr id="13" name="図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0" y="30565725"/>
          <a:ext cx="49339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1257299</xdr:colOff>
      <xdr:row>41</xdr:row>
      <xdr:rowOff>2805311</xdr:rowOff>
    </xdr:from>
    <xdr:to>
      <xdr:col>10</xdr:col>
      <xdr:colOff>790574</xdr:colOff>
      <xdr:row>41</xdr:row>
      <xdr:rowOff>5010150</xdr:rowOff>
    </xdr:to>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43699" y="19997936"/>
          <a:ext cx="2343150" cy="220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447675</xdr:colOff>
      <xdr:row>41</xdr:row>
      <xdr:rowOff>2771775</xdr:rowOff>
    </xdr:from>
    <xdr:to>
      <xdr:col>7</xdr:col>
      <xdr:colOff>62144</xdr:colOff>
      <xdr:row>41</xdr:row>
      <xdr:rowOff>5067300</xdr:rowOff>
    </xdr:to>
    <xdr:pic>
      <xdr:nvPicPr>
        <xdr:cNvPr id="12" name="図 11">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9964400"/>
          <a:ext cx="4329344"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1171576</xdr:colOff>
      <xdr:row>41</xdr:row>
      <xdr:rowOff>2912509</xdr:rowOff>
    </xdr:from>
    <xdr:ext cx="1565856" cy="68815"/>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flipV="1">
          <a:off x="8001001" y="20105134"/>
          <a:ext cx="1565856" cy="68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xdr:col>
      <xdr:colOff>609600</xdr:colOff>
      <xdr:row>41</xdr:row>
      <xdr:rowOff>4595812</xdr:rowOff>
    </xdr:from>
    <xdr:ext cx="290700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66925" y="21788437"/>
          <a:ext cx="290700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https://www.eccj.or.jp/commercial_bldg/s2.html</a:t>
          </a:r>
          <a:endParaRPr kumimoji="1" lang="ja-JP" altLang="en-US" sz="1100"/>
        </a:p>
      </xdr:txBody>
    </xdr:sp>
    <xdr:clientData/>
  </xdr:oneCellAnchor>
  <xdr:oneCellAnchor>
    <xdr:from>
      <xdr:col>7</xdr:col>
      <xdr:colOff>1123950</xdr:colOff>
      <xdr:row>41</xdr:row>
      <xdr:rowOff>3600450</xdr:rowOff>
    </xdr:from>
    <xdr:ext cx="2578261" cy="172227"/>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610350" y="20793075"/>
          <a:ext cx="2578261"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http://sho-energy.jp/commerce/bems.html</a:t>
          </a:r>
          <a:endParaRPr kumimoji="1" lang="ja-JP" altLang="en-US" sz="1100"/>
        </a:p>
      </xdr:txBody>
    </xdr:sp>
    <xdr:clientData/>
  </xdr:oneCellAnchor>
  <xdr:oneCellAnchor>
    <xdr:from>
      <xdr:col>6</xdr:col>
      <xdr:colOff>95250</xdr:colOff>
      <xdr:row>68</xdr:row>
      <xdr:rowOff>4791075</xdr:rowOff>
    </xdr:from>
    <xdr:ext cx="4019874" cy="172227"/>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238625" y="32851725"/>
          <a:ext cx="4019874"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https://www.mlit.go.jp/toukeijouhou/toukei07/geturei/9/topiku.pdf</a:t>
          </a:r>
          <a:endParaRPr kumimoji="1" lang="ja-JP" altLang="en-US" sz="1100"/>
        </a:p>
      </xdr:txBody>
    </xdr:sp>
    <xdr:clientData/>
  </xdr:one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DF6D4FC7-387F-4D5E-AAED-8448B07CEF0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事例⑥</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商業施設の空調制御技術の開発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72FDBE4F-0F21-4CF0-B45F-A8432287DE99}"/>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209551</xdr:colOff>
      <xdr:row>68</xdr:row>
      <xdr:rowOff>2551215</xdr:rowOff>
    </xdr:from>
    <xdr:to>
      <xdr:col>7</xdr:col>
      <xdr:colOff>257176</xdr:colOff>
      <xdr:row>68</xdr:row>
      <xdr:rowOff>5000625</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6876" y="30611865"/>
          <a:ext cx="4076700" cy="244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1104900</xdr:colOff>
      <xdr:row>68</xdr:row>
      <xdr:rowOff>3267075</xdr:rowOff>
    </xdr:from>
    <xdr:to>
      <xdr:col>10</xdr:col>
      <xdr:colOff>990600</xdr:colOff>
      <xdr:row>68</xdr:row>
      <xdr:rowOff>4076700</xdr:rowOff>
    </xdr:to>
    <xdr:pic>
      <xdr:nvPicPr>
        <xdr:cNvPr id="4" name="図 3">
          <a:extLst>
            <a:ext uri="{FF2B5EF4-FFF2-40B4-BE49-F238E27FC236}">
              <a16:creationId xmlns:a16="http://schemas.microsoft.com/office/drawing/2014/main" id="{367174C6-2D4F-DEB4-CBC5-7A7FF47932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91300" y="31327725"/>
          <a:ext cx="269557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7C618353-85D4-4E58-81FB-E0E24EAE916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事例⑦</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大型有機</a:t>
          </a:r>
          <a:r>
            <a:rPr kumimoji="1" lang="en-US" altLang="ja-JP" sz="1600" b="1">
              <a:solidFill>
                <a:sysClr val="windowText" lastClr="000000"/>
              </a:solidFill>
            </a:rPr>
            <a:t>EL</a:t>
          </a:r>
          <a:r>
            <a:rPr kumimoji="1" lang="ja-JP" altLang="en-US" sz="1600" b="1">
              <a:solidFill>
                <a:sysClr val="windowText" lastClr="000000"/>
              </a:solidFill>
            </a:rPr>
            <a:t>テレビの技術開発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346F7B18-0780-4727-B0DC-C04329530FE9}"/>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497417</xdr:colOff>
      <xdr:row>68</xdr:row>
      <xdr:rowOff>3397246</xdr:rowOff>
    </xdr:from>
    <xdr:ext cx="3788833" cy="344453"/>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5983817" y="31457896"/>
          <a:ext cx="3788833" cy="3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spAutoFit/>
        </a:bodyPr>
        <a:lstStyle/>
        <a:p>
          <a:r>
            <a:rPr kumimoji="1" lang="en-US" altLang="ja-JP" sz="1100"/>
            <a:t>https://www.turbomachinerymag.com/view/worldwide-market-report-2020-proved-to-be-an-interesting-year-for-gas-turbines</a:t>
          </a:r>
          <a:endParaRPr kumimoji="1" lang="ja-JP" altLang="en-US" sz="1100"/>
        </a:p>
      </xdr:txBody>
    </xdr:sp>
    <xdr:clientData/>
  </xdr:oneCellAnchor>
  <xdr:oneCellAnchor>
    <xdr:from>
      <xdr:col>4</xdr:col>
      <xdr:colOff>127000</xdr:colOff>
      <xdr:row>68</xdr:row>
      <xdr:rowOff>3820579</xdr:rowOff>
    </xdr:from>
    <xdr:ext cx="3113087" cy="172227"/>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584325" y="31881229"/>
          <a:ext cx="3113087"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https://www.ace.or.jp/web/works/works_0060.html</a:t>
          </a:r>
          <a:endParaRPr kumimoji="1" lang="ja-JP" altLang="en-US" sz="1100"/>
        </a:p>
      </xdr:txBody>
    </xdr:sp>
    <xdr:clientData/>
  </xdr:oneCellAnchor>
  <xdr:twoCellAnchor editAs="oneCell">
    <xdr:from>
      <xdr:col>7</xdr:col>
      <xdr:colOff>21596</xdr:colOff>
      <xdr:row>68</xdr:row>
      <xdr:rowOff>959910</xdr:rowOff>
    </xdr:from>
    <xdr:to>
      <xdr:col>10</xdr:col>
      <xdr:colOff>1671107</xdr:colOff>
      <xdr:row>68</xdr:row>
      <xdr:rowOff>3362326</xdr:rowOff>
    </xdr:to>
    <xdr:pic>
      <xdr:nvPicPr>
        <xdr:cNvPr id="8" name="図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7996" y="29020560"/>
          <a:ext cx="4459386" cy="2402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68</xdr:row>
      <xdr:rowOff>695325</xdr:rowOff>
    </xdr:from>
    <xdr:to>
      <xdr:col>6</xdr:col>
      <xdr:colOff>1281215</xdr:colOff>
      <xdr:row>68</xdr:row>
      <xdr:rowOff>3796241</xdr:rowOff>
    </xdr:to>
    <xdr:pic>
      <xdr:nvPicPr>
        <xdr:cNvPr id="9" name="図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9150" y="28755975"/>
          <a:ext cx="4605440" cy="3100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DD9E1D21-D549-4EA1-9B5C-5A96112B86B7}"/>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事例⑧</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ガスタービン（</a:t>
          </a:r>
          <a:r>
            <a:rPr kumimoji="1" lang="en-US" altLang="ja-JP" sz="1600" b="1">
              <a:solidFill>
                <a:sysClr val="windowText" lastClr="000000"/>
              </a:solidFill>
            </a:rPr>
            <a:t>GT</a:t>
          </a:r>
          <a:r>
            <a:rPr kumimoji="1" lang="ja-JP" altLang="en-US" sz="1600" b="1">
              <a:solidFill>
                <a:sysClr val="windowText" lastClr="000000"/>
              </a:solidFill>
            </a:rPr>
            <a:t>）の開発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80DD9369-7FD8-4DB0-BA5B-33D1B66419AA}"/>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68</xdr:row>
      <xdr:rowOff>2584064</xdr:rowOff>
    </xdr:from>
    <xdr:to>
      <xdr:col>7</xdr:col>
      <xdr:colOff>847725</xdr:colOff>
      <xdr:row>68</xdr:row>
      <xdr:rowOff>4786526</xdr:rowOff>
    </xdr:to>
    <xdr:pic>
      <xdr:nvPicPr>
        <xdr:cNvPr id="4" name="図 3">
          <a:extLst>
            <a:ext uri="{FF2B5EF4-FFF2-40B4-BE49-F238E27FC236}">
              <a16:creationId xmlns:a16="http://schemas.microsoft.com/office/drawing/2014/main" id="{0BBD3A02-1EC1-4221-17F6-E146AFB77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4158" y="30653825"/>
          <a:ext cx="5036654" cy="2202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361950</xdr:colOff>
      <xdr:row>68</xdr:row>
      <xdr:rowOff>4824626</xdr:rowOff>
    </xdr:from>
    <xdr:ext cx="4043085" cy="172227"/>
    <xdr:sp macro="" textlink="">
      <xdr:nvSpPr>
        <xdr:cNvPr id="5" name="テキスト ボックス 4">
          <a:extLst>
            <a:ext uri="{FF2B5EF4-FFF2-40B4-BE49-F238E27FC236}">
              <a16:creationId xmlns:a16="http://schemas.microsoft.com/office/drawing/2014/main" id="{CAD1C740-4CF0-D1C2-EE0E-695BEA9916AB}"/>
            </a:ext>
          </a:extLst>
        </xdr:cNvPr>
        <xdr:cNvSpPr txBox="1"/>
      </xdr:nvSpPr>
      <xdr:spPr>
        <a:xfrm>
          <a:off x="1819689" y="32894387"/>
          <a:ext cx="404308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https://www.hptcj.or.jp/index/newsrelease/tabid/1931/Default.aspx</a:t>
          </a:r>
          <a:endParaRPr kumimoji="1" lang="ja-JP" altLang="en-US" sz="1100"/>
        </a:p>
      </xdr:txBody>
    </xdr:sp>
    <xdr:clientData/>
  </xdr:oneCellAnchor>
  <xdr:twoCellAnchor editAs="oneCell">
    <xdr:from>
      <xdr:col>7</xdr:col>
      <xdr:colOff>350401</xdr:colOff>
      <xdr:row>41</xdr:row>
      <xdr:rowOff>600074</xdr:rowOff>
    </xdr:from>
    <xdr:to>
      <xdr:col>10</xdr:col>
      <xdr:colOff>1657350</xdr:colOff>
      <xdr:row>41</xdr:row>
      <xdr:rowOff>3124199</xdr:rowOff>
    </xdr:to>
    <xdr:pic>
      <xdr:nvPicPr>
        <xdr:cNvPr id="6" name="図 5">
          <a:extLst>
            <a:ext uri="{FF2B5EF4-FFF2-40B4-BE49-F238E27FC236}">
              <a16:creationId xmlns:a16="http://schemas.microsoft.com/office/drawing/2014/main" id="{7CEE0A04-8673-1BD9-EE28-3962843471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36801" y="17792699"/>
          <a:ext cx="4116824"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514350</xdr:colOff>
      <xdr:row>41</xdr:row>
      <xdr:rowOff>3200400</xdr:rowOff>
    </xdr:from>
    <xdr:ext cx="3713636" cy="172227"/>
    <xdr:sp macro="" textlink="">
      <xdr:nvSpPr>
        <xdr:cNvPr id="7" name="テキスト ボックス 6">
          <a:extLst>
            <a:ext uri="{FF2B5EF4-FFF2-40B4-BE49-F238E27FC236}">
              <a16:creationId xmlns:a16="http://schemas.microsoft.com/office/drawing/2014/main" id="{C2A2C626-5CCE-31B0-9B6D-1A8C36A528A5}"/>
            </a:ext>
          </a:extLst>
        </xdr:cNvPr>
        <xdr:cNvSpPr txBox="1"/>
      </xdr:nvSpPr>
      <xdr:spPr>
        <a:xfrm>
          <a:off x="6000750" y="20393025"/>
          <a:ext cx="3713636"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https://tenbou.nies.go.jp/science/description/detail.php?id=11</a:t>
          </a:r>
          <a:endParaRPr kumimoji="1" lang="ja-JP" altLang="en-US" sz="1100"/>
        </a:p>
      </xdr:txBody>
    </xdr:sp>
    <xdr:clientData/>
  </xdr:oneCellAnchor>
  <xdr:twoCellAnchor>
    <xdr:from>
      <xdr:col>10</xdr:col>
      <xdr:colOff>104775</xdr:colOff>
      <xdr:row>41</xdr:row>
      <xdr:rowOff>1838325</xdr:rowOff>
    </xdr:from>
    <xdr:to>
      <xdr:col>10</xdr:col>
      <xdr:colOff>1438275</xdr:colOff>
      <xdr:row>41</xdr:row>
      <xdr:rowOff>2305050</xdr:rowOff>
    </xdr:to>
    <xdr:sp macro="" textlink="">
      <xdr:nvSpPr>
        <xdr:cNvPr id="10" name="楕円 9">
          <a:extLst>
            <a:ext uri="{FF2B5EF4-FFF2-40B4-BE49-F238E27FC236}">
              <a16:creationId xmlns:a16="http://schemas.microsoft.com/office/drawing/2014/main" id="{1B943953-037D-EE7A-DD9F-7AD47E5B0DEC}"/>
            </a:ext>
          </a:extLst>
        </xdr:cNvPr>
        <xdr:cNvSpPr/>
      </xdr:nvSpPr>
      <xdr:spPr>
        <a:xfrm>
          <a:off x="8401050" y="19030950"/>
          <a:ext cx="1333500" cy="46672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2" name="正方形/長方形 1">
          <a:extLst>
            <a:ext uri="{FF2B5EF4-FFF2-40B4-BE49-F238E27FC236}">
              <a16:creationId xmlns:a16="http://schemas.microsoft.com/office/drawing/2014/main" id="{7E7C8D54-30D1-4C39-97E1-22749844F50E}"/>
            </a:ext>
          </a:extLst>
        </xdr:cNvPr>
        <xdr:cNvSpPr/>
      </xdr:nvSpPr>
      <xdr:spPr>
        <a:xfrm>
          <a:off x="0" y="0"/>
          <a:ext cx="7403913" cy="45564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事例⑨</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家庭用小型ヒートポンプ給湯器</a:t>
          </a:r>
        </a:p>
      </xdr:txBody>
    </xdr:sp>
    <xdr:clientData/>
  </xdr:twoCellAnchor>
  <xdr:twoCellAnchor>
    <xdr:from>
      <xdr:col>2</xdr:col>
      <xdr:colOff>235323</xdr:colOff>
      <xdr:row>14</xdr:row>
      <xdr:rowOff>302560</xdr:rowOff>
    </xdr:from>
    <xdr:to>
      <xdr:col>10</xdr:col>
      <xdr:colOff>1192305</xdr:colOff>
      <xdr:row>14</xdr:row>
      <xdr:rowOff>4975413</xdr:rowOff>
    </xdr:to>
    <xdr:graphicFrame macro="">
      <xdr:nvGraphicFramePr>
        <xdr:cNvPr id="8" name="グラフ 7">
          <a:extLst>
            <a:ext uri="{FF2B5EF4-FFF2-40B4-BE49-F238E27FC236}">
              <a16:creationId xmlns:a16="http://schemas.microsoft.com/office/drawing/2014/main" id="{1AC53A8F-2127-4225-A38E-87AF98A92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11</xdr:row>
      <xdr:rowOff>0</xdr:rowOff>
    </xdr:from>
    <xdr:to>
      <xdr:col>17</xdr:col>
      <xdr:colOff>180975</xdr:colOff>
      <xdr:row>14</xdr:row>
      <xdr:rowOff>428626</xdr:rowOff>
    </xdr:to>
    <xdr:sp macro="" textlink="">
      <xdr:nvSpPr>
        <xdr:cNvPr id="11" name="テキスト ボックス 10">
          <a:extLst>
            <a:ext uri="{FF2B5EF4-FFF2-40B4-BE49-F238E27FC236}">
              <a16:creationId xmlns:a16="http://schemas.microsoft.com/office/drawing/2014/main" id="{D04034D1-783B-4563-AB48-2DBB1CDBDE9C}"/>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80E9-D6CE-4DC9-ACE8-903614D9E909}">
  <dimension ref="A1:B10"/>
  <sheetViews>
    <sheetView tabSelected="1" zoomScaleNormal="100" workbookViewId="0"/>
  </sheetViews>
  <sheetFormatPr defaultRowHeight="18.75"/>
  <cols>
    <col min="1" max="1" width="4" customWidth="1"/>
  </cols>
  <sheetData>
    <row r="1" spans="1:2">
      <c r="A1" t="s">
        <v>151</v>
      </c>
    </row>
    <row r="2" spans="1:2">
      <c r="B2" s="149" t="s">
        <v>153</v>
      </c>
    </row>
    <row r="3" spans="1:2">
      <c r="B3" s="149" t="s">
        <v>160</v>
      </c>
    </row>
    <row r="4" spans="1:2">
      <c r="B4" s="149" t="s">
        <v>154</v>
      </c>
    </row>
    <row r="5" spans="1:2">
      <c r="B5" s="149" t="s">
        <v>155</v>
      </c>
    </row>
    <row r="6" spans="1:2">
      <c r="B6" s="149" t="s">
        <v>152</v>
      </c>
    </row>
    <row r="7" spans="1:2">
      <c r="B7" s="149" t="s">
        <v>156</v>
      </c>
    </row>
    <row r="8" spans="1:2">
      <c r="B8" s="149" t="s">
        <v>157</v>
      </c>
    </row>
    <row r="9" spans="1:2">
      <c r="B9" s="149" t="s">
        <v>158</v>
      </c>
    </row>
    <row r="10" spans="1:2">
      <c r="B10" s="149" t="s">
        <v>159</v>
      </c>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8F3D-A7D7-407C-AC00-933FFC09CCD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15.464520000000002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t="str">
        <f>IF(F36+F112+F188+F260=0,"-",F36+F112+F188+F260)</f>
        <v>-</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165</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117</v>
      </c>
      <c r="G23" s="183"/>
      <c r="H23" s="184"/>
      <c r="I23" s="1"/>
      <c r="M23" s="140"/>
      <c r="N23" s="137"/>
      <c r="O23" s="141"/>
      <c r="P23" s="142" t="str">
        <f>IF(F23="","",F23)</f>
        <v>家庭用小型ヒートポンプ給湯器</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 t="shared" ref="T24:T40" si="4">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si="4"/>
        <v>0</v>
      </c>
      <c r="U25" s="140"/>
    </row>
    <row r="26" spans="2:21" ht="20.100000000000001" customHeight="1" outlineLevel="1" thickBot="1">
      <c r="C26" s="5"/>
      <c r="D26" s="5" t="s">
        <v>12</v>
      </c>
      <c r="E26" s="5"/>
      <c r="F26" s="203">
        <f>F63*I93/10000</f>
        <v>15.464520000000002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41.238720000000001</v>
      </c>
      <c r="H28" s="29" t="s">
        <v>13</v>
      </c>
      <c r="I28" s="1"/>
      <c r="M28" s="140"/>
      <c r="N28" s="137"/>
      <c r="O28" s="144">
        <v>2028</v>
      </c>
      <c r="P28" s="145">
        <f t="shared" si="0"/>
        <v>0.20898000000000003</v>
      </c>
      <c r="Q28" s="145">
        <f t="shared" si="1"/>
        <v>0</v>
      </c>
      <c r="R28" s="145">
        <f t="shared" si="2"/>
        <v>0</v>
      </c>
      <c r="S28" s="145">
        <f t="shared" si="3"/>
        <v>0</v>
      </c>
      <c r="T28" s="143">
        <f t="shared" si="4"/>
        <v>0.20898000000000003</v>
      </c>
      <c r="U28" s="140"/>
    </row>
    <row r="29" spans="2:21" ht="15" customHeight="1" outlineLevel="1">
      <c r="C29" s="5"/>
      <c r="D29" s="5"/>
      <c r="E29" s="5" t="s">
        <v>21</v>
      </c>
      <c r="F29" s="5"/>
      <c r="G29" s="30"/>
      <c r="H29" s="5"/>
      <c r="I29" s="1"/>
      <c r="M29" s="140"/>
      <c r="N29" s="137"/>
      <c r="O29" s="144">
        <v>2029</v>
      </c>
      <c r="P29" s="145">
        <f t="shared" si="0"/>
        <v>0.62693999999999994</v>
      </c>
      <c r="Q29" s="145">
        <f t="shared" si="1"/>
        <v>0</v>
      </c>
      <c r="R29" s="145">
        <f t="shared" si="2"/>
        <v>0</v>
      </c>
      <c r="S29" s="145">
        <f t="shared" si="3"/>
        <v>0</v>
      </c>
      <c r="T29" s="143">
        <f t="shared" si="4"/>
        <v>0.62693999999999994</v>
      </c>
      <c r="U29" s="140"/>
    </row>
    <row r="30" spans="2:21" ht="15" customHeight="1" outlineLevel="1">
      <c r="C30" s="5"/>
      <c r="D30" s="31"/>
      <c r="E30" s="5"/>
      <c r="F30" s="5" t="s">
        <v>12</v>
      </c>
      <c r="G30" s="32">
        <f>SUM(G59,G61)*I93/10000</f>
        <v>25.7742</v>
      </c>
      <c r="H30" s="29" t="s">
        <v>13</v>
      </c>
      <c r="I30" s="1"/>
      <c r="M30" s="140"/>
      <c r="N30" s="137"/>
      <c r="O30" s="144">
        <v>2030</v>
      </c>
      <c r="P30" s="145">
        <f t="shared" si="0"/>
        <v>1.2538799999999999</v>
      </c>
      <c r="Q30" s="145">
        <f t="shared" si="1"/>
        <v>0</v>
      </c>
      <c r="R30" s="145">
        <f t="shared" si="2"/>
        <v>0</v>
      </c>
      <c r="S30" s="145">
        <f t="shared" si="3"/>
        <v>0</v>
      </c>
      <c r="T30" s="143">
        <f t="shared" si="4"/>
        <v>1.2538799999999999</v>
      </c>
      <c r="U30" s="140"/>
    </row>
    <row r="31" spans="2:21" ht="15" customHeight="1" outlineLevel="1" thickBot="1">
      <c r="C31" s="31"/>
      <c r="D31" s="5"/>
      <c r="E31" s="5"/>
      <c r="F31" s="30"/>
      <c r="G31" s="30"/>
      <c r="H31" s="5"/>
      <c r="I31" s="1"/>
      <c r="M31" s="140"/>
      <c r="N31" s="137"/>
      <c r="O31" s="144">
        <v>2031</v>
      </c>
      <c r="P31" s="145">
        <f t="shared" si="0"/>
        <v>2.0897999999999999</v>
      </c>
      <c r="Q31" s="145">
        <f t="shared" si="1"/>
        <v>0</v>
      </c>
      <c r="R31" s="145">
        <f t="shared" si="2"/>
        <v>0</v>
      </c>
      <c r="S31" s="145">
        <f t="shared" si="3"/>
        <v>0</v>
      </c>
      <c r="T31" s="143">
        <f t="shared" si="4"/>
        <v>2.0897999999999999</v>
      </c>
      <c r="U31" s="140"/>
    </row>
    <row r="32" spans="2:21" ht="15" customHeight="1" outlineLevel="1" thickBot="1">
      <c r="C32" s="33" t="s">
        <v>22</v>
      </c>
      <c r="D32" s="31"/>
      <c r="E32" s="5"/>
      <c r="F32" s="5"/>
      <c r="G32" s="33" t="s">
        <v>23</v>
      </c>
      <c r="H32" s="34">
        <v>2028</v>
      </c>
      <c r="I32" s="4" t="s">
        <v>24</v>
      </c>
      <c r="M32" s="140"/>
      <c r="N32" s="137"/>
      <c r="O32" s="144">
        <v>2032</v>
      </c>
      <c r="P32" s="145">
        <f t="shared" si="0"/>
        <v>3.0929039999999999</v>
      </c>
      <c r="Q32" s="145">
        <f t="shared" si="1"/>
        <v>0</v>
      </c>
      <c r="R32" s="145">
        <f t="shared" si="2"/>
        <v>0</v>
      </c>
      <c r="S32" s="145">
        <f t="shared" si="3"/>
        <v>0</v>
      </c>
      <c r="T32" s="143">
        <f t="shared" si="4"/>
        <v>3.0929039999999999</v>
      </c>
      <c r="U32" s="140"/>
    </row>
    <row r="33" spans="1:21" ht="20.100000000000001" customHeight="1" outlineLevel="1" thickBot="1">
      <c r="C33" s="31"/>
      <c r="D33" s="33" t="s">
        <v>12</v>
      </c>
      <c r="E33" s="5"/>
      <c r="F33" s="203">
        <f>F63*VLOOKUP(H32+3,D77:I93,6,FALSE)/10000</f>
        <v>2.0897999999999999</v>
      </c>
      <c r="G33" s="204"/>
      <c r="H33" s="29" t="s">
        <v>13</v>
      </c>
      <c r="M33" s="140"/>
      <c r="N33" s="137"/>
      <c r="O33" s="144">
        <v>2033</v>
      </c>
      <c r="P33" s="145">
        <f t="shared" si="0"/>
        <v>4.2631920000000001</v>
      </c>
      <c r="Q33" s="145">
        <f t="shared" si="1"/>
        <v>0</v>
      </c>
      <c r="R33" s="145">
        <f t="shared" si="2"/>
        <v>0</v>
      </c>
      <c r="S33" s="145">
        <f t="shared" si="3"/>
        <v>0</v>
      </c>
      <c r="T33" s="143">
        <f t="shared" si="4"/>
        <v>4.2631920000000001</v>
      </c>
      <c r="U33" s="140"/>
    </row>
    <row r="34" spans="1:21" ht="20.100000000000001" customHeight="1" outlineLevel="1">
      <c r="C34" s="31"/>
      <c r="D34" s="33"/>
      <c r="E34" s="5"/>
      <c r="F34" s="35"/>
      <c r="G34" s="35"/>
      <c r="H34" s="5"/>
      <c r="M34" s="140"/>
      <c r="N34" s="137"/>
      <c r="O34" s="144">
        <v>2034</v>
      </c>
      <c r="P34" s="145">
        <f t="shared" si="0"/>
        <v>5.6006640000000001</v>
      </c>
      <c r="Q34" s="145">
        <f t="shared" si="1"/>
        <v>0</v>
      </c>
      <c r="R34" s="145">
        <f t="shared" si="2"/>
        <v>0</v>
      </c>
      <c r="S34" s="145">
        <f t="shared" si="3"/>
        <v>0</v>
      </c>
      <c r="T34" s="143">
        <f t="shared" si="4"/>
        <v>5.6006640000000001</v>
      </c>
      <c r="U34" s="140"/>
    </row>
    <row r="35" spans="1:21" ht="20.100000000000001" customHeight="1" outlineLevel="1" thickBot="1">
      <c r="C35" s="5" t="s">
        <v>25</v>
      </c>
      <c r="D35" s="5"/>
      <c r="E35" s="5"/>
      <c r="F35" s="5"/>
      <c r="G35" s="5"/>
      <c r="H35" s="5"/>
      <c r="M35" s="140"/>
      <c r="N35" s="137"/>
      <c r="O35" s="144">
        <v>2035</v>
      </c>
      <c r="P35" s="145">
        <f t="shared" si="0"/>
        <v>7.1053199999999999</v>
      </c>
      <c r="Q35" s="145">
        <f t="shared" si="1"/>
        <v>0</v>
      </c>
      <c r="R35" s="145">
        <f t="shared" si="2"/>
        <v>0</v>
      </c>
      <c r="S35" s="145">
        <f t="shared" si="3"/>
        <v>0</v>
      </c>
      <c r="T35" s="143">
        <f t="shared" si="4"/>
        <v>7.1053199999999999</v>
      </c>
      <c r="U35" s="140"/>
    </row>
    <row r="36" spans="1:21" ht="20.100000000000001" customHeight="1" outlineLevel="1" thickBot="1">
      <c r="C36" s="5"/>
      <c r="D36" s="5" t="s">
        <v>12</v>
      </c>
      <c r="E36" s="5"/>
      <c r="F36" s="166">
        <v>0</v>
      </c>
      <c r="G36" s="167"/>
      <c r="H36" s="5" t="s">
        <v>13</v>
      </c>
      <c r="M36" s="140"/>
      <c r="N36" s="137"/>
      <c r="O36" s="144">
        <v>2036</v>
      </c>
      <c r="P36" s="145">
        <f t="shared" si="0"/>
        <v>8.7771600000000003</v>
      </c>
      <c r="Q36" s="145">
        <f t="shared" si="1"/>
        <v>0</v>
      </c>
      <c r="R36" s="145">
        <f t="shared" si="2"/>
        <v>0</v>
      </c>
      <c r="S36" s="145">
        <f t="shared" si="3"/>
        <v>0</v>
      </c>
      <c r="T36" s="143">
        <f t="shared" si="4"/>
        <v>8.7771600000000003</v>
      </c>
      <c r="U36" s="140"/>
    </row>
    <row r="37" spans="1:21" ht="9.9499999999999993" customHeight="1" outlineLevel="1" thickBot="1">
      <c r="C37" s="5"/>
      <c r="D37" s="5"/>
      <c r="E37" s="5"/>
      <c r="F37" s="5"/>
      <c r="G37" s="5"/>
      <c r="H37" s="5"/>
      <c r="M37" s="140"/>
      <c r="N37" s="137"/>
      <c r="O37" s="144">
        <v>2037</v>
      </c>
      <c r="P37" s="145">
        <f t="shared" si="0"/>
        <v>10.449</v>
      </c>
      <c r="Q37" s="145">
        <f t="shared" si="1"/>
        <v>0</v>
      </c>
      <c r="R37" s="145">
        <f t="shared" si="2"/>
        <v>0</v>
      </c>
      <c r="S37" s="145">
        <f t="shared" si="3"/>
        <v>0</v>
      </c>
      <c r="T37" s="143">
        <f t="shared" si="4"/>
        <v>10.449</v>
      </c>
      <c r="U37" s="140"/>
    </row>
    <row r="38" spans="1:21" ht="52.5" customHeight="1" outlineLevel="1" thickBot="1">
      <c r="C38" s="31"/>
      <c r="D38" s="33" t="s">
        <v>26</v>
      </c>
      <c r="E38" s="5"/>
      <c r="F38" s="175" t="s">
        <v>120</v>
      </c>
      <c r="G38" s="169"/>
      <c r="H38" s="169"/>
      <c r="I38" s="169"/>
      <c r="J38" s="169"/>
      <c r="K38" s="170"/>
      <c r="M38" s="140"/>
      <c r="N38" s="137"/>
      <c r="O38" s="144">
        <v>2038</v>
      </c>
      <c r="P38" s="145">
        <f t="shared" si="0"/>
        <v>12.120839999999999</v>
      </c>
      <c r="Q38" s="145">
        <f t="shared" si="1"/>
        <v>0</v>
      </c>
      <c r="R38" s="145">
        <f t="shared" si="2"/>
        <v>0</v>
      </c>
      <c r="S38" s="145">
        <f t="shared" si="3"/>
        <v>0</v>
      </c>
      <c r="T38" s="143">
        <f t="shared" si="4"/>
        <v>12.120839999999999</v>
      </c>
      <c r="U38" s="140"/>
    </row>
    <row r="39" spans="1:21" ht="15" customHeight="1" outlineLevel="1">
      <c r="D39" s="23"/>
      <c r="M39" s="140"/>
      <c r="N39" s="137"/>
      <c r="O39" s="144">
        <v>2039</v>
      </c>
      <c r="P39" s="145">
        <f t="shared" si="0"/>
        <v>13.792679999999999</v>
      </c>
      <c r="Q39" s="145">
        <f t="shared" si="1"/>
        <v>0</v>
      </c>
      <c r="R39" s="145">
        <f t="shared" si="2"/>
        <v>0</v>
      </c>
      <c r="S39" s="145">
        <f t="shared" si="3"/>
        <v>0</v>
      </c>
      <c r="T39" s="143">
        <f t="shared" si="4"/>
        <v>13.792679999999999</v>
      </c>
      <c r="U39" s="140"/>
    </row>
    <row r="40" spans="1:21" ht="20.100000000000001" customHeight="1" outlineLevel="1">
      <c r="B40" s="28" t="s">
        <v>27</v>
      </c>
      <c r="M40" s="140"/>
      <c r="N40" s="137"/>
      <c r="O40" s="144">
        <v>2040</v>
      </c>
      <c r="P40" s="145">
        <f t="shared" si="0"/>
        <v>15.464520000000002</v>
      </c>
      <c r="Q40" s="145">
        <f t="shared" si="1"/>
        <v>0</v>
      </c>
      <c r="R40" s="145">
        <f t="shared" si="2"/>
        <v>0</v>
      </c>
      <c r="S40" s="145">
        <f t="shared" si="3"/>
        <v>0</v>
      </c>
      <c r="T40" s="143">
        <f t="shared" si="4"/>
        <v>15.464520000000002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163</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118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2">
        <f>18000/3.6/5</f>
        <v>1000</v>
      </c>
      <c r="G50" s="5" t="s">
        <v>38</v>
      </c>
      <c r="J50" s="19"/>
      <c r="N50" s="9"/>
    </row>
    <row r="51" spans="4:16" s="5" customFormat="1" ht="15" customHeight="1" outlineLevel="1" thickBot="1">
      <c r="D51" s="40"/>
      <c r="F51" s="9"/>
      <c r="G51" s="206">
        <f>+F50*H44*H45/100000</f>
        <v>0.222912</v>
      </c>
      <c r="H51" s="207"/>
      <c r="I51" s="5" t="s">
        <v>39</v>
      </c>
      <c r="J51" s="41" t="s">
        <v>40</v>
      </c>
      <c r="K51" s="38"/>
      <c r="L51" s="38"/>
      <c r="N51" s="9"/>
    </row>
    <row r="52" spans="4:16" s="5" customFormat="1" ht="15" customHeight="1" outlineLevel="1" thickBot="1">
      <c r="D52" s="38"/>
      <c r="E52" s="5" t="s">
        <v>41</v>
      </c>
      <c r="F52" s="13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119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2">
        <f>18000/3.6/8</f>
        <v>625</v>
      </c>
      <c r="G58" s="43" t="s">
        <v>38</v>
      </c>
      <c r="H58" s="43"/>
      <c r="J58" s="19"/>
      <c r="N58" s="9"/>
    </row>
    <row r="59" spans="4:16" s="5" customFormat="1" ht="15" customHeight="1" outlineLevel="1" thickBot="1">
      <c r="D59" s="40"/>
      <c r="F59" s="9"/>
      <c r="G59" s="185">
        <f>+F58*H44*H45/100000</f>
        <v>0.13932</v>
      </c>
      <c r="H59" s="186"/>
      <c r="I59" s="5" t="s">
        <v>39</v>
      </c>
      <c r="J59" s="19" t="s">
        <v>46</v>
      </c>
      <c r="K59" s="40"/>
      <c r="L59" s="40"/>
      <c r="N59" s="9"/>
    </row>
    <row r="60" spans="4:16" s="5" customFormat="1" ht="15" customHeight="1" outlineLevel="1" thickBot="1">
      <c r="D60" s="38"/>
      <c r="E60" s="5" t="s">
        <v>41</v>
      </c>
      <c r="F60" s="133"/>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59">
        <f>SUM(G51,G53)-SUM(G59,G61)</f>
        <v>8.3592E-2</v>
      </c>
      <c r="G63" s="260"/>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164</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10000000</v>
      </c>
      <c r="F77" s="57"/>
      <c r="G77" s="127">
        <f>IF(E77="","",F77/E77)</f>
        <v>0</v>
      </c>
      <c r="H77" s="59"/>
      <c r="I77" s="60">
        <f>F77-H77</f>
        <v>0</v>
      </c>
      <c r="K77" s="61">
        <f t="shared" ref="K77:K93" si="5">I77*F$63/10000</f>
        <v>0</v>
      </c>
    </row>
    <row r="78" spans="2:11" ht="15" customHeight="1" outlineLevel="1">
      <c r="D78" s="55">
        <v>2025</v>
      </c>
      <c r="E78" s="56">
        <f>E77+1000000</f>
        <v>11000000</v>
      </c>
      <c r="F78" s="57"/>
      <c r="G78" s="127">
        <f t="shared" ref="G78:G93" si="6">IF(E78="","",F78/E78)</f>
        <v>0</v>
      </c>
      <c r="H78" s="59"/>
      <c r="I78" s="60">
        <f>I77+F78-H78</f>
        <v>0</v>
      </c>
      <c r="K78" s="61">
        <f t="shared" si="5"/>
        <v>0</v>
      </c>
    </row>
    <row r="79" spans="2:11" ht="15" customHeight="1" outlineLevel="1">
      <c r="D79" s="55">
        <v>2026</v>
      </c>
      <c r="E79" s="56">
        <f t="shared" ref="E79:E93" si="7">E78+1000000</f>
        <v>12000000</v>
      </c>
      <c r="F79" s="57"/>
      <c r="G79" s="127">
        <f t="shared" si="6"/>
        <v>0</v>
      </c>
      <c r="H79" s="59"/>
      <c r="I79" s="60">
        <f t="shared" ref="I79:I92" si="8">I78+F79-H79</f>
        <v>0</v>
      </c>
      <c r="K79" s="61">
        <f t="shared" si="5"/>
        <v>0</v>
      </c>
    </row>
    <row r="80" spans="2:11" ht="15" customHeight="1" outlineLevel="1">
      <c r="D80" s="55">
        <v>2027</v>
      </c>
      <c r="E80" s="56">
        <f t="shared" si="7"/>
        <v>13000000</v>
      </c>
      <c r="F80" s="57"/>
      <c r="G80" s="127">
        <f t="shared" si="6"/>
        <v>0</v>
      </c>
      <c r="H80" s="59"/>
      <c r="I80" s="60">
        <f t="shared" si="8"/>
        <v>0</v>
      </c>
      <c r="K80" s="61">
        <f t="shared" si="5"/>
        <v>0</v>
      </c>
    </row>
    <row r="81" spans="4:14" ht="15" customHeight="1" outlineLevel="1">
      <c r="D81" s="55">
        <v>2028</v>
      </c>
      <c r="E81" s="56">
        <f t="shared" si="7"/>
        <v>14000000</v>
      </c>
      <c r="F81" s="57">
        <v>25000</v>
      </c>
      <c r="G81" s="127">
        <f t="shared" si="6"/>
        <v>1.7857142857142857E-3</v>
      </c>
      <c r="H81" s="59"/>
      <c r="I81" s="60">
        <f t="shared" si="8"/>
        <v>25000</v>
      </c>
      <c r="K81" s="61">
        <f t="shared" si="5"/>
        <v>0.20898000000000003</v>
      </c>
    </row>
    <row r="82" spans="4:14" ht="15" customHeight="1" outlineLevel="1">
      <c r="D82" s="55">
        <v>2029</v>
      </c>
      <c r="E82" s="56">
        <f t="shared" si="7"/>
        <v>15000000</v>
      </c>
      <c r="F82" s="57">
        <f>F81+25000</f>
        <v>50000</v>
      </c>
      <c r="G82" s="127">
        <f t="shared" si="6"/>
        <v>3.3333333333333335E-3</v>
      </c>
      <c r="H82" s="59"/>
      <c r="I82" s="60">
        <f t="shared" si="8"/>
        <v>75000</v>
      </c>
      <c r="K82" s="61">
        <f t="shared" si="5"/>
        <v>0.62693999999999994</v>
      </c>
    </row>
    <row r="83" spans="4:14" ht="15" customHeight="1" outlineLevel="1">
      <c r="D83" s="55">
        <v>2030</v>
      </c>
      <c r="E83" s="56">
        <f t="shared" si="7"/>
        <v>16000000</v>
      </c>
      <c r="F83" s="57">
        <f t="shared" ref="F83:F84" si="9">F82+25000</f>
        <v>75000</v>
      </c>
      <c r="G83" s="127">
        <f t="shared" si="6"/>
        <v>4.6874999999999998E-3</v>
      </c>
      <c r="H83" s="59"/>
      <c r="I83" s="60">
        <f t="shared" si="8"/>
        <v>150000</v>
      </c>
      <c r="K83" s="61">
        <f t="shared" si="5"/>
        <v>1.2538799999999999</v>
      </c>
    </row>
    <row r="84" spans="4:14" ht="15" customHeight="1" outlineLevel="1">
      <c r="D84" s="55">
        <v>2031</v>
      </c>
      <c r="E84" s="56">
        <f t="shared" si="7"/>
        <v>17000000</v>
      </c>
      <c r="F84" s="57">
        <f t="shared" si="9"/>
        <v>100000</v>
      </c>
      <c r="G84" s="127">
        <f t="shared" si="6"/>
        <v>5.8823529411764705E-3</v>
      </c>
      <c r="H84" s="59"/>
      <c r="I84" s="60">
        <f t="shared" si="8"/>
        <v>250000</v>
      </c>
      <c r="K84" s="61">
        <f t="shared" si="5"/>
        <v>2.0897999999999999</v>
      </c>
    </row>
    <row r="85" spans="4:14" ht="15" customHeight="1" outlineLevel="1">
      <c r="D85" s="55">
        <v>2032</v>
      </c>
      <c r="E85" s="56">
        <f t="shared" si="7"/>
        <v>18000000</v>
      </c>
      <c r="F85" s="57">
        <f>F84+20000</f>
        <v>120000</v>
      </c>
      <c r="G85" s="127">
        <f t="shared" si="6"/>
        <v>6.6666666666666671E-3</v>
      </c>
      <c r="H85" s="59"/>
      <c r="I85" s="60">
        <f t="shared" si="8"/>
        <v>370000</v>
      </c>
      <c r="K85" s="61">
        <f t="shared" si="5"/>
        <v>3.0929039999999999</v>
      </c>
    </row>
    <row r="86" spans="4:14" ht="15" customHeight="1" outlineLevel="1">
      <c r="D86" s="55">
        <v>2033</v>
      </c>
      <c r="E86" s="56">
        <f t="shared" si="7"/>
        <v>19000000</v>
      </c>
      <c r="F86" s="57">
        <f t="shared" ref="F86:F89" si="10">F85+20000</f>
        <v>140000</v>
      </c>
      <c r="G86" s="127">
        <f t="shared" si="6"/>
        <v>7.3684210526315788E-3</v>
      </c>
      <c r="H86" s="59"/>
      <c r="I86" s="60">
        <f t="shared" si="8"/>
        <v>510000</v>
      </c>
      <c r="K86" s="61">
        <f t="shared" si="5"/>
        <v>4.2631920000000001</v>
      </c>
    </row>
    <row r="87" spans="4:14" ht="15" customHeight="1" outlineLevel="1">
      <c r="D87" s="55">
        <v>2034</v>
      </c>
      <c r="E87" s="56">
        <f t="shared" si="7"/>
        <v>20000000</v>
      </c>
      <c r="F87" s="57">
        <f t="shared" si="10"/>
        <v>160000</v>
      </c>
      <c r="G87" s="127">
        <f t="shared" si="6"/>
        <v>8.0000000000000002E-3</v>
      </c>
      <c r="H87" s="59"/>
      <c r="I87" s="60">
        <f t="shared" si="8"/>
        <v>670000</v>
      </c>
      <c r="K87" s="61">
        <f t="shared" si="5"/>
        <v>5.6006640000000001</v>
      </c>
    </row>
    <row r="88" spans="4:14" ht="15" customHeight="1" outlineLevel="1">
      <c r="D88" s="55">
        <v>2035</v>
      </c>
      <c r="E88" s="56">
        <f t="shared" si="7"/>
        <v>21000000</v>
      </c>
      <c r="F88" s="57">
        <f t="shared" si="10"/>
        <v>180000</v>
      </c>
      <c r="G88" s="127">
        <f t="shared" si="6"/>
        <v>8.5714285714285719E-3</v>
      </c>
      <c r="H88" s="59"/>
      <c r="I88" s="60">
        <f t="shared" si="8"/>
        <v>850000</v>
      </c>
      <c r="K88" s="61">
        <f t="shared" si="5"/>
        <v>7.1053199999999999</v>
      </c>
    </row>
    <row r="89" spans="4:14" ht="15" customHeight="1" outlineLevel="1">
      <c r="D89" s="55">
        <v>2036</v>
      </c>
      <c r="E89" s="56">
        <f t="shared" si="7"/>
        <v>22000000</v>
      </c>
      <c r="F89" s="57">
        <f t="shared" si="10"/>
        <v>200000</v>
      </c>
      <c r="G89" s="127">
        <f t="shared" si="6"/>
        <v>9.0909090909090905E-3</v>
      </c>
      <c r="H89" s="59"/>
      <c r="I89" s="60">
        <f t="shared" si="8"/>
        <v>1050000</v>
      </c>
      <c r="K89" s="61">
        <f t="shared" si="5"/>
        <v>8.7771600000000003</v>
      </c>
    </row>
    <row r="90" spans="4:14" ht="15" customHeight="1" outlineLevel="1">
      <c r="D90" s="55">
        <v>2037</v>
      </c>
      <c r="E90" s="56">
        <f t="shared" si="7"/>
        <v>23000000</v>
      </c>
      <c r="F90" s="57">
        <f>F89</f>
        <v>200000</v>
      </c>
      <c r="G90" s="127">
        <f t="shared" si="6"/>
        <v>8.6956521739130436E-3</v>
      </c>
      <c r="H90" s="59"/>
      <c r="I90" s="60">
        <f t="shared" si="8"/>
        <v>1250000</v>
      </c>
      <c r="K90" s="61">
        <f t="shared" si="5"/>
        <v>10.449</v>
      </c>
    </row>
    <row r="91" spans="4:14" ht="15" customHeight="1" outlineLevel="1">
      <c r="D91" s="55">
        <v>2038</v>
      </c>
      <c r="E91" s="56">
        <f t="shared" si="7"/>
        <v>24000000</v>
      </c>
      <c r="F91" s="57">
        <f t="shared" ref="F91:F93" si="11">F90</f>
        <v>200000</v>
      </c>
      <c r="G91" s="127">
        <f t="shared" si="6"/>
        <v>8.3333333333333332E-3</v>
      </c>
      <c r="H91" s="59"/>
      <c r="I91" s="60">
        <f t="shared" si="8"/>
        <v>1450000</v>
      </c>
      <c r="K91" s="61">
        <f t="shared" si="5"/>
        <v>12.120839999999999</v>
      </c>
    </row>
    <row r="92" spans="4:14" ht="15" customHeight="1" outlineLevel="1">
      <c r="D92" s="55">
        <v>2039</v>
      </c>
      <c r="E92" s="56">
        <f t="shared" si="7"/>
        <v>25000000</v>
      </c>
      <c r="F92" s="57">
        <f t="shared" si="11"/>
        <v>200000</v>
      </c>
      <c r="G92" s="127">
        <f t="shared" si="6"/>
        <v>8.0000000000000002E-3</v>
      </c>
      <c r="H92" s="59"/>
      <c r="I92" s="60">
        <f t="shared" si="8"/>
        <v>1650000</v>
      </c>
      <c r="K92" s="61">
        <f t="shared" si="5"/>
        <v>13.792679999999999</v>
      </c>
    </row>
    <row r="93" spans="4:14" ht="15" customHeight="1" outlineLevel="1" thickBot="1">
      <c r="D93" s="55">
        <v>2040</v>
      </c>
      <c r="E93" s="62">
        <f t="shared" si="7"/>
        <v>26000000</v>
      </c>
      <c r="F93" s="63">
        <f t="shared" si="11"/>
        <v>200000</v>
      </c>
      <c r="G93" s="128">
        <f t="shared" si="6"/>
        <v>7.6923076923076927E-3</v>
      </c>
      <c r="H93" s="65"/>
      <c r="I93" s="66">
        <f>I92+F93-H93</f>
        <v>1850000</v>
      </c>
      <c r="K93" s="67">
        <f t="shared" si="5"/>
        <v>15.464520000000002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12">I153*F$139/10000</f>
        <v>0</v>
      </c>
    </row>
    <row r="154" spans="4:11" ht="15" hidden="1" customHeight="1" outlineLevel="1">
      <c r="D154" s="55">
        <v>2025</v>
      </c>
      <c r="E154" s="56"/>
      <c r="F154" s="57"/>
      <c r="G154" s="58" t="str">
        <f t="shared" ref="G154:G169" si="13">IF(E154="","",F154/E154)</f>
        <v/>
      </c>
      <c r="H154" s="59"/>
      <c r="I154" s="60">
        <f>I153+F154-H154</f>
        <v>0</v>
      </c>
      <c r="K154" s="61">
        <f t="shared" si="12"/>
        <v>0</v>
      </c>
    </row>
    <row r="155" spans="4:11" ht="15" hidden="1" customHeight="1" outlineLevel="1">
      <c r="D155" s="55">
        <v>2026</v>
      </c>
      <c r="E155" s="56"/>
      <c r="F155" s="57"/>
      <c r="G155" s="58" t="str">
        <f t="shared" si="13"/>
        <v/>
      </c>
      <c r="H155" s="59"/>
      <c r="I155" s="60">
        <f t="shared" ref="I155:I168" si="14">I154+F155-H155</f>
        <v>0</v>
      </c>
      <c r="K155" s="61">
        <f t="shared" si="12"/>
        <v>0</v>
      </c>
    </row>
    <row r="156" spans="4:11" ht="15" hidden="1" customHeight="1" outlineLevel="1">
      <c r="D156" s="55">
        <v>2027</v>
      </c>
      <c r="E156" s="56"/>
      <c r="F156" s="57"/>
      <c r="G156" s="58" t="str">
        <f t="shared" si="13"/>
        <v/>
      </c>
      <c r="H156" s="59"/>
      <c r="I156" s="60">
        <f t="shared" si="14"/>
        <v>0</v>
      </c>
      <c r="K156" s="61">
        <f t="shared" si="12"/>
        <v>0</v>
      </c>
    </row>
    <row r="157" spans="4:11" ht="15" hidden="1" customHeight="1" outlineLevel="1">
      <c r="D157" s="55">
        <v>2028</v>
      </c>
      <c r="E157" s="56"/>
      <c r="F157" s="57"/>
      <c r="G157" s="58" t="str">
        <f t="shared" si="13"/>
        <v/>
      </c>
      <c r="H157" s="59"/>
      <c r="I157" s="60">
        <f t="shared" si="14"/>
        <v>0</v>
      </c>
      <c r="K157" s="61">
        <f t="shared" si="12"/>
        <v>0</v>
      </c>
    </row>
    <row r="158" spans="4:11" ht="15" hidden="1" customHeight="1" outlineLevel="1">
      <c r="D158" s="55">
        <v>2029</v>
      </c>
      <c r="E158" s="56"/>
      <c r="F158" s="57"/>
      <c r="G158" s="58" t="str">
        <f t="shared" si="13"/>
        <v/>
      </c>
      <c r="H158" s="59"/>
      <c r="I158" s="60">
        <f t="shared" si="14"/>
        <v>0</v>
      </c>
      <c r="K158" s="61">
        <f t="shared" si="12"/>
        <v>0</v>
      </c>
    </row>
    <row r="159" spans="4:11" ht="15" hidden="1" customHeight="1" outlineLevel="1">
      <c r="D159" s="55">
        <v>2030</v>
      </c>
      <c r="E159" s="56"/>
      <c r="F159" s="57"/>
      <c r="G159" s="58" t="str">
        <f t="shared" si="13"/>
        <v/>
      </c>
      <c r="H159" s="59"/>
      <c r="I159" s="60">
        <f t="shared" si="14"/>
        <v>0</v>
      </c>
      <c r="K159" s="61">
        <f t="shared" si="12"/>
        <v>0</v>
      </c>
    </row>
    <row r="160" spans="4:11" ht="15" hidden="1" customHeight="1" outlineLevel="1">
      <c r="D160" s="55">
        <v>2031</v>
      </c>
      <c r="E160" s="56"/>
      <c r="F160" s="57"/>
      <c r="G160" s="58" t="str">
        <f t="shared" si="13"/>
        <v/>
      </c>
      <c r="H160" s="59"/>
      <c r="I160" s="60">
        <f t="shared" si="14"/>
        <v>0</v>
      </c>
      <c r="K160" s="61">
        <f t="shared" si="12"/>
        <v>0</v>
      </c>
    </row>
    <row r="161" spans="2:14" ht="15" hidden="1" customHeight="1" outlineLevel="1">
      <c r="D161" s="55">
        <v>2032</v>
      </c>
      <c r="E161" s="56"/>
      <c r="F161" s="57"/>
      <c r="G161" s="58" t="str">
        <f t="shared" si="13"/>
        <v/>
      </c>
      <c r="H161" s="59"/>
      <c r="I161" s="60">
        <f t="shared" si="14"/>
        <v>0</v>
      </c>
      <c r="K161" s="61">
        <f t="shared" si="12"/>
        <v>0</v>
      </c>
    </row>
    <row r="162" spans="2:14" ht="15" hidden="1" customHeight="1" outlineLevel="1">
      <c r="D162" s="55">
        <v>2033</v>
      </c>
      <c r="E162" s="56"/>
      <c r="F162" s="57"/>
      <c r="G162" s="58" t="str">
        <f t="shared" si="13"/>
        <v/>
      </c>
      <c r="H162" s="59"/>
      <c r="I162" s="60">
        <f t="shared" si="14"/>
        <v>0</v>
      </c>
      <c r="K162" s="61">
        <f t="shared" si="12"/>
        <v>0</v>
      </c>
    </row>
    <row r="163" spans="2:14" ht="15" hidden="1" customHeight="1" outlineLevel="1">
      <c r="D163" s="55">
        <v>2034</v>
      </c>
      <c r="E163" s="56"/>
      <c r="F163" s="57"/>
      <c r="G163" s="58" t="str">
        <f t="shared" si="13"/>
        <v/>
      </c>
      <c r="H163" s="59"/>
      <c r="I163" s="60">
        <f t="shared" si="14"/>
        <v>0</v>
      </c>
      <c r="K163" s="61">
        <f t="shared" si="12"/>
        <v>0</v>
      </c>
    </row>
    <row r="164" spans="2:14" ht="15" hidden="1" customHeight="1" outlineLevel="1">
      <c r="D164" s="55">
        <v>2035</v>
      </c>
      <c r="E164" s="56"/>
      <c r="F164" s="57"/>
      <c r="G164" s="58" t="str">
        <f t="shared" si="13"/>
        <v/>
      </c>
      <c r="H164" s="59"/>
      <c r="I164" s="60">
        <f t="shared" si="14"/>
        <v>0</v>
      </c>
      <c r="K164" s="61">
        <f t="shared" si="12"/>
        <v>0</v>
      </c>
    </row>
    <row r="165" spans="2:14" ht="15" hidden="1" customHeight="1" outlineLevel="1">
      <c r="D165" s="55">
        <v>2036</v>
      </c>
      <c r="E165" s="56"/>
      <c r="F165" s="57"/>
      <c r="G165" s="58" t="str">
        <f t="shared" si="13"/>
        <v/>
      </c>
      <c r="H165" s="59"/>
      <c r="I165" s="60">
        <f t="shared" si="14"/>
        <v>0</v>
      </c>
      <c r="K165" s="61">
        <f t="shared" si="12"/>
        <v>0</v>
      </c>
    </row>
    <row r="166" spans="2:14" ht="15" hidden="1" customHeight="1" outlineLevel="1">
      <c r="D166" s="55">
        <v>2037</v>
      </c>
      <c r="E166" s="56"/>
      <c r="F166" s="57"/>
      <c r="G166" s="58" t="str">
        <f t="shared" si="13"/>
        <v/>
      </c>
      <c r="H166" s="59"/>
      <c r="I166" s="60">
        <f t="shared" si="14"/>
        <v>0</v>
      </c>
      <c r="K166" s="61">
        <f t="shared" si="12"/>
        <v>0</v>
      </c>
    </row>
    <row r="167" spans="2:14" ht="15" hidden="1" customHeight="1" outlineLevel="1">
      <c r="D167" s="55">
        <v>2038</v>
      </c>
      <c r="E167" s="56"/>
      <c r="F167" s="57"/>
      <c r="G167" s="58" t="str">
        <f t="shared" si="13"/>
        <v/>
      </c>
      <c r="H167" s="59"/>
      <c r="I167" s="60">
        <f t="shared" si="14"/>
        <v>0</v>
      </c>
      <c r="K167" s="61">
        <f t="shared" si="12"/>
        <v>0</v>
      </c>
    </row>
    <row r="168" spans="2:14" ht="15" hidden="1" customHeight="1" outlineLevel="1">
      <c r="D168" s="55">
        <v>2039</v>
      </c>
      <c r="E168" s="56"/>
      <c r="F168" s="57"/>
      <c r="G168" s="58" t="str">
        <f t="shared" si="13"/>
        <v/>
      </c>
      <c r="H168" s="59"/>
      <c r="I168" s="60">
        <f t="shared" si="14"/>
        <v>0</v>
      </c>
      <c r="K168" s="61">
        <f t="shared" si="12"/>
        <v>0</v>
      </c>
    </row>
    <row r="169" spans="2:14" ht="15" hidden="1" customHeight="1" outlineLevel="1" thickBot="1">
      <c r="D169" s="55">
        <v>2040</v>
      </c>
      <c r="E169" s="62"/>
      <c r="F169" s="63"/>
      <c r="G169" s="64" t="str">
        <f t="shared" si="13"/>
        <v/>
      </c>
      <c r="H169" s="65"/>
      <c r="I169" s="66">
        <f>I168+F169-H169</f>
        <v>0</v>
      </c>
      <c r="K169" s="67">
        <f t="shared" si="12"/>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5">I229*F$215/10000</f>
        <v>0</v>
      </c>
    </row>
    <row r="230" spans="4:11" ht="15" hidden="1" customHeight="1" outlineLevel="1">
      <c r="D230" s="55">
        <v>2025</v>
      </c>
      <c r="E230" s="56"/>
      <c r="F230" s="57"/>
      <c r="G230" s="58" t="str">
        <f t="shared" ref="G230:G245" si="16">IF(E230="","",F230/E230)</f>
        <v/>
      </c>
      <c r="H230" s="59"/>
      <c r="I230" s="60">
        <f>I229+F230-H230</f>
        <v>0</v>
      </c>
      <c r="K230" s="61">
        <f t="shared" si="15"/>
        <v>0</v>
      </c>
    </row>
    <row r="231" spans="4:11" ht="15" hidden="1" customHeight="1" outlineLevel="1">
      <c r="D231" s="55">
        <v>2026</v>
      </c>
      <c r="E231" s="56"/>
      <c r="F231" s="57"/>
      <c r="G231" s="58" t="str">
        <f t="shared" si="16"/>
        <v/>
      </c>
      <c r="H231" s="59"/>
      <c r="I231" s="60">
        <f t="shared" ref="I231:I244" si="17">I230+F231-H231</f>
        <v>0</v>
      </c>
      <c r="K231" s="61">
        <f t="shared" si="15"/>
        <v>0</v>
      </c>
    </row>
    <row r="232" spans="4:11" ht="15" hidden="1" customHeight="1" outlineLevel="1">
      <c r="D232" s="55">
        <v>2027</v>
      </c>
      <c r="E232" s="56"/>
      <c r="F232" s="57"/>
      <c r="G232" s="58" t="str">
        <f t="shared" si="16"/>
        <v/>
      </c>
      <c r="H232" s="59"/>
      <c r="I232" s="60">
        <f t="shared" si="17"/>
        <v>0</v>
      </c>
      <c r="K232" s="61">
        <f t="shared" si="15"/>
        <v>0</v>
      </c>
    </row>
    <row r="233" spans="4:11" ht="15" hidden="1" customHeight="1" outlineLevel="1">
      <c r="D233" s="55">
        <v>2028</v>
      </c>
      <c r="E233" s="56"/>
      <c r="F233" s="57"/>
      <c r="G233" s="58" t="str">
        <f t="shared" si="16"/>
        <v/>
      </c>
      <c r="H233" s="59"/>
      <c r="I233" s="60">
        <f t="shared" si="17"/>
        <v>0</v>
      </c>
      <c r="K233" s="61">
        <f t="shared" si="15"/>
        <v>0</v>
      </c>
    </row>
    <row r="234" spans="4:11" ht="15" hidden="1" customHeight="1" outlineLevel="1">
      <c r="D234" s="55">
        <v>2029</v>
      </c>
      <c r="E234" s="56"/>
      <c r="F234" s="57"/>
      <c r="G234" s="58" t="str">
        <f t="shared" si="16"/>
        <v/>
      </c>
      <c r="H234" s="59"/>
      <c r="I234" s="60">
        <f t="shared" si="17"/>
        <v>0</v>
      </c>
      <c r="K234" s="61">
        <f t="shared" si="15"/>
        <v>0</v>
      </c>
    </row>
    <row r="235" spans="4:11" ht="15" hidden="1" customHeight="1" outlineLevel="1">
      <c r="D235" s="55">
        <v>2030</v>
      </c>
      <c r="E235" s="56"/>
      <c r="F235" s="57"/>
      <c r="G235" s="58" t="str">
        <f t="shared" si="16"/>
        <v/>
      </c>
      <c r="H235" s="59"/>
      <c r="I235" s="60">
        <f t="shared" si="17"/>
        <v>0</v>
      </c>
      <c r="K235" s="61">
        <f t="shared" si="15"/>
        <v>0</v>
      </c>
    </row>
    <row r="236" spans="4:11" ht="15" hidden="1" customHeight="1" outlineLevel="1">
      <c r="D236" s="55">
        <v>2031</v>
      </c>
      <c r="E236" s="56"/>
      <c r="F236" s="57"/>
      <c r="G236" s="58" t="str">
        <f t="shared" si="16"/>
        <v/>
      </c>
      <c r="H236" s="59"/>
      <c r="I236" s="60">
        <f t="shared" si="17"/>
        <v>0</v>
      </c>
      <c r="K236" s="61">
        <f t="shared" si="15"/>
        <v>0</v>
      </c>
    </row>
    <row r="237" spans="4:11" ht="15" hidden="1" customHeight="1" outlineLevel="1">
      <c r="D237" s="55">
        <v>2032</v>
      </c>
      <c r="E237" s="56"/>
      <c r="F237" s="57"/>
      <c r="G237" s="58" t="str">
        <f t="shared" si="16"/>
        <v/>
      </c>
      <c r="H237" s="59"/>
      <c r="I237" s="60">
        <f t="shared" si="17"/>
        <v>0</v>
      </c>
      <c r="K237" s="61">
        <f t="shared" si="15"/>
        <v>0</v>
      </c>
    </row>
    <row r="238" spans="4:11" ht="15" hidden="1" customHeight="1" outlineLevel="1">
      <c r="D238" s="55">
        <v>2033</v>
      </c>
      <c r="E238" s="56"/>
      <c r="F238" s="57"/>
      <c r="G238" s="58" t="str">
        <f t="shared" si="16"/>
        <v/>
      </c>
      <c r="H238" s="59"/>
      <c r="I238" s="60">
        <f t="shared" si="17"/>
        <v>0</v>
      </c>
      <c r="K238" s="61">
        <f t="shared" si="15"/>
        <v>0</v>
      </c>
    </row>
    <row r="239" spans="4:11" ht="15" hidden="1" customHeight="1" outlineLevel="1">
      <c r="D239" s="55">
        <v>2034</v>
      </c>
      <c r="E239" s="56"/>
      <c r="F239" s="57"/>
      <c r="G239" s="58" t="str">
        <f t="shared" si="16"/>
        <v/>
      </c>
      <c r="H239" s="59"/>
      <c r="I239" s="60">
        <f t="shared" si="17"/>
        <v>0</v>
      </c>
      <c r="K239" s="61">
        <f t="shared" si="15"/>
        <v>0</v>
      </c>
    </row>
    <row r="240" spans="4:11" ht="15" hidden="1" customHeight="1" outlineLevel="1">
      <c r="D240" s="55">
        <v>2035</v>
      </c>
      <c r="E240" s="56"/>
      <c r="F240" s="57"/>
      <c r="G240" s="58" t="str">
        <f t="shared" si="16"/>
        <v/>
      </c>
      <c r="H240" s="59"/>
      <c r="I240" s="60">
        <f t="shared" si="17"/>
        <v>0</v>
      </c>
      <c r="K240" s="61">
        <f t="shared" si="15"/>
        <v>0</v>
      </c>
    </row>
    <row r="241" spans="2:11" ht="15" hidden="1" customHeight="1" outlineLevel="1">
      <c r="D241" s="55">
        <v>2036</v>
      </c>
      <c r="E241" s="56"/>
      <c r="F241" s="57"/>
      <c r="G241" s="58" t="str">
        <f t="shared" si="16"/>
        <v/>
      </c>
      <c r="H241" s="59"/>
      <c r="I241" s="60">
        <f t="shared" si="17"/>
        <v>0</v>
      </c>
      <c r="K241" s="61">
        <f t="shared" si="15"/>
        <v>0</v>
      </c>
    </row>
    <row r="242" spans="2:11" ht="15" hidden="1" customHeight="1" outlineLevel="1">
      <c r="D242" s="55">
        <v>2037</v>
      </c>
      <c r="E242" s="56"/>
      <c r="F242" s="57"/>
      <c r="G242" s="58" t="str">
        <f t="shared" si="16"/>
        <v/>
      </c>
      <c r="H242" s="59"/>
      <c r="I242" s="60">
        <f t="shared" si="17"/>
        <v>0</v>
      </c>
      <c r="K242" s="61">
        <f t="shared" si="15"/>
        <v>0</v>
      </c>
    </row>
    <row r="243" spans="2:11" ht="15" hidden="1" customHeight="1" outlineLevel="1">
      <c r="D243" s="55">
        <v>2038</v>
      </c>
      <c r="E243" s="56"/>
      <c r="F243" s="57"/>
      <c r="G243" s="58" t="str">
        <f t="shared" si="16"/>
        <v/>
      </c>
      <c r="H243" s="59"/>
      <c r="I243" s="60">
        <f t="shared" si="17"/>
        <v>0</v>
      </c>
      <c r="K243" s="61">
        <f t="shared" si="15"/>
        <v>0</v>
      </c>
    </row>
    <row r="244" spans="2:11" ht="15" hidden="1" customHeight="1" outlineLevel="1">
      <c r="D244" s="55">
        <v>2039</v>
      </c>
      <c r="E244" s="56"/>
      <c r="F244" s="57"/>
      <c r="G244" s="58" t="str">
        <f t="shared" si="16"/>
        <v/>
      </c>
      <c r="H244" s="59"/>
      <c r="I244" s="60">
        <f t="shared" si="17"/>
        <v>0</v>
      </c>
      <c r="K244" s="61">
        <f t="shared" si="15"/>
        <v>0</v>
      </c>
    </row>
    <row r="245" spans="2:11" ht="15" hidden="1" customHeight="1" outlineLevel="1" thickBot="1">
      <c r="D245" s="55">
        <v>2040</v>
      </c>
      <c r="E245" s="62"/>
      <c r="F245" s="63"/>
      <c r="G245" s="64" t="str">
        <f t="shared" si="16"/>
        <v/>
      </c>
      <c r="H245" s="65"/>
      <c r="I245" s="66">
        <f>I244+F245-H245</f>
        <v>0</v>
      </c>
      <c r="K245" s="67">
        <f t="shared" si="15"/>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8">IF(E291="","0",F291/E291)</f>
        <v>0</v>
      </c>
      <c r="H291" s="115"/>
      <c r="I291" s="116">
        <f>I290+F291-H291</f>
        <v>0</v>
      </c>
      <c r="J291" s="94"/>
      <c r="K291" s="111">
        <f t="shared" ref="K291:K306" si="19">I291*$F$277/10000</f>
        <v>0</v>
      </c>
      <c r="N291" s="91"/>
    </row>
    <row r="292" spans="4:14" s="87" customFormat="1" ht="15" hidden="1" customHeight="1" outlineLevel="1">
      <c r="D292" s="105">
        <v>2026</v>
      </c>
      <c r="E292" s="112"/>
      <c r="F292" s="113"/>
      <c r="G292" s="114" t="str">
        <f t="shared" si="18"/>
        <v>0</v>
      </c>
      <c r="H292" s="115"/>
      <c r="I292" s="116">
        <f>I291+F292-H292</f>
        <v>0</v>
      </c>
      <c r="J292" s="94"/>
      <c r="K292" s="111">
        <f t="shared" si="19"/>
        <v>0</v>
      </c>
      <c r="N292" s="91"/>
    </row>
    <row r="293" spans="4:14" s="87" customFormat="1" ht="15" hidden="1" customHeight="1" outlineLevel="1">
      <c r="D293" s="105">
        <v>2027</v>
      </c>
      <c r="E293" s="112"/>
      <c r="F293" s="113"/>
      <c r="G293" s="114" t="str">
        <f t="shared" si="18"/>
        <v>0</v>
      </c>
      <c r="H293" s="115"/>
      <c r="I293" s="116">
        <f>I292+F293-H293</f>
        <v>0</v>
      </c>
      <c r="J293" s="94"/>
      <c r="K293" s="111">
        <f t="shared" si="19"/>
        <v>0</v>
      </c>
      <c r="N293" s="91"/>
    </row>
    <row r="294" spans="4:14" s="87" customFormat="1" ht="15" hidden="1" customHeight="1" outlineLevel="1">
      <c r="D294" s="105">
        <v>2028</v>
      </c>
      <c r="E294" s="112"/>
      <c r="F294" s="113"/>
      <c r="G294" s="114" t="str">
        <f t="shared" si="18"/>
        <v>0</v>
      </c>
      <c r="H294" s="115"/>
      <c r="I294" s="116">
        <f>I293+F294-H294</f>
        <v>0</v>
      </c>
      <c r="J294" s="94"/>
      <c r="K294" s="111">
        <f t="shared" si="19"/>
        <v>0</v>
      </c>
      <c r="N294" s="91"/>
    </row>
    <row r="295" spans="4:14" s="87" customFormat="1" ht="15" hidden="1" customHeight="1" outlineLevel="1">
      <c r="D295" s="105">
        <v>2029</v>
      </c>
      <c r="E295" s="112"/>
      <c r="F295" s="113"/>
      <c r="G295" s="114" t="str">
        <f t="shared" si="18"/>
        <v>0</v>
      </c>
      <c r="H295" s="115"/>
      <c r="I295" s="116">
        <f>I294+F295-H295</f>
        <v>0</v>
      </c>
      <c r="J295" s="94"/>
      <c r="K295" s="111">
        <f t="shared" si="19"/>
        <v>0</v>
      </c>
      <c r="N295" s="91"/>
    </row>
    <row r="296" spans="4:14" s="87" customFormat="1" ht="15" hidden="1" customHeight="1" outlineLevel="1">
      <c r="D296" s="105">
        <v>2030</v>
      </c>
      <c r="E296" s="112"/>
      <c r="F296" s="113"/>
      <c r="G296" s="114" t="str">
        <f t="shared" si="18"/>
        <v>0</v>
      </c>
      <c r="H296" s="115"/>
      <c r="I296" s="116">
        <f t="shared" ref="I296:I306" si="20">I295+F296-H296</f>
        <v>0</v>
      </c>
      <c r="J296" s="94"/>
      <c r="K296" s="111">
        <f t="shared" si="19"/>
        <v>0</v>
      </c>
      <c r="N296" s="91"/>
    </row>
    <row r="297" spans="4:14" s="87" customFormat="1" ht="15" hidden="1" customHeight="1" outlineLevel="1">
      <c r="D297" s="105">
        <v>2031</v>
      </c>
      <c r="E297" s="112"/>
      <c r="F297" s="113"/>
      <c r="G297" s="114" t="str">
        <f t="shared" si="18"/>
        <v>0</v>
      </c>
      <c r="H297" s="115"/>
      <c r="I297" s="116">
        <f t="shared" si="20"/>
        <v>0</v>
      </c>
      <c r="J297" s="94"/>
      <c r="K297" s="111">
        <f t="shared" si="19"/>
        <v>0</v>
      </c>
      <c r="N297" s="91"/>
    </row>
    <row r="298" spans="4:14" s="87" customFormat="1" ht="15" hidden="1" customHeight="1" outlineLevel="1">
      <c r="D298" s="105">
        <v>2032</v>
      </c>
      <c r="E298" s="112"/>
      <c r="F298" s="113"/>
      <c r="G298" s="114" t="str">
        <f t="shared" si="18"/>
        <v>0</v>
      </c>
      <c r="H298" s="115"/>
      <c r="I298" s="116">
        <f t="shared" si="20"/>
        <v>0</v>
      </c>
      <c r="J298" s="94"/>
      <c r="K298" s="111">
        <f t="shared" si="19"/>
        <v>0</v>
      </c>
      <c r="N298" s="91"/>
    </row>
    <row r="299" spans="4:14" s="87" customFormat="1" ht="15" hidden="1" customHeight="1" outlineLevel="1">
      <c r="D299" s="105">
        <v>2033</v>
      </c>
      <c r="E299" s="112"/>
      <c r="F299" s="113"/>
      <c r="G299" s="114" t="str">
        <f t="shared" si="18"/>
        <v>0</v>
      </c>
      <c r="H299" s="115"/>
      <c r="I299" s="116">
        <f t="shared" si="20"/>
        <v>0</v>
      </c>
      <c r="J299" s="94"/>
      <c r="K299" s="111">
        <f t="shared" si="19"/>
        <v>0</v>
      </c>
      <c r="N299" s="91"/>
    </row>
    <row r="300" spans="4:14" s="87" customFormat="1" ht="15" hidden="1" customHeight="1" outlineLevel="1">
      <c r="D300" s="105">
        <v>2034</v>
      </c>
      <c r="E300" s="112"/>
      <c r="F300" s="113"/>
      <c r="G300" s="114" t="str">
        <f t="shared" si="18"/>
        <v>0</v>
      </c>
      <c r="H300" s="115"/>
      <c r="I300" s="116">
        <f t="shared" si="20"/>
        <v>0</v>
      </c>
      <c r="J300" s="94"/>
      <c r="K300" s="111">
        <f t="shared" si="19"/>
        <v>0</v>
      </c>
      <c r="N300" s="91"/>
    </row>
    <row r="301" spans="4:14" s="87" customFormat="1" ht="15" hidden="1" customHeight="1" outlineLevel="1">
      <c r="D301" s="105">
        <v>2035</v>
      </c>
      <c r="E301" s="112"/>
      <c r="F301" s="113"/>
      <c r="G301" s="114" t="str">
        <f t="shared" si="18"/>
        <v>0</v>
      </c>
      <c r="H301" s="115"/>
      <c r="I301" s="116">
        <f t="shared" si="20"/>
        <v>0</v>
      </c>
      <c r="J301" s="94"/>
      <c r="K301" s="111">
        <f t="shared" si="19"/>
        <v>0</v>
      </c>
      <c r="N301" s="91"/>
    </row>
    <row r="302" spans="4:14" s="87" customFormat="1" ht="15" hidden="1" customHeight="1" outlineLevel="1">
      <c r="D302" s="105">
        <v>2036</v>
      </c>
      <c r="E302" s="112"/>
      <c r="F302" s="113"/>
      <c r="G302" s="114" t="str">
        <f t="shared" si="18"/>
        <v>0</v>
      </c>
      <c r="H302" s="115"/>
      <c r="I302" s="116">
        <f t="shared" si="20"/>
        <v>0</v>
      </c>
      <c r="J302" s="94"/>
      <c r="K302" s="111">
        <f t="shared" si="19"/>
        <v>0</v>
      </c>
      <c r="N302" s="91"/>
    </row>
    <row r="303" spans="4:14" s="87" customFormat="1" ht="15" hidden="1" customHeight="1" outlineLevel="1">
      <c r="D303" s="105">
        <v>2037</v>
      </c>
      <c r="E303" s="112"/>
      <c r="F303" s="113"/>
      <c r="G303" s="114" t="str">
        <f t="shared" si="18"/>
        <v>0</v>
      </c>
      <c r="H303" s="115"/>
      <c r="I303" s="116">
        <f t="shared" si="20"/>
        <v>0</v>
      </c>
      <c r="J303" s="94"/>
      <c r="K303" s="111">
        <f t="shared" si="19"/>
        <v>0</v>
      </c>
      <c r="N303" s="91"/>
    </row>
    <row r="304" spans="4:14" s="87" customFormat="1" ht="15" hidden="1" customHeight="1" outlineLevel="1">
      <c r="D304" s="105">
        <v>2038</v>
      </c>
      <c r="E304" s="112"/>
      <c r="F304" s="113"/>
      <c r="G304" s="114" t="str">
        <f t="shared" si="18"/>
        <v>0</v>
      </c>
      <c r="H304" s="115"/>
      <c r="I304" s="116">
        <f t="shared" si="20"/>
        <v>0</v>
      </c>
      <c r="J304" s="94"/>
      <c r="K304" s="111">
        <f t="shared" si="19"/>
        <v>0</v>
      </c>
      <c r="N304" s="91"/>
    </row>
    <row r="305" spans="4:14" s="87" customFormat="1" ht="15" hidden="1" customHeight="1" outlineLevel="1">
      <c r="D305" s="105">
        <v>2039</v>
      </c>
      <c r="E305" s="112"/>
      <c r="F305" s="113"/>
      <c r="G305" s="114" t="str">
        <f t="shared" si="18"/>
        <v>0</v>
      </c>
      <c r="H305" s="115"/>
      <c r="I305" s="116">
        <f t="shared" si="20"/>
        <v>0</v>
      </c>
      <c r="J305" s="94"/>
      <c r="K305" s="111">
        <f t="shared" si="19"/>
        <v>0</v>
      </c>
      <c r="N305" s="91"/>
    </row>
    <row r="306" spans="4:14" s="87" customFormat="1" ht="15" hidden="1" customHeight="1" outlineLevel="1" thickBot="1">
      <c r="D306" s="105">
        <v>2040</v>
      </c>
      <c r="E306" s="117"/>
      <c r="F306" s="118"/>
      <c r="G306" s="119" t="str">
        <f t="shared" si="18"/>
        <v>0</v>
      </c>
      <c r="H306" s="120"/>
      <c r="I306" s="121">
        <f t="shared" si="20"/>
        <v>0</v>
      </c>
      <c r="J306" s="94"/>
      <c r="K306" s="122">
        <f t="shared" si="19"/>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AA3186B5-5C92-47EF-9837-73F398F7DDD0}">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383E-0A40-44E6-A7CC-82A911F820E6}">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12.326141952000006</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19.1053</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19" t="s">
        <v>145</v>
      </c>
      <c r="D17" s="220"/>
      <c r="E17" s="220"/>
      <c r="F17" s="220"/>
      <c r="G17" s="220"/>
      <c r="H17" s="220"/>
      <c r="I17" s="220"/>
      <c r="J17" s="220"/>
      <c r="K17" s="221"/>
      <c r="M17" s="146"/>
      <c r="N17" s="146"/>
      <c r="O17" s="146"/>
      <c r="P17" s="146"/>
      <c r="Q17" s="146"/>
      <c r="R17" s="146"/>
      <c r="S17" s="24"/>
    </row>
    <row r="18" spans="2:21" s="5" customFormat="1" ht="150" customHeight="1" thickBot="1">
      <c r="C18" s="222"/>
      <c r="D18" s="223"/>
      <c r="E18" s="223"/>
      <c r="F18" s="223"/>
      <c r="G18" s="223"/>
      <c r="H18" s="223"/>
      <c r="I18" s="223"/>
      <c r="J18" s="223"/>
      <c r="K18" s="224"/>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19</v>
      </c>
      <c r="G23" s="183"/>
      <c r="H23" s="184"/>
      <c r="I23" s="1"/>
      <c r="M23" s="140"/>
      <c r="N23" s="137"/>
      <c r="O23" s="141"/>
      <c r="P23" s="142" t="str">
        <f>IF(F23="","",F23)</f>
        <v>高機能接合剤の開発による電子部品熱処理工程の省エネルギー</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5">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12.326141952000006</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15.407677440000006</v>
      </c>
      <c r="H28" s="29" t="s">
        <v>13</v>
      </c>
      <c r="I28" s="1"/>
      <c r="M28" s="140"/>
      <c r="N28" s="137"/>
      <c r="O28" s="144">
        <v>2028</v>
      </c>
      <c r="P28" s="145">
        <f t="shared" si="0"/>
        <v>0.15407677440000006</v>
      </c>
      <c r="Q28" s="145">
        <f t="shared" si="1"/>
        <v>0</v>
      </c>
      <c r="R28" s="145">
        <f t="shared" si="2"/>
        <v>0</v>
      </c>
      <c r="S28" s="145">
        <f t="shared" si="3"/>
        <v>0</v>
      </c>
      <c r="T28" s="143">
        <f t="shared" si="4"/>
        <v>0.15407677440000006</v>
      </c>
      <c r="U28" s="140"/>
    </row>
    <row r="29" spans="2:21" ht="15" customHeight="1" outlineLevel="1">
      <c r="C29" s="5"/>
      <c r="D29" s="5"/>
      <c r="E29" s="5" t="s">
        <v>21</v>
      </c>
      <c r="F29" s="5"/>
      <c r="G29" s="30"/>
      <c r="H29" s="5"/>
      <c r="I29" s="1"/>
      <c r="M29" s="140"/>
      <c r="N29" s="137"/>
      <c r="O29" s="144">
        <v>2029</v>
      </c>
      <c r="P29" s="145">
        <f t="shared" si="0"/>
        <v>0.30815354880000012</v>
      </c>
      <c r="Q29" s="145">
        <f t="shared" si="1"/>
        <v>0</v>
      </c>
      <c r="R29" s="145">
        <f t="shared" si="2"/>
        <v>0</v>
      </c>
      <c r="S29" s="145">
        <f t="shared" si="3"/>
        <v>0</v>
      </c>
      <c r="T29" s="143">
        <f t="shared" si="4"/>
        <v>0.30815354880000012</v>
      </c>
      <c r="U29" s="140"/>
    </row>
    <row r="30" spans="2:21" ht="15" customHeight="1" outlineLevel="1">
      <c r="C30" s="5"/>
      <c r="D30" s="31"/>
      <c r="E30" s="5"/>
      <c r="F30" s="5" t="s">
        <v>12</v>
      </c>
      <c r="G30" s="32">
        <f>SUM(G59,G61)*I93/10000</f>
        <v>3.0815354880000001</v>
      </c>
      <c r="H30" s="29" t="s">
        <v>13</v>
      </c>
      <c r="I30" s="1"/>
      <c r="M30" s="140"/>
      <c r="N30" s="137"/>
      <c r="O30" s="144">
        <v>2030</v>
      </c>
      <c r="P30" s="145">
        <f t="shared" si="0"/>
        <v>0.46223032320000018</v>
      </c>
      <c r="Q30" s="145">
        <f t="shared" si="1"/>
        <v>0</v>
      </c>
      <c r="R30" s="145">
        <f t="shared" si="2"/>
        <v>0</v>
      </c>
      <c r="S30" s="145">
        <f t="shared" si="3"/>
        <v>0</v>
      </c>
      <c r="T30" s="143">
        <f t="shared" si="4"/>
        <v>0.46223032320000018</v>
      </c>
      <c r="U30" s="140"/>
    </row>
    <row r="31" spans="2:21" ht="15" customHeight="1" outlineLevel="1" thickBot="1">
      <c r="C31" s="31"/>
      <c r="D31" s="5"/>
      <c r="E31" s="5"/>
      <c r="F31" s="30"/>
      <c r="G31" s="30"/>
      <c r="H31" s="5"/>
      <c r="I31" s="1"/>
      <c r="M31" s="140"/>
      <c r="N31" s="137"/>
      <c r="O31" s="144">
        <v>2031</v>
      </c>
      <c r="P31" s="145">
        <f t="shared" si="0"/>
        <v>0.77038387200000036</v>
      </c>
      <c r="Q31" s="145">
        <f t="shared" si="1"/>
        <v>0</v>
      </c>
      <c r="R31" s="145">
        <f t="shared" si="2"/>
        <v>0</v>
      </c>
      <c r="S31" s="145">
        <f t="shared" si="3"/>
        <v>0</v>
      </c>
      <c r="T31" s="143">
        <f t="shared" si="4"/>
        <v>0.77038387200000036</v>
      </c>
      <c r="U31" s="140"/>
    </row>
    <row r="32" spans="2:21" ht="15" customHeight="1" outlineLevel="1" thickBot="1">
      <c r="C32" s="33" t="s">
        <v>22</v>
      </c>
      <c r="D32" s="31"/>
      <c r="E32" s="5"/>
      <c r="F32" s="5"/>
      <c r="G32" s="33" t="s">
        <v>23</v>
      </c>
      <c r="H32" s="34">
        <v>2028</v>
      </c>
      <c r="I32" s="4" t="s">
        <v>24</v>
      </c>
      <c r="M32" s="140"/>
      <c r="N32" s="137"/>
      <c r="O32" s="144">
        <v>2032</v>
      </c>
      <c r="P32" s="145">
        <f t="shared" si="0"/>
        <v>1.0785374208000005</v>
      </c>
      <c r="Q32" s="145">
        <f t="shared" si="1"/>
        <v>0</v>
      </c>
      <c r="R32" s="145">
        <f t="shared" si="2"/>
        <v>0</v>
      </c>
      <c r="S32" s="145">
        <f t="shared" si="3"/>
        <v>0</v>
      </c>
      <c r="T32" s="143">
        <f t="shared" si="4"/>
        <v>1.0785374208000005</v>
      </c>
      <c r="U32" s="140"/>
    </row>
    <row r="33" spans="1:21" ht="20.100000000000001" customHeight="1" outlineLevel="1" thickBot="1">
      <c r="C33" s="31"/>
      <c r="D33" s="33" t="s">
        <v>12</v>
      </c>
      <c r="E33" s="5"/>
      <c r="F33" s="203">
        <f>F63*VLOOKUP(H32+3,D77:I93,6,FALSE)/10000</f>
        <v>0.77038387200000036</v>
      </c>
      <c r="G33" s="204"/>
      <c r="H33" s="29" t="s">
        <v>13</v>
      </c>
      <c r="M33" s="140"/>
      <c r="N33" s="137"/>
      <c r="O33" s="144">
        <v>2033</v>
      </c>
      <c r="P33" s="145">
        <f t="shared" si="0"/>
        <v>1.5407677440000007</v>
      </c>
      <c r="Q33" s="145">
        <f t="shared" si="1"/>
        <v>0</v>
      </c>
      <c r="R33" s="145">
        <f t="shared" si="2"/>
        <v>0</v>
      </c>
      <c r="S33" s="145">
        <f t="shared" si="3"/>
        <v>0</v>
      </c>
      <c r="T33" s="143">
        <f t="shared" si="4"/>
        <v>1.5407677440000007</v>
      </c>
      <c r="U33" s="140"/>
    </row>
    <row r="34" spans="1:21" ht="20.100000000000001" customHeight="1" outlineLevel="1">
      <c r="C34" s="31"/>
      <c r="D34" s="33"/>
      <c r="E34" s="5"/>
      <c r="F34" s="35"/>
      <c r="G34" s="35"/>
      <c r="H34" s="5"/>
      <c r="M34" s="140"/>
      <c r="N34" s="137"/>
      <c r="O34" s="144">
        <v>2034</v>
      </c>
      <c r="P34" s="145">
        <f t="shared" si="0"/>
        <v>2.157074841600001</v>
      </c>
      <c r="Q34" s="145">
        <f t="shared" si="1"/>
        <v>0</v>
      </c>
      <c r="R34" s="145">
        <f t="shared" si="2"/>
        <v>0</v>
      </c>
      <c r="S34" s="145">
        <f t="shared" si="3"/>
        <v>0</v>
      </c>
      <c r="T34" s="143">
        <f t="shared" si="4"/>
        <v>2.157074841600001</v>
      </c>
      <c r="U34" s="140"/>
    </row>
    <row r="35" spans="1:21" ht="20.100000000000001" customHeight="1" outlineLevel="1" thickBot="1">
      <c r="C35" s="5" t="s">
        <v>25</v>
      </c>
      <c r="D35" s="5"/>
      <c r="E35" s="5"/>
      <c r="F35" s="5"/>
      <c r="G35" s="5"/>
      <c r="H35" s="5"/>
      <c r="M35" s="140"/>
      <c r="N35" s="137"/>
      <c r="O35" s="144">
        <v>2035</v>
      </c>
      <c r="P35" s="145">
        <f t="shared" si="0"/>
        <v>3.0815354880000014</v>
      </c>
      <c r="Q35" s="145">
        <f t="shared" si="1"/>
        <v>0</v>
      </c>
      <c r="R35" s="145">
        <f t="shared" si="2"/>
        <v>0</v>
      </c>
      <c r="S35" s="145">
        <f t="shared" si="3"/>
        <v>0</v>
      </c>
      <c r="T35" s="143">
        <f t="shared" si="4"/>
        <v>3.0815354880000014</v>
      </c>
      <c r="U35" s="140"/>
    </row>
    <row r="36" spans="1:21" ht="20.100000000000001" customHeight="1" outlineLevel="1" thickBot="1">
      <c r="C36" s="5"/>
      <c r="D36" s="5" t="s">
        <v>12</v>
      </c>
      <c r="E36" s="5"/>
      <c r="F36" s="166">
        <f>308.15*620/10000</f>
        <v>19.1053</v>
      </c>
      <c r="G36" s="167"/>
      <c r="H36" s="5" t="s">
        <v>13</v>
      </c>
      <c r="M36" s="140"/>
      <c r="N36" s="137"/>
      <c r="O36" s="144">
        <v>2036</v>
      </c>
      <c r="P36" s="145">
        <f t="shared" si="0"/>
        <v>4.3141496832000019</v>
      </c>
      <c r="Q36" s="145">
        <f t="shared" si="1"/>
        <v>0</v>
      </c>
      <c r="R36" s="145">
        <f t="shared" si="2"/>
        <v>0</v>
      </c>
      <c r="S36" s="145">
        <f t="shared" si="3"/>
        <v>0</v>
      </c>
      <c r="T36" s="143">
        <f t="shared" si="4"/>
        <v>4.3141496832000019</v>
      </c>
      <c r="U36" s="140"/>
    </row>
    <row r="37" spans="1:21" ht="9.9499999999999993" customHeight="1" outlineLevel="1" thickBot="1">
      <c r="C37" s="5"/>
      <c r="D37" s="5"/>
      <c r="E37" s="5"/>
      <c r="F37" s="5"/>
      <c r="G37" s="5"/>
      <c r="H37" s="5"/>
      <c r="M37" s="140"/>
      <c r="N37" s="137"/>
      <c r="O37" s="144">
        <v>2037</v>
      </c>
      <c r="P37" s="145">
        <f t="shared" si="0"/>
        <v>5.8549174272000029</v>
      </c>
      <c r="Q37" s="145">
        <f t="shared" si="1"/>
        <v>0</v>
      </c>
      <c r="R37" s="145">
        <f t="shared" si="2"/>
        <v>0</v>
      </c>
      <c r="S37" s="145">
        <f t="shared" si="3"/>
        <v>0</v>
      </c>
      <c r="T37" s="143">
        <f t="shared" si="4"/>
        <v>5.8549174272000029</v>
      </c>
      <c r="U37" s="140"/>
    </row>
    <row r="38" spans="1:21" ht="52.5" customHeight="1" outlineLevel="1" thickBot="1">
      <c r="C38" s="31"/>
      <c r="D38" s="33" t="s">
        <v>26</v>
      </c>
      <c r="E38" s="5"/>
      <c r="F38" s="168" t="s">
        <v>89</v>
      </c>
      <c r="G38" s="169"/>
      <c r="H38" s="169"/>
      <c r="I38" s="169"/>
      <c r="J38" s="169"/>
      <c r="K38" s="170"/>
      <c r="M38" s="140"/>
      <c r="N38" s="137"/>
      <c r="O38" s="144">
        <v>2038</v>
      </c>
      <c r="P38" s="145">
        <f t="shared" si="0"/>
        <v>7.7038387200000029</v>
      </c>
      <c r="Q38" s="145">
        <f t="shared" si="1"/>
        <v>0</v>
      </c>
      <c r="R38" s="145">
        <f t="shared" si="2"/>
        <v>0</v>
      </c>
      <c r="S38" s="145">
        <f t="shared" si="3"/>
        <v>0</v>
      </c>
      <c r="T38" s="143">
        <f t="shared" si="4"/>
        <v>7.7038387200000029</v>
      </c>
      <c r="U38" s="140"/>
    </row>
    <row r="39" spans="1:21" ht="15" customHeight="1" outlineLevel="1">
      <c r="D39" s="23"/>
      <c r="M39" s="140"/>
      <c r="N39" s="137"/>
      <c r="O39" s="144">
        <v>2039</v>
      </c>
      <c r="P39" s="145">
        <f t="shared" si="0"/>
        <v>9.8609135616000039</v>
      </c>
      <c r="Q39" s="145">
        <f t="shared" si="1"/>
        <v>0</v>
      </c>
      <c r="R39" s="145">
        <f t="shared" si="2"/>
        <v>0</v>
      </c>
      <c r="S39" s="145">
        <f t="shared" si="3"/>
        <v>0</v>
      </c>
      <c r="T39" s="143">
        <f t="shared" si="4"/>
        <v>9.8609135616000039</v>
      </c>
      <c r="U39" s="140"/>
    </row>
    <row r="40" spans="1:21" ht="20.100000000000001" customHeight="1" outlineLevel="1">
      <c r="B40" s="28" t="s">
        <v>27</v>
      </c>
      <c r="M40" s="140"/>
      <c r="N40" s="137"/>
      <c r="O40" s="144">
        <v>2040</v>
      </c>
      <c r="P40" s="145">
        <f t="shared" si="0"/>
        <v>12.326141952000006</v>
      </c>
      <c r="Q40" s="145">
        <f t="shared" si="1"/>
        <v>0</v>
      </c>
      <c r="R40" s="145">
        <f t="shared" si="2"/>
        <v>0</v>
      </c>
      <c r="S40" s="145">
        <f t="shared" si="3"/>
        <v>0</v>
      </c>
      <c r="T40" s="143">
        <f t="shared" si="4"/>
        <v>12.326141952000006</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172" t="s">
        <v>105</v>
      </c>
      <c r="E42" s="173"/>
      <c r="F42" s="173"/>
      <c r="G42" s="173"/>
      <c r="H42" s="173"/>
      <c r="I42" s="173"/>
      <c r="J42" s="173"/>
      <c r="K42" s="174"/>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36</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39">
        <f>200*8640</f>
        <v>1728000</v>
      </c>
      <c r="G50" s="5" t="s">
        <v>38</v>
      </c>
      <c r="J50" s="19"/>
      <c r="N50" s="9"/>
    </row>
    <row r="51" spans="4:16" s="5" customFormat="1" ht="15" customHeight="1" outlineLevel="1" thickBot="1">
      <c r="D51" s="40"/>
      <c r="F51" s="9"/>
      <c r="G51" s="206">
        <f>+F50*H44*H45/100000</f>
        <v>385.19193600000011</v>
      </c>
      <c r="H51" s="207"/>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45</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39">
        <f>40*8640</f>
        <v>345600</v>
      </c>
      <c r="G58" s="43" t="s">
        <v>38</v>
      </c>
      <c r="H58" s="43"/>
      <c r="J58" s="19"/>
      <c r="N58" s="9"/>
    </row>
    <row r="59" spans="4:16" s="5" customFormat="1" ht="15" customHeight="1" outlineLevel="1" thickBot="1">
      <c r="D59" s="40"/>
      <c r="F59" s="9"/>
      <c r="G59" s="185">
        <f>+F58*H44*H45/100000</f>
        <v>77.038387200000003</v>
      </c>
      <c r="H59" s="186"/>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08">
        <f>SUM(G51,G53)-SUM(G59,G61)</f>
        <v>308.15354880000012</v>
      </c>
      <c r="G63" s="209"/>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190" t="s">
        <v>88</v>
      </c>
      <c r="E69" s="191"/>
      <c r="F69" s="191"/>
      <c r="G69" s="191"/>
      <c r="H69" s="191"/>
      <c r="I69" s="191"/>
      <c r="J69" s="191"/>
      <c r="K69" s="192"/>
    </row>
    <row r="70" spans="2:11" ht="15" customHeight="1" outlineLevel="1" thickBot="1">
      <c r="D70" s="48"/>
      <c r="E70" s="48"/>
      <c r="F70" s="48"/>
      <c r="G70" s="48"/>
      <c r="H70" s="48"/>
      <c r="I70" s="48"/>
    </row>
    <row r="71" spans="2:11" ht="45" customHeight="1" outlineLevel="1" thickBot="1">
      <c r="D71" s="193" t="s">
        <v>50</v>
      </c>
      <c r="E71" s="194"/>
      <c r="F71" s="195" t="s">
        <v>51</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v>
      </c>
      <c r="F77" s="57"/>
      <c r="G77" s="127">
        <f>IF(E77="","",F77/E77)</f>
        <v>0</v>
      </c>
      <c r="H77" s="59"/>
      <c r="I77" s="60">
        <f>F77-H77</f>
        <v>0</v>
      </c>
      <c r="K77" s="61">
        <f t="shared" ref="K77:K93" si="5">I77*F$63/10000</f>
        <v>0</v>
      </c>
    </row>
    <row r="78" spans="2:11" ht="15" customHeight="1" outlineLevel="1">
      <c r="D78" s="55">
        <v>2025</v>
      </c>
      <c r="E78" s="56">
        <v>1000</v>
      </c>
      <c r="F78" s="57"/>
      <c r="G78" s="127">
        <f t="shared" ref="G78:G93" si="6">IF(E78="","",F78/E78)</f>
        <v>0</v>
      </c>
      <c r="H78" s="59"/>
      <c r="I78" s="60">
        <f>I77+F78-H78</f>
        <v>0</v>
      </c>
      <c r="K78" s="61">
        <f t="shared" si="5"/>
        <v>0</v>
      </c>
    </row>
    <row r="79" spans="2:11" ht="15" customHeight="1" outlineLevel="1">
      <c r="D79" s="55">
        <v>2026</v>
      </c>
      <c r="E79" s="56">
        <v>1000</v>
      </c>
      <c r="F79" s="57"/>
      <c r="G79" s="127">
        <f t="shared" si="6"/>
        <v>0</v>
      </c>
      <c r="H79" s="59"/>
      <c r="I79" s="60">
        <f t="shared" ref="I79:I92" si="7">I78+F79-H79</f>
        <v>0</v>
      </c>
      <c r="K79" s="61">
        <f t="shared" si="5"/>
        <v>0</v>
      </c>
    </row>
    <row r="80" spans="2:11" ht="15" customHeight="1" outlineLevel="1">
      <c r="D80" s="55">
        <v>2027</v>
      </c>
      <c r="E80" s="56">
        <v>1000</v>
      </c>
      <c r="F80" s="57"/>
      <c r="G80" s="127">
        <f t="shared" si="6"/>
        <v>0</v>
      </c>
      <c r="H80" s="59"/>
      <c r="I80" s="60">
        <f t="shared" si="7"/>
        <v>0</v>
      </c>
      <c r="K80" s="61">
        <f t="shared" si="5"/>
        <v>0</v>
      </c>
    </row>
    <row r="81" spans="4:14" ht="15" customHeight="1" outlineLevel="1">
      <c r="D81" s="55">
        <v>2028</v>
      </c>
      <c r="E81" s="56">
        <v>1000</v>
      </c>
      <c r="F81" s="57">
        <v>5</v>
      </c>
      <c r="G81" s="127">
        <f t="shared" si="6"/>
        <v>5.0000000000000001E-3</v>
      </c>
      <c r="H81" s="59"/>
      <c r="I81" s="60">
        <f t="shared" si="7"/>
        <v>5</v>
      </c>
      <c r="K81" s="61">
        <f t="shared" si="5"/>
        <v>0.15407677440000006</v>
      </c>
    </row>
    <row r="82" spans="4:14" ht="15" customHeight="1" outlineLevel="1">
      <c r="D82" s="55">
        <v>2029</v>
      </c>
      <c r="E82" s="56">
        <v>1000</v>
      </c>
      <c r="F82" s="57">
        <v>5</v>
      </c>
      <c r="G82" s="127">
        <f t="shared" si="6"/>
        <v>5.0000000000000001E-3</v>
      </c>
      <c r="H82" s="59"/>
      <c r="I82" s="60">
        <f t="shared" si="7"/>
        <v>10</v>
      </c>
      <c r="K82" s="61">
        <f t="shared" si="5"/>
        <v>0.30815354880000012</v>
      </c>
    </row>
    <row r="83" spans="4:14" ht="15" customHeight="1" outlineLevel="1">
      <c r="D83" s="55">
        <v>2030</v>
      </c>
      <c r="E83" s="56">
        <v>1000</v>
      </c>
      <c r="F83" s="57">
        <v>5</v>
      </c>
      <c r="G83" s="127">
        <f t="shared" si="6"/>
        <v>5.0000000000000001E-3</v>
      </c>
      <c r="H83" s="59"/>
      <c r="I83" s="60">
        <f t="shared" si="7"/>
        <v>15</v>
      </c>
      <c r="K83" s="61">
        <f t="shared" si="5"/>
        <v>0.46223032320000018</v>
      </c>
    </row>
    <row r="84" spans="4:14" ht="15" customHeight="1" outlineLevel="1">
      <c r="D84" s="55">
        <v>2031</v>
      </c>
      <c r="E84" s="56">
        <v>1000</v>
      </c>
      <c r="F84" s="57">
        <v>10</v>
      </c>
      <c r="G84" s="127">
        <f t="shared" si="6"/>
        <v>0.01</v>
      </c>
      <c r="H84" s="59"/>
      <c r="I84" s="60">
        <f t="shared" si="7"/>
        <v>25</v>
      </c>
      <c r="K84" s="61">
        <f t="shared" si="5"/>
        <v>0.77038387200000036</v>
      </c>
    </row>
    <row r="85" spans="4:14" ht="15" customHeight="1" outlineLevel="1">
      <c r="D85" s="55">
        <v>2032</v>
      </c>
      <c r="E85" s="56">
        <v>1000</v>
      </c>
      <c r="F85" s="57">
        <v>10</v>
      </c>
      <c r="G85" s="127">
        <f t="shared" si="6"/>
        <v>0.01</v>
      </c>
      <c r="H85" s="59"/>
      <c r="I85" s="60">
        <f t="shared" si="7"/>
        <v>35</v>
      </c>
      <c r="K85" s="61">
        <f t="shared" si="5"/>
        <v>1.0785374208000005</v>
      </c>
    </row>
    <row r="86" spans="4:14" ht="15" customHeight="1" outlineLevel="1">
      <c r="D86" s="55">
        <v>2033</v>
      </c>
      <c r="E86" s="56">
        <v>1000</v>
      </c>
      <c r="F86" s="57">
        <v>15</v>
      </c>
      <c r="G86" s="127">
        <f t="shared" si="6"/>
        <v>1.4999999999999999E-2</v>
      </c>
      <c r="H86" s="59"/>
      <c r="I86" s="60">
        <f t="shared" si="7"/>
        <v>50</v>
      </c>
      <c r="K86" s="61">
        <f t="shared" si="5"/>
        <v>1.5407677440000007</v>
      </c>
    </row>
    <row r="87" spans="4:14" ht="15" customHeight="1" outlineLevel="1">
      <c r="D87" s="55">
        <v>2034</v>
      </c>
      <c r="E87" s="56">
        <v>1000</v>
      </c>
      <c r="F87" s="57">
        <v>20</v>
      </c>
      <c r="G87" s="127">
        <f t="shared" si="6"/>
        <v>0.02</v>
      </c>
      <c r="H87" s="59"/>
      <c r="I87" s="60">
        <f t="shared" si="7"/>
        <v>70</v>
      </c>
      <c r="K87" s="61">
        <f t="shared" si="5"/>
        <v>2.157074841600001</v>
      </c>
    </row>
    <row r="88" spans="4:14" ht="15" customHeight="1" outlineLevel="1">
      <c r="D88" s="55">
        <v>2035</v>
      </c>
      <c r="E88" s="56">
        <v>1000</v>
      </c>
      <c r="F88" s="57">
        <v>30</v>
      </c>
      <c r="G88" s="127">
        <f t="shared" si="6"/>
        <v>0.03</v>
      </c>
      <c r="H88" s="59"/>
      <c r="I88" s="60">
        <f t="shared" si="7"/>
        <v>100</v>
      </c>
      <c r="K88" s="61">
        <f t="shared" si="5"/>
        <v>3.0815354880000014</v>
      </c>
    </row>
    <row r="89" spans="4:14" ht="15" customHeight="1" outlineLevel="1">
      <c r="D89" s="55">
        <v>2036</v>
      </c>
      <c r="E89" s="56">
        <v>1000</v>
      </c>
      <c r="F89" s="57">
        <v>40</v>
      </c>
      <c r="G89" s="127">
        <f t="shared" si="6"/>
        <v>0.04</v>
      </c>
      <c r="H89" s="59"/>
      <c r="I89" s="60">
        <f t="shared" si="7"/>
        <v>140</v>
      </c>
      <c r="K89" s="61">
        <f t="shared" si="5"/>
        <v>4.3141496832000019</v>
      </c>
    </row>
    <row r="90" spans="4:14" ht="15" customHeight="1" outlineLevel="1">
      <c r="D90" s="55">
        <v>2037</v>
      </c>
      <c r="E90" s="56">
        <v>1000</v>
      </c>
      <c r="F90" s="57">
        <v>50</v>
      </c>
      <c r="G90" s="127">
        <f t="shared" si="6"/>
        <v>0.05</v>
      </c>
      <c r="H90" s="59"/>
      <c r="I90" s="60">
        <f t="shared" si="7"/>
        <v>190</v>
      </c>
      <c r="K90" s="61">
        <f t="shared" si="5"/>
        <v>5.8549174272000029</v>
      </c>
    </row>
    <row r="91" spans="4:14" ht="15" customHeight="1" outlineLevel="1">
      <c r="D91" s="55">
        <v>2038</v>
      </c>
      <c r="E91" s="56">
        <v>1000</v>
      </c>
      <c r="F91" s="57">
        <v>60</v>
      </c>
      <c r="G91" s="127">
        <f t="shared" si="6"/>
        <v>0.06</v>
      </c>
      <c r="H91" s="59"/>
      <c r="I91" s="60">
        <f t="shared" si="7"/>
        <v>250</v>
      </c>
      <c r="K91" s="61">
        <f t="shared" si="5"/>
        <v>7.7038387200000029</v>
      </c>
    </row>
    <row r="92" spans="4:14" ht="15" customHeight="1" outlineLevel="1">
      <c r="D92" s="55">
        <v>2039</v>
      </c>
      <c r="E92" s="56">
        <v>1000</v>
      </c>
      <c r="F92" s="57">
        <v>70</v>
      </c>
      <c r="G92" s="127">
        <f t="shared" si="6"/>
        <v>7.0000000000000007E-2</v>
      </c>
      <c r="H92" s="59"/>
      <c r="I92" s="60">
        <f t="shared" si="7"/>
        <v>320</v>
      </c>
      <c r="K92" s="61">
        <f t="shared" si="5"/>
        <v>9.8609135616000039</v>
      </c>
    </row>
    <row r="93" spans="4:14" ht="15" customHeight="1" outlineLevel="1" thickBot="1">
      <c r="D93" s="55">
        <v>2040</v>
      </c>
      <c r="E93" s="62">
        <v>1000</v>
      </c>
      <c r="F93" s="63">
        <v>80</v>
      </c>
      <c r="G93" s="128">
        <f t="shared" si="6"/>
        <v>0.08</v>
      </c>
      <c r="H93" s="65"/>
      <c r="I93" s="66">
        <f>I92+F93-H93</f>
        <v>400</v>
      </c>
      <c r="K93" s="67">
        <f t="shared" si="5"/>
        <v>12.326141952000006</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8">I153*F$139/10000</f>
        <v>0</v>
      </c>
    </row>
    <row r="154" spans="4:11" ht="15" hidden="1" customHeight="1" outlineLevel="1">
      <c r="D154" s="55">
        <v>2025</v>
      </c>
      <c r="E154" s="56"/>
      <c r="F154" s="57"/>
      <c r="G154" s="58" t="str">
        <f t="shared" ref="G154:G169" si="9">IF(E154="","",F154/E154)</f>
        <v/>
      </c>
      <c r="H154" s="59"/>
      <c r="I154" s="60">
        <f>I153+F154-H154</f>
        <v>0</v>
      </c>
      <c r="K154" s="61">
        <f t="shared" si="8"/>
        <v>0</v>
      </c>
    </row>
    <row r="155" spans="4:11" ht="15" hidden="1" customHeight="1" outlineLevel="1">
      <c r="D155" s="55">
        <v>2026</v>
      </c>
      <c r="E155" s="56"/>
      <c r="F155" s="57"/>
      <c r="G155" s="58" t="str">
        <f t="shared" si="9"/>
        <v/>
      </c>
      <c r="H155" s="59"/>
      <c r="I155" s="60">
        <f t="shared" ref="I155:I168" si="10">I154+F155-H155</f>
        <v>0</v>
      </c>
      <c r="K155" s="61">
        <f t="shared" si="8"/>
        <v>0</v>
      </c>
    </row>
    <row r="156" spans="4:11" ht="15" hidden="1" customHeight="1" outlineLevel="1">
      <c r="D156" s="55">
        <v>2027</v>
      </c>
      <c r="E156" s="56"/>
      <c r="F156" s="57"/>
      <c r="G156" s="58" t="str">
        <f t="shared" si="9"/>
        <v/>
      </c>
      <c r="H156" s="59"/>
      <c r="I156" s="60">
        <f t="shared" si="10"/>
        <v>0</v>
      </c>
      <c r="K156" s="61">
        <f t="shared" si="8"/>
        <v>0</v>
      </c>
    </row>
    <row r="157" spans="4:11" ht="15" hidden="1" customHeight="1" outlineLevel="1">
      <c r="D157" s="55">
        <v>2028</v>
      </c>
      <c r="E157" s="56"/>
      <c r="F157" s="57"/>
      <c r="G157" s="58" t="str">
        <f t="shared" si="9"/>
        <v/>
      </c>
      <c r="H157" s="59"/>
      <c r="I157" s="60">
        <f t="shared" si="10"/>
        <v>0</v>
      </c>
      <c r="K157" s="61">
        <f t="shared" si="8"/>
        <v>0</v>
      </c>
    </row>
    <row r="158" spans="4:11" ht="15" hidden="1" customHeight="1" outlineLevel="1">
      <c r="D158" s="55">
        <v>2029</v>
      </c>
      <c r="E158" s="56"/>
      <c r="F158" s="57"/>
      <c r="G158" s="58" t="str">
        <f t="shared" si="9"/>
        <v/>
      </c>
      <c r="H158" s="59"/>
      <c r="I158" s="60">
        <f t="shared" si="10"/>
        <v>0</v>
      </c>
      <c r="K158" s="61">
        <f t="shared" si="8"/>
        <v>0</v>
      </c>
    </row>
    <row r="159" spans="4:11" ht="15" hidden="1" customHeight="1" outlineLevel="1">
      <c r="D159" s="55">
        <v>2030</v>
      </c>
      <c r="E159" s="56"/>
      <c r="F159" s="57"/>
      <c r="G159" s="58" t="str">
        <f t="shared" si="9"/>
        <v/>
      </c>
      <c r="H159" s="59"/>
      <c r="I159" s="60">
        <f t="shared" si="10"/>
        <v>0</v>
      </c>
      <c r="K159" s="61">
        <f t="shared" si="8"/>
        <v>0</v>
      </c>
    </row>
    <row r="160" spans="4:11" ht="15" hidden="1" customHeight="1" outlineLevel="1">
      <c r="D160" s="55">
        <v>2031</v>
      </c>
      <c r="E160" s="56"/>
      <c r="F160" s="57"/>
      <c r="G160" s="58" t="str">
        <f t="shared" si="9"/>
        <v/>
      </c>
      <c r="H160" s="59"/>
      <c r="I160" s="60">
        <f t="shared" si="10"/>
        <v>0</v>
      </c>
      <c r="K160" s="61">
        <f t="shared" si="8"/>
        <v>0</v>
      </c>
    </row>
    <row r="161" spans="2:14" ht="15" hidden="1" customHeight="1" outlineLevel="1">
      <c r="D161" s="55">
        <v>2032</v>
      </c>
      <c r="E161" s="56"/>
      <c r="F161" s="57"/>
      <c r="G161" s="58" t="str">
        <f t="shared" si="9"/>
        <v/>
      </c>
      <c r="H161" s="59"/>
      <c r="I161" s="60">
        <f t="shared" si="10"/>
        <v>0</v>
      </c>
      <c r="K161" s="61">
        <f t="shared" si="8"/>
        <v>0</v>
      </c>
    </row>
    <row r="162" spans="2:14" ht="15" hidden="1" customHeight="1" outlineLevel="1">
      <c r="D162" s="55">
        <v>2033</v>
      </c>
      <c r="E162" s="56"/>
      <c r="F162" s="57"/>
      <c r="G162" s="58" t="str">
        <f t="shared" si="9"/>
        <v/>
      </c>
      <c r="H162" s="59"/>
      <c r="I162" s="60">
        <f t="shared" si="10"/>
        <v>0</v>
      </c>
      <c r="K162" s="61">
        <f t="shared" si="8"/>
        <v>0</v>
      </c>
    </row>
    <row r="163" spans="2:14" ht="15" hidden="1" customHeight="1" outlineLevel="1">
      <c r="D163" s="55">
        <v>2034</v>
      </c>
      <c r="E163" s="56"/>
      <c r="F163" s="57"/>
      <c r="G163" s="58" t="str">
        <f t="shared" si="9"/>
        <v/>
      </c>
      <c r="H163" s="59"/>
      <c r="I163" s="60">
        <f t="shared" si="10"/>
        <v>0</v>
      </c>
      <c r="K163" s="61">
        <f t="shared" si="8"/>
        <v>0</v>
      </c>
    </row>
    <row r="164" spans="2:14" ht="15" hidden="1" customHeight="1" outlineLevel="1">
      <c r="D164" s="55">
        <v>2035</v>
      </c>
      <c r="E164" s="56"/>
      <c r="F164" s="57"/>
      <c r="G164" s="58" t="str">
        <f t="shared" si="9"/>
        <v/>
      </c>
      <c r="H164" s="59"/>
      <c r="I164" s="60">
        <f t="shared" si="10"/>
        <v>0</v>
      </c>
      <c r="K164" s="61">
        <f t="shared" si="8"/>
        <v>0</v>
      </c>
    </row>
    <row r="165" spans="2:14" ht="15" hidden="1" customHeight="1" outlineLevel="1">
      <c r="D165" s="55">
        <v>2036</v>
      </c>
      <c r="E165" s="56"/>
      <c r="F165" s="57"/>
      <c r="G165" s="58" t="str">
        <f t="shared" si="9"/>
        <v/>
      </c>
      <c r="H165" s="59"/>
      <c r="I165" s="60">
        <f t="shared" si="10"/>
        <v>0</v>
      </c>
      <c r="K165" s="61">
        <f t="shared" si="8"/>
        <v>0</v>
      </c>
    </row>
    <row r="166" spans="2:14" ht="15" hidden="1" customHeight="1" outlineLevel="1">
      <c r="D166" s="55">
        <v>2037</v>
      </c>
      <c r="E166" s="56"/>
      <c r="F166" s="57"/>
      <c r="G166" s="58" t="str">
        <f t="shared" si="9"/>
        <v/>
      </c>
      <c r="H166" s="59"/>
      <c r="I166" s="60">
        <f t="shared" si="10"/>
        <v>0</v>
      </c>
      <c r="K166" s="61">
        <f t="shared" si="8"/>
        <v>0</v>
      </c>
    </row>
    <row r="167" spans="2:14" ht="15" hidden="1" customHeight="1" outlineLevel="1">
      <c r="D167" s="55">
        <v>2038</v>
      </c>
      <c r="E167" s="56"/>
      <c r="F167" s="57"/>
      <c r="G167" s="58" t="str">
        <f t="shared" si="9"/>
        <v/>
      </c>
      <c r="H167" s="59"/>
      <c r="I167" s="60">
        <f t="shared" si="10"/>
        <v>0</v>
      </c>
      <c r="K167" s="61">
        <f t="shared" si="8"/>
        <v>0</v>
      </c>
    </row>
    <row r="168" spans="2:14" ht="15" hidden="1" customHeight="1" outlineLevel="1">
      <c r="D168" s="55">
        <v>2039</v>
      </c>
      <c r="E168" s="56"/>
      <c r="F168" s="57"/>
      <c r="G168" s="58" t="str">
        <f t="shared" si="9"/>
        <v/>
      </c>
      <c r="H168" s="59"/>
      <c r="I168" s="60">
        <f t="shared" si="10"/>
        <v>0</v>
      </c>
      <c r="K168" s="61">
        <f t="shared" si="8"/>
        <v>0</v>
      </c>
    </row>
    <row r="169" spans="2:14" ht="15" hidden="1" customHeight="1" outlineLevel="1" thickBot="1">
      <c r="D169" s="55">
        <v>2040</v>
      </c>
      <c r="E169" s="62"/>
      <c r="F169" s="63"/>
      <c r="G169" s="64" t="str">
        <f t="shared" si="9"/>
        <v/>
      </c>
      <c r="H169" s="65"/>
      <c r="I169" s="66">
        <f>I168+F169-H169</f>
        <v>0</v>
      </c>
      <c r="K169" s="67">
        <f t="shared" si="8"/>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1">I229*F$215/10000</f>
        <v>0</v>
      </c>
    </row>
    <row r="230" spans="4:11" ht="15" hidden="1" customHeight="1" outlineLevel="1">
      <c r="D230" s="55">
        <v>2025</v>
      </c>
      <c r="E230" s="56"/>
      <c r="F230" s="57"/>
      <c r="G230" s="58" t="str">
        <f t="shared" ref="G230:G245" si="12">IF(E230="","",F230/E230)</f>
        <v/>
      </c>
      <c r="H230" s="59"/>
      <c r="I230" s="60">
        <f>I229+F230-H230</f>
        <v>0</v>
      </c>
      <c r="K230" s="61">
        <f t="shared" si="11"/>
        <v>0</v>
      </c>
    </row>
    <row r="231" spans="4:11" ht="15" hidden="1" customHeight="1" outlineLevel="1">
      <c r="D231" s="55">
        <v>2026</v>
      </c>
      <c r="E231" s="56"/>
      <c r="F231" s="57"/>
      <c r="G231" s="58" t="str">
        <f t="shared" si="12"/>
        <v/>
      </c>
      <c r="H231" s="59"/>
      <c r="I231" s="60">
        <f t="shared" ref="I231:I244" si="13">I230+F231-H231</f>
        <v>0</v>
      </c>
      <c r="K231" s="61">
        <f t="shared" si="11"/>
        <v>0</v>
      </c>
    </row>
    <row r="232" spans="4:11" ht="15" hidden="1" customHeight="1" outlineLevel="1">
      <c r="D232" s="55">
        <v>2027</v>
      </c>
      <c r="E232" s="56"/>
      <c r="F232" s="57"/>
      <c r="G232" s="58" t="str">
        <f t="shared" si="12"/>
        <v/>
      </c>
      <c r="H232" s="59"/>
      <c r="I232" s="60">
        <f t="shared" si="13"/>
        <v>0</v>
      </c>
      <c r="K232" s="61">
        <f t="shared" si="11"/>
        <v>0</v>
      </c>
    </row>
    <row r="233" spans="4:11" ht="15" hidden="1" customHeight="1" outlineLevel="1">
      <c r="D233" s="55">
        <v>2028</v>
      </c>
      <c r="E233" s="56"/>
      <c r="F233" s="57"/>
      <c r="G233" s="58" t="str">
        <f t="shared" si="12"/>
        <v/>
      </c>
      <c r="H233" s="59"/>
      <c r="I233" s="60">
        <f t="shared" si="13"/>
        <v>0</v>
      </c>
      <c r="K233" s="61">
        <f t="shared" si="11"/>
        <v>0</v>
      </c>
    </row>
    <row r="234" spans="4:11" ht="15" hidden="1" customHeight="1" outlineLevel="1">
      <c r="D234" s="55">
        <v>2029</v>
      </c>
      <c r="E234" s="56"/>
      <c r="F234" s="57"/>
      <c r="G234" s="58" t="str">
        <f t="shared" si="12"/>
        <v/>
      </c>
      <c r="H234" s="59"/>
      <c r="I234" s="60">
        <f t="shared" si="13"/>
        <v>0</v>
      </c>
      <c r="K234" s="61">
        <f t="shared" si="11"/>
        <v>0</v>
      </c>
    </row>
    <row r="235" spans="4:11" ht="15" hidden="1" customHeight="1" outlineLevel="1">
      <c r="D235" s="55">
        <v>2030</v>
      </c>
      <c r="E235" s="56"/>
      <c r="F235" s="57"/>
      <c r="G235" s="58" t="str">
        <f t="shared" si="12"/>
        <v/>
      </c>
      <c r="H235" s="59"/>
      <c r="I235" s="60">
        <f t="shared" si="13"/>
        <v>0</v>
      </c>
      <c r="K235" s="61">
        <f t="shared" si="11"/>
        <v>0</v>
      </c>
    </row>
    <row r="236" spans="4:11" ht="15" hidden="1" customHeight="1" outlineLevel="1">
      <c r="D236" s="55">
        <v>2031</v>
      </c>
      <c r="E236" s="56"/>
      <c r="F236" s="57"/>
      <c r="G236" s="58" t="str">
        <f t="shared" si="12"/>
        <v/>
      </c>
      <c r="H236" s="59"/>
      <c r="I236" s="60">
        <f t="shared" si="13"/>
        <v>0</v>
      </c>
      <c r="K236" s="61">
        <f t="shared" si="11"/>
        <v>0</v>
      </c>
    </row>
    <row r="237" spans="4:11" ht="15" hidden="1" customHeight="1" outlineLevel="1">
      <c r="D237" s="55">
        <v>2032</v>
      </c>
      <c r="E237" s="56"/>
      <c r="F237" s="57"/>
      <c r="G237" s="58" t="str">
        <f t="shared" si="12"/>
        <v/>
      </c>
      <c r="H237" s="59"/>
      <c r="I237" s="60">
        <f t="shared" si="13"/>
        <v>0</v>
      </c>
      <c r="K237" s="61">
        <f t="shared" si="11"/>
        <v>0</v>
      </c>
    </row>
    <row r="238" spans="4:11" ht="15" hidden="1" customHeight="1" outlineLevel="1">
      <c r="D238" s="55">
        <v>2033</v>
      </c>
      <c r="E238" s="56"/>
      <c r="F238" s="57"/>
      <c r="G238" s="58" t="str">
        <f t="shared" si="12"/>
        <v/>
      </c>
      <c r="H238" s="59"/>
      <c r="I238" s="60">
        <f t="shared" si="13"/>
        <v>0</v>
      </c>
      <c r="K238" s="61">
        <f t="shared" si="11"/>
        <v>0</v>
      </c>
    </row>
    <row r="239" spans="4:11" ht="15" hidden="1" customHeight="1" outlineLevel="1">
      <c r="D239" s="55">
        <v>2034</v>
      </c>
      <c r="E239" s="56"/>
      <c r="F239" s="57"/>
      <c r="G239" s="58" t="str">
        <f t="shared" si="12"/>
        <v/>
      </c>
      <c r="H239" s="59"/>
      <c r="I239" s="60">
        <f t="shared" si="13"/>
        <v>0</v>
      </c>
      <c r="K239" s="61">
        <f t="shared" si="11"/>
        <v>0</v>
      </c>
    </row>
    <row r="240" spans="4:11" ht="15" hidden="1" customHeight="1" outlineLevel="1">
      <c r="D240" s="55">
        <v>2035</v>
      </c>
      <c r="E240" s="56"/>
      <c r="F240" s="57"/>
      <c r="G240" s="58" t="str">
        <f t="shared" si="12"/>
        <v/>
      </c>
      <c r="H240" s="59"/>
      <c r="I240" s="60">
        <f t="shared" si="13"/>
        <v>0</v>
      </c>
      <c r="K240" s="61">
        <f t="shared" si="11"/>
        <v>0</v>
      </c>
    </row>
    <row r="241" spans="2:11" ht="15" hidden="1" customHeight="1" outlineLevel="1">
      <c r="D241" s="55">
        <v>2036</v>
      </c>
      <c r="E241" s="56"/>
      <c r="F241" s="57"/>
      <c r="G241" s="58" t="str">
        <f t="shared" si="12"/>
        <v/>
      </c>
      <c r="H241" s="59"/>
      <c r="I241" s="60">
        <f t="shared" si="13"/>
        <v>0</v>
      </c>
      <c r="K241" s="61">
        <f t="shared" si="11"/>
        <v>0</v>
      </c>
    </row>
    <row r="242" spans="2:11" ht="15" hidden="1" customHeight="1" outlineLevel="1">
      <c r="D242" s="55">
        <v>2037</v>
      </c>
      <c r="E242" s="56"/>
      <c r="F242" s="57"/>
      <c r="G242" s="58" t="str">
        <f t="shared" si="12"/>
        <v/>
      </c>
      <c r="H242" s="59"/>
      <c r="I242" s="60">
        <f t="shared" si="13"/>
        <v>0</v>
      </c>
      <c r="K242" s="61">
        <f t="shared" si="11"/>
        <v>0</v>
      </c>
    </row>
    <row r="243" spans="2:11" ht="15" hidden="1" customHeight="1" outlineLevel="1">
      <c r="D243" s="55">
        <v>2038</v>
      </c>
      <c r="E243" s="56"/>
      <c r="F243" s="57"/>
      <c r="G243" s="58" t="str">
        <f t="shared" si="12"/>
        <v/>
      </c>
      <c r="H243" s="59"/>
      <c r="I243" s="60">
        <f t="shared" si="13"/>
        <v>0</v>
      </c>
      <c r="K243" s="61">
        <f t="shared" si="11"/>
        <v>0</v>
      </c>
    </row>
    <row r="244" spans="2:11" ht="15" hidden="1" customHeight="1" outlineLevel="1">
      <c r="D244" s="55">
        <v>2039</v>
      </c>
      <c r="E244" s="56"/>
      <c r="F244" s="57"/>
      <c r="G244" s="58" t="str">
        <f t="shared" si="12"/>
        <v/>
      </c>
      <c r="H244" s="59"/>
      <c r="I244" s="60">
        <f t="shared" si="13"/>
        <v>0</v>
      </c>
      <c r="K244" s="61">
        <f t="shared" si="11"/>
        <v>0</v>
      </c>
    </row>
    <row r="245" spans="2:11" ht="15" hidden="1" customHeight="1" outlineLevel="1" thickBot="1">
      <c r="D245" s="55">
        <v>2040</v>
      </c>
      <c r="E245" s="62"/>
      <c r="F245" s="63"/>
      <c r="G245" s="64" t="str">
        <f t="shared" si="12"/>
        <v/>
      </c>
      <c r="H245" s="65"/>
      <c r="I245" s="66">
        <f>I244+F245-H245</f>
        <v>0</v>
      </c>
      <c r="K245" s="67">
        <f t="shared" si="11"/>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c r="D292" s="105">
        <v>2026</v>
      </c>
      <c r="E292" s="112"/>
      <c r="F292" s="113"/>
      <c r="G292" s="114" t="str">
        <f t="shared" si="14"/>
        <v>0</v>
      </c>
      <c r="H292" s="115"/>
      <c r="I292" s="116">
        <f>I291+F292-H292</f>
        <v>0</v>
      </c>
      <c r="J292" s="94"/>
      <c r="K292" s="111">
        <f t="shared" si="15"/>
        <v>0</v>
      </c>
      <c r="N292" s="91"/>
    </row>
    <row r="293" spans="4:14" s="87" customFormat="1" ht="15" hidden="1" customHeight="1" outlineLevel="1">
      <c r="D293" s="105">
        <v>2027</v>
      </c>
      <c r="E293" s="112"/>
      <c r="F293" s="113"/>
      <c r="G293" s="114" t="str">
        <f t="shared" si="14"/>
        <v>0</v>
      </c>
      <c r="H293" s="115"/>
      <c r="I293" s="116">
        <f>I292+F293-H293</f>
        <v>0</v>
      </c>
      <c r="J293" s="94"/>
      <c r="K293" s="111">
        <f t="shared" si="15"/>
        <v>0</v>
      </c>
      <c r="N293" s="91"/>
    </row>
    <row r="294" spans="4:14" s="87" customFormat="1" ht="15" hidden="1" customHeight="1" outlineLevel="1">
      <c r="D294" s="105">
        <v>2028</v>
      </c>
      <c r="E294" s="112"/>
      <c r="F294" s="113"/>
      <c r="G294" s="114" t="str">
        <f t="shared" si="14"/>
        <v>0</v>
      </c>
      <c r="H294" s="115"/>
      <c r="I294" s="116">
        <f>I293+F294-H294</f>
        <v>0</v>
      </c>
      <c r="J294" s="94"/>
      <c r="K294" s="111">
        <f t="shared" si="15"/>
        <v>0</v>
      </c>
      <c r="N294" s="91"/>
    </row>
    <row r="295" spans="4:14" s="87" customFormat="1" ht="15" hidden="1" customHeight="1" outlineLevel="1">
      <c r="D295" s="105">
        <v>2029</v>
      </c>
      <c r="E295" s="112"/>
      <c r="F295" s="113"/>
      <c r="G295" s="114" t="str">
        <f t="shared" si="14"/>
        <v>0</v>
      </c>
      <c r="H295" s="115"/>
      <c r="I295" s="116">
        <f>I294+F295-H295</f>
        <v>0</v>
      </c>
      <c r="J295" s="94"/>
      <c r="K295" s="111">
        <f t="shared" si="15"/>
        <v>0</v>
      </c>
      <c r="N295" s="91"/>
    </row>
    <row r="296" spans="4:14" s="87" customFormat="1" ht="15" hidden="1" customHeight="1" outlineLevel="1">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c r="D297" s="105">
        <v>2031</v>
      </c>
      <c r="E297" s="112"/>
      <c r="F297" s="113"/>
      <c r="G297" s="114" t="str">
        <f t="shared" si="14"/>
        <v>0</v>
      </c>
      <c r="H297" s="115"/>
      <c r="I297" s="116">
        <f t="shared" si="16"/>
        <v>0</v>
      </c>
      <c r="J297" s="94"/>
      <c r="K297" s="111">
        <f t="shared" si="15"/>
        <v>0</v>
      </c>
      <c r="N297" s="91"/>
    </row>
    <row r="298" spans="4:14" s="87" customFormat="1" ht="15" hidden="1" customHeight="1" outlineLevel="1">
      <c r="D298" s="105">
        <v>2032</v>
      </c>
      <c r="E298" s="112"/>
      <c r="F298" s="113"/>
      <c r="G298" s="114" t="str">
        <f t="shared" si="14"/>
        <v>0</v>
      </c>
      <c r="H298" s="115"/>
      <c r="I298" s="116">
        <f t="shared" si="16"/>
        <v>0</v>
      </c>
      <c r="J298" s="94"/>
      <c r="K298" s="111">
        <f t="shared" si="15"/>
        <v>0</v>
      </c>
      <c r="N298" s="91"/>
    </row>
    <row r="299" spans="4:14" s="87" customFormat="1" ht="15" hidden="1" customHeight="1" outlineLevel="1">
      <c r="D299" s="105">
        <v>2033</v>
      </c>
      <c r="E299" s="112"/>
      <c r="F299" s="113"/>
      <c r="G299" s="114" t="str">
        <f t="shared" si="14"/>
        <v>0</v>
      </c>
      <c r="H299" s="115"/>
      <c r="I299" s="116">
        <f t="shared" si="16"/>
        <v>0</v>
      </c>
      <c r="J299" s="94"/>
      <c r="K299" s="111">
        <f t="shared" si="15"/>
        <v>0</v>
      </c>
      <c r="N299" s="91"/>
    </row>
    <row r="300" spans="4:14" s="87" customFormat="1" ht="15" hidden="1" customHeight="1" outlineLevel="1">
      <c r="D300" s="105">
        <v>2034</v>
      </c>
      <c r="E300" s="112"/>
      <c r="F300" s="113"/>
      <c r="G300" s="114" t="str">
        <f t="shared" si="14"/>
        <v>0</v>
      </c>
      <c r="H300" s="115"/>
      <c r="I300" s="116">
        <f t="shared" si="16"/>
        <v>0</v>
      </c>
      <c r="J300" s="94"/>
      <c r="K300" s="111">
        <f t="shared" si="15"/>
        <v>0</v>
      </c>
      <c r="N300" s="91"/>
    </row>
    <row r="301" spans="4:14" s="87" customFormat="1" ht="15" hidden="1" customHeight="1" outlineLevel="1">
      <c r="D301" s="105">
        <v>2035</v>
      </c>
      <c r="E301" s="112"/>
      <c r="F301" s="113"/>
      <c r="G301" s="114" t="str">
        <f t="shared" si="14"/>
        <v>0</v>
      </c>
      <c r="H301" s="115"/>
      <c r="I301" s="116">
        <f t="shared" si="16"/>
        <v>0</v>
      </c>
      <c r="J301" s="94"/>
      <c r="K301" s="111">
        <f t="shared" si="15"/>
        <v>0</v>
      </c>
      <c r="N301" s="91"/>
    </row>
    <row r="302" spans="4:14" s="87" customFormat="1" ht="15" hidden="1" customHeight="1" outlineLevel="1">
      <c r="D302" s="105">
        <v>2036</v>
      </c>
      <c r="E302" s="112"/>
      <c r="F302" s="113"/>
      <c r="G302" s="114" t="str">
        <f t="shared" si="14"/>
        <v>0</v>
      </c>
      <c r="H302" s="115"/>
      <c r="I302" s="116">
        <f t="shared" si="16"/>
        <v>0</v>
      </c>
      <c r="J302" s="94"/>
      <c r="K302" s="111">
        <f t="shared" si="15"/>
        <v>0</v>
      </c>
      <c r="N302" s="91"/>
    </row>
    <row r="303" spans="4:14" s="87" customFormat="1" ht="15" hidden="1" customHeight="1" outlineLevel="1">
      <c r="D303" s="105">
        <v>2037</v>
      </c>
      <c r="E303" s="112"/>
      <c r="F303" s="113"/>
      <c r="G303" s="114" t="str">
        <f t="shared" si="14"/>
        <v>0</v>
      </c>
      <c r="H303" s="115"/>
      <c r="I303" s="116">
        <f t="shared" si="16"/>
        <v>0</v>
      </c>
      <c r="J303" s="94"/>
      <c r="K303" s="111">
        <f t="shared" si="15"/>
        <v>0</v>
      </c>
      <c r="N303" s="91"/>
    </row>
    <row r="304" spans="4:14" s="87" customFormat="1" ht="15" hidden="1" customHeight="1" outlineLevel="1">
      <c r="D304" s="105">
        <v>2038</v>
      </c>
      <c r="E304" s="112"/>
      <c r="F304" s="113"/>
      <c r="G304" s="114" t="str">
        <f t="shared" si="14"/>
        <v>0</v>
      </c>
      <c r="H304" s="115"/>
      <c r="I304" s="116">
        <f t="shared" si="16"/>
        <v>0</v>
      </c>
      <c r="J304" s="94"/>
      <c r="K304" s="111">
        <f t="shared" si="15"/>
        <v>0</v>
      </c>
      <c r="N304" s="91"/>
    </row>
    <row r="305" spans="4:14" s="87" customFormat="1" ht="15" hidden="1" customHeight="1" outlineLevel="1">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85251EF-2087-4AB4-BD15-63369B807CCA}">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272B-DF0A-4D8A-BACF-F5D762C85EC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13.003200000000001</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9.7514999999999983</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27" t="s">
        <v>148</v>
      </c>
      <c r="D17" s="228"/>
      <c r="E17" s="228"/>
      <c r="F17" s="228"/>
      <c r="G17" s="228"/>
      <c r="H17" s="228"/>
      <c r="I17" s="228"/>
      <c r="J17" s="228"/>
      <c r="K17" s="229"/>
      <c r="M17" s="146"/>
      <c r="N17" s="146"/>
      <c r="O17" s="146"/>
      <c r="P17" s="146"/>
      <c r="Q17" s="146"/>
      <c r="R17" s="146"/>
      <c r="S17" s="24"/>
    </row>
    <row r="18" spans="2:21" s="5" customFormat="1" ht="150" customHeight="1" thickBot="1">
      <c r="C18" s="230"/>
      <c r="D18" s="231"/>
      <c r="E18" s="231"/>
      <c r="F18" s="231"/>
      <c r="G18" s="231"/>
      <c r="H18" s="231"/>
      <c r="I18" s="231"/>
      <c r="J18" s="231"/>
      <c r="K18" s="232"/>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144</v>
      </c>
      <c r="G23" s="183"/>
      <c r="H23" s="184"/>
      <c r="I23" s="1"/>
      <c r="M23" s="140"/>
      <c r="N23" s="137"/>
      <c r="O23" s="141"/>
      <c r="P23" s="142" t="str">
        <f>IF(F23="","",F23)</f>
        <v>基礎化学品Xのバイオプロセス生産による省エネルギー</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13.003200000000001</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20.433599999999998</v>
      </c>
      <c r="H28" s="29" t="s">
        <v>13</v>
      </c>
      <c r="I28" s="1"/>
      <c r="M28" s="140"/>
      <c r="N28" s="137"/>
      <c r="O28" s="144">
        <v>2028</v>
      </c>
      <c r="P28" s="145">
        <f t="shared" si="0"/>
        <v>0</v>
      </c>
      <c r="Q28" s="145">
        <f t="shared" si="1"/>
        <v>0</v>
      </c>
      <c r="R28" s="145">
        <f t="shared" si="2"/>
        <v>0</v>
      </c>
      <c r="S28" s="145">
        <f t="shared" si="3"/>
        <v>0</v>
      </c>
      <c r="T28" s="143">
        <f t="shared" si="4"/>
        <v>0</v>
      </c>
      <c r="U28" s="140"/>
    </row>
    <row r="29" spans="2:21" ht="15" customHeight="1" outlineLevel="1">
      <c r="C29" s="5"/>
      <c r="D29" s="5"/>
      <c r="E29" s="5" t="s">
        <v>21</v>
      </c>
      <c r="F29" s="5"/>
      <c r="G29" s="30"/>
      <c r="H29" s="5"/>
      <c r="I29" s="1"/>
      <c r="M29" s="140"/>
      <c r="N29" s="137"/>
      <c r="O29" s="144">
        <v>2029</v>
      </c>
      <c r="P29" s="145">
        <f t="shared" si="0"/>
        <v>1.0836000000000001</v>
      </c>
      <c r="Q29" s="145">
        <f t="shared" si="1"/>
        <v>0</v>
      </c>
      <c r="R29" s="145">
        <f t="shared" si="2"/>
        <v>0</v>
      </c>
      <c r="S29" s="145">
        <f t="shared" si="3"/>
        <v>0</v>
      </c>
      <c r="T29" s="143">
        <f t="shared" si="4"/>
        <v>1.0836000000000001</v>
      </c>
      <c r="U29" s="140"/>
    </row>
    <row r="30" spans="2:21" ht="15" customHeight="1" outlineLevel="1">
      <c r="C30" s="5"/>
      <c r="D30" s="31"/>
      <c r="E30" s="5"/>
      <c r="F30" s="5" t="s">
        <v>12</v>
      </c>
      <c r="G30" s="32">
        <f>SUM(G59,G61)*I93/10000</f>
        <v>7.4303999999999997</v>
      </c>
      <c r="H30" s="29" t="s">
        <v>13</v>
      </c>
      <c r="I30" s="1"/>
      <c r="M30" s="140"/>
      <c r="N30" s="137"/>
      <c r="O30" s="144">
        <v>2030</v>
      </c>
      <c r="P30" s="145">
        <f t="shared" si="0"/>
        <v>2.1672000000000002</v>
      </c>
      <c r="Q30" s="145">
        <f t="shared" si="1"/>
        <v>0</v>
      </c>
      <c r="R30" s="145">
        <f t="shared" si="2"/>
        <v>0</v>
      </c>
      <c r="S30" s="145">
        <f t="shared" si="3"/>
        <v>0</v>
      </c>
      <c r="T30" s="143">
        <f t="shared" si="4"/>
        <v>2.1672000000000002</v>
      </c>
      <c r="U30" s="140"/>
    </row>
    <row r="31" spans="2:21" ht="15" customHeight="1" outlineLevel="1" thickBot="1">
      <c r="C31" s="31"/>
      <c r="D31" s="5"/>
      <c r="E31" s="5"/>
      <c r="F31" s="30"/>
      <c r="G31" s="30"/>
      <c r="H31" s="5"/>
      <c r="I31" s="1"/>
      <c r="M31" s="140"/>
      <c r="N31" s="137"/>
      <c r="O31" s="144">
        <v>2031</v>
      </c>
      <c r="P31" s="145">
        <f t="shared" si="0"/>
        <v>3.2508000000000004</v>
      </c>
      <c r="Q31" s="145">
        <f t="shared" si="1"/>
        <v>0</v>
      </c>
      <c r="R31" s="145">
        <f t="shared" si="2"/>
        <v>0</v>
      </c>
      <c r="S31" s="145">
        <f t="shared" si="3"/>
        <v>0</v>
      </c>
      <c r="T31" s="143">
        <f t="shared" si="4"/>
        <v>3.2508000000000004</v>
      </c>
      <c r="U31" s="140"/>
    </row>
    <row r="32" spans="2:21" ht="15" customHeight="1" outlineLevel="1" thickBot="1">
      <c r="C32" s="33" t="s">
        <v>22</v>
      </c>
      <c r="D32" s="31"/>
      <c r="E32" s="5"/>
      <c r="F32" s="5"/>
      <c r="G32" s="33" t="s">
        <v>23</v>
      </c>
      <c r="H32" s="34">
        <v>2031</v>
      </c>
      <c r="I32" s="4" t="s">
        <v>24</v>
      </c>
      <c r="M32" s="140"/>
      <c r="N32" s="137"/>
      <c r="O32" s="144">
        <v>2032</v>
      </c>
      <c r="P32" s="145">
        <f t="shared" si="0"/>
        <v>4.3344000000000005</v>
      </c>
      <c r="Q32" s="145">
        <f t="shared" si="1"/>
        <v>0</v>
      </c>
      <c r="R32" s="145">
        <f t="shared" si="2"/>
        <v>0</v>
      </c>
      <c r="S32" s="145">
        <f t="shared" si="3"/>
        <v>0</v>
      </c>
      <c r="T32" s="143">
        <f t="shared" si="4"/>
        <v>4.3344000000000005</v>
      </c>
      <c r="U32" s="140"/>
    </row>
    <row r="33" spans="1:21" ht="20.100000000000001" customHeight="1" outlineLevel="1" thickBot="1">
      <c r="C33" s="31"/>
      <c r="D33" s="33" t="s">
        <v>12</v>
      </c>
      <c r="E33" s="5"/>
      <c r="F33" s="203">
        <f>F63*VLOOKUP(H32+3,D77:I93,6,FALSE)/10000</f>
        <v>6.5016000000000007</v>
      </c>
      <c r="G33" s="204"/>
      <c r="H33" s="29" t="s">
        <v>13</v>
      </c>
      <c r="M33" s="140"/>
      <c r="N33" s="137"/>
      <c r="O33" s="144">
        <v>2033</v>
      </c>
      <c r="P33" s="145">
        <f t="shared" si="0"/>
        <v>5.418000000000001</v>
      </c>
      <c r="Q33" s="145">
        <f t="shared" si="1"/>
        <v>0</v>
      </c>
      <c r="R33" s="145">
        <f t="shared" si="2"/>
        <v>0</v>
      </c>
      <c r="S33" s="145">
        <f t="shared" si="3"/>
        <v>0</v>
      </c>
      <c r="T33" s="143">
        <f t="shared" si="4"/>
        <v>5.418000000000001</v>
      </c>
      <c r="U33" s="140"/>
    </row>
    <row r="34" spans="1:21" ht="20.100000000000001" customHeight="1" outlineLevel="1">
      <c r="C34" s="31"/>
      <c r="D34" s="33"/>
      <c r="E34" s="5"/>
      <c r="F34" s="35"/>
      <c r="G34" s="35"/>
      <c r="H34" s="5"/>
      <c r="M34" s="140"/>
      <c r="N34" s="137"/>
      <c r="O34" s="144">
        <v>2034</v>
      </c>
      <c r="P34" s="145">
        <f t="shared" si="0"/>
        <v>6.5016000000000007</v>
      </c>
      <c r="Q34" s="145">
        <f t="shared" si="1"/>
        <v>0</v>
      </c>
      <c r="R34" s="145">
        <f t="shared" si="2"/>
        <v>0</v>
      </c>
      <c r="S34" s="145">
        <f t="shared" si="3"/>
        <v>0</v>
      </c>
      <c r="T34" s="143">
        <f t="shared" si="4"/>
        <v>6.5016000000000007</v>
      </c>
      <c r="U34" s="140"/>
    </row>
    <row r="35" spans="1:21" ht="20.100000000000001" customHeight="1" outlineLevel="1" thickBot="1">
      <c r="C35" s="5" t="s">
        <v>25</v>
      </c>
      <c r="D35" s="5"/>
      <c r="E35" s="5"/>
      <c r="F35" s="5"/>
      <c r="G35" s="5"/>
      <c r="H35" s="5"/>
      <c r="M35" s="140"/>
      <c r="N35" s="137"/>
      <c r="O35" s="144">
        <v>2035</v>
      </c>
      <c r="P35" s="145">
        <f t="shared" si="0"/>
        <v>7.5852000000000013</v>
      </c>
      <c r="Q35" s="145">
        <f t="shared" si="1"/>
        <v>0</v>
      </c>
      <c r="R35" s="145">
        <f t="shared" si="2"/>
        <v>0</v>
      </c>
      <c r="S35" s="145">
        <f t="shared" si="3"/>
        <v>0</v>
      </c>
      <c r="T35" s="143">
        <f t="shared" si="4"/>
        <v>7.5852000000000013</v>
      </c>
      <c r="U35" s="140"/>
    </row>
    <row r="36" spans="1:21" ht="20.100000000000001" customHeight="1" outlineLevel="1" thickBot="1">
      <c r="C36" s="5"/>
      <c r="D36" s="5" t="s">
        <v>12</v>
      </c>
      <c r="E36" s="5"/>
      <c r="F36" s="166">
        <f>2.167*45000/10000</f>
        <v>9.7514999999999983</v>
      </c>
      <c r="G36" s="167"/>
      <c r="H36" s="5" t="s">
        <v>13</v>
      </c>
      <c r="M36" s="140"/>
      <c r="N36" s="137"/>
      <c r="O36" s="144">
        <v>2036</v>
      </c>
      <c r="P36" s="145">
        <f t="shared" si="0"/>
        <v>8.6688000000000009</v>
      </c>
      <c r="Q36" s="145">
        <f t="shared" si="1"/>
        <v>0</v>
      </c>
      <c r="R36" s="145">
        <f t="shared" si="2"/>
        <v>0</v>
      </c>
      <c r="S36" s="145">
        <f t="shared" si="3"/>
        <v>0</v>
      </c>
      <c r="T36" s="143">
        <f t="shared" si="4"/>
        <v>8.6688000000000009</v>
      </c>
      <c r="U36" s="140"/>
    </row>
    <row r="37" spans="1:21" ht="9.9499999999999993" customHeight="1" outlineLevel="1" thickBot="1">
      <c r="C37" s="5"/>
      <c r="D37" s="5"/>
      <c r="E37" s="5"/>
      <c r="F37" s="5"/>
      <c r="G37" s="5"/>
      <c r="H37" s="5"/>
      <c r="M37" s="140"/>
      <c r="N37" s="137"/>
      <c r="O37" s="144">
        <v>2037</v>
      </c>
      <c r="P37" s="145">
        <f t="shared" si="0"/>
        <v>9.7524000000000015</v>
      </c>
      <c r="Q37" s="145">
        <f t="shared" si="1"/>
        <v>0</v>
      </c>
      <c r="R37" s="145">
        <f t="shared" si="2"/>
        <v>0</v>
      </c>
      <c r="S37" s="145">
        <f t="shared" si="3"/>
        <v>0</v>
      </c>
      <c r="T37" s="143">
        <f t="shared" si="4"/>
        <v>9.7524000000000015</v>
      </c>
      <c r="U37" s="140"/>
    </row>
    <row r="38" spans="1:21" ht="52.5" customHeight="1" outlineLevel="1" thickBot="1">
      <c r="C38" s="31"/>
      <c r="D38" s="33" t="s">
        <v>26</v>
      </c>
      <c r="E38" s="5"/>
      <c r="F38" s="168" t="s">
        <v>94</v>
      </c>
      <c r="G38" s="169"/>
      <c r="H38" s="169"/>
      <c r="I38" s="169"/>
      <c r="J38" s="169"/>
      <c r="K38" s="170"/>
      <c r="M38" s="140"/>
      <c r="N38" s="137"/>
      <c r="O38" s="144">
        <v>2038</v>
      </c>
      <c r="P38" s="145">
        <f t="shared" si="0"/>
        <v>10.836000000000002</v>
      </c>
      <c r="Q38" s="145">
        <f t="shared" si="1"/>
        <v>0</v>
      </c>
      <c r="R38" s="145">
        <f t="shared" si="2"/>
        <v>0</v>
      </c>
      <c r="S38" s="145">
        <f t="shared" si="3"/>
        <v>0</v>
      </c>
      <c r="T38" s="143">
        <f t="shared" si="4"/>
        <v>10.836000000000002</v>
      </c>
      <c r="U38" s="140"/>
    </row>
    <row r="39" spans="1:21" ht="15" customHeight="1" outlineLevel="1">
      <c r="D39" s="23"/>
      <c r="M39" s="140"/>
      <c r="N39" s="137"/>
      <c r="O39" s="144">
        <v>2039</v>
      </c>
      <c r="P39" s="145">
        <f t="shared" si="0"/>
        <v>11.919600000000001</v>
      </c>
      <c r="Q39" s="145">
        <f t="shared" si="1"/>
        <v>0</v>
      </c>
      <c r="R39" s="145">
        <f t="shared" si="2"/>
        <v>0</v>
      </c>
      <c r="S39" s="145">
        <f t="shared" si="3"/>
        <v>0</v>
      </c>
      <c r="T39" s="143">
        <f t="shared" si="4"/>
        <v>11.919600000000001</v>
      </c>
      <c r="U39" s="140"/>
    </row>
    <row r="40" spans="1:21" ht="20.100000000000001" customHeight="1" outlineLevel="1">
      <c r="B40" s="28" t="s">
        <v>27</v>
      </c>
      <c r="M40" s="140"/>
      <c r="N40" s="137"/>
      <c r="O40" s="144">
        <v>2040</v>
      </c>
      <c r="P40" s="145">
        <f t="shared" si="0"/>
        <v>13.003200000000001</v>
      </c>
      <c r="Q40" s="145">
        <f t="shared" si="1"/>
        <v>0</v>
      </c>
      <c r="R40" s="145">
        <f t="shared" si="2"/>
        <v>0</v>
      </c>
      <c r="S40" s="145">
        <f t="shared" si="3"/>
        <v>0</v>
      </c>
      <c r="T40" s="143">
        <f t="shared" si="4"/>
        <v>13.003200000000001</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190" t="s">
        <v>95</v>
      </c>
      <c r="E42" s="191"/>
      <c r="F42" s="191"/>
      <c r="G42" s="191"/>
      <c r="H42" s="191"/>
      <c r="I42" s="191"/>
      <c r="J42" s="191"/>
      <c r="K42" s="192"/>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90</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39"/>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29">
        <f>132*1000</f>
        <v>132000</v>
      </c>
      <c r="G52" s="5" t="s">
        <v>42</v>
      </c>
      <c r="J52" s="41"/>
      <c r="K52" s="38"/>
      <c r="L52" s="38"/>
      <c r="N52" s="9"/>
    </row>
    <row r="53" spans="4:16" s="5" customFormat="1" ht="15" customHeight="1" outlineLevel="1">
      <c r="D53" s="40"/>
      <c r="G53" s="185">
        <f>+F52*H45/100000</f>
        <v>3.4056000000000002</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91</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39"/>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0">
        <f>48*1000</f>
        <v>48000</v>
      </c>
      <c r="G60" s="5" t="s">
        <v>42</v>
      </c>
      <c r="J60" s="19"/>
      <c r="N60" s="9"/>
    </row>
    <row r="61" spans="4:16" s="5" customFormat="1" ht="15" customHeight="1" outlineLevel="1">
      <c r="D61" s="40"/>
      <c r="G61" s="185">
        <f>+F60*H45/100000</f>
        <v>1.2383999999999999</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25">
        <f>SUM(G51,G53)-SUM(G59,G61)</f>
        <v>2.1672000000000002</v>
      </c>
      <c r="G63" s="226"/>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190" t="s">
        <v>93</v>
      </c>
      <c r="E69" s="191"/>
      <c r="F69" s="191"/>
      <c r="G69" s="191"/>
      <c r="H69" s="191"/>
      <c r="I69" s="191"/>
      <c r="J69" s="191"/>
      <c r="K69" s="192"/>
    </row>
    <row r="70" spans="2:11" ht="15" customHeight="1" outlineLevel="1" thickBot="1">
      <c r="D70" s="48"/>
      <c r="E70" s="48"/>
      <c r="F70" s="48"/>
      <c r="G70" s="48"/>
      <c r="H70" s="48"/>
      <c r="I70" s="48"/>
    </row>
    <row r="71" spans="2:11" ht="45" customHeight="1" outlineLevel="1" thickBot="1">
      <c r="D71" s="193" t="s">
        <v>50</v>
      </c>
      <c r="E71" s="194"/>
      <c r="F71" s="195" t="s">
        <v>92</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1000000</v>
      </c>
      <c r="F77" s="57"/>
      <c r="G77" s="58">
        <f>IF(E77="","",F77/E77)</f>
        <v>0</v>
      </c>
      <c r="H77" s="59"/>
      <c r="I77" s="60">
        <f>F77-H77</f>
        <v>0</v>
      </c>
      <c r="K77" s="61">
        <f t="shared" ref="K77:K93" si="5">I77*F$63/10000</f>
        <v>0</v>
      </c>
    </row>
    <row r="78" spans="2:11" ht="15" customHeight="1" outlineLevel="1">
      <c r="D78" s="55">
        <v>2025</v>
      </c>
      <c r="E78" s="56">
        <v>1000000</v>
      </c>
      <c r="F78" s="57"/>
      <c r="G78" s="58">
        <f t="shared" ref="G78:G93" si="6">IF(E78="","",F78/E78)</f>
        <v>0</v>
      </c>
      <c r="H78" s="59"/>
      <c r="I78" s="60">
        <f>I77+F78-H78</f>
        <v>0</v>
      </c>
      <c r="K78" s="61">
        <f t="shared" si="5"/>
        <v>0</v>
      </c>
    </row>
    <row r="79" spans="2:11" ht="15" customHeight="1" outlineLevel="1">
      <c r="D79" s="55">
        <v>2026</v>
      </c>
      <c r="E79" s="56">
        <v>1000000</v>
      </c>
      <c r="F79" s="57"/>
      <c r="G79" s="58">
        <f t="shared" si="6"/>
        <v>0</v>
      </c>
      <c r="H79" s="59"/>
      <c r="I79" s="60">
        <f t="shared" ref="I79:I92" si="7">I78+F79-H79</f>
        <v>0</v>
      </c>
      <c r="K79" s="61">
        <f t="shared" si="5"/>
        <v>0</v>
      </c>
    </row>
    <row r="80" spans="2:11" ht="15" customHeight="1" outlineLevel="1">
      <c r="D80" s="55">
        <v>2027</v>
      </c>
      <c r="E80" s="56">
        <v>1000000</v>
      </c>
      <c r="F80" s="57"/>
      <c r="G80" s="58">
        <f t="shared" si="6"/>
        <v>0</v>
      </c>
      <c r="H80" s="59"/>
      <c r="I80" s="60">
        <f t="shared" si="7"/>
        <v>0</v>
      </c>
      <c r="K80" s="61">
        <f t="shared" si="5"/>
        <v>0</v>
      </c>
    </row>
    <row r="81" spans="4:14" ht="15" customHeight="1" outlineLevel="1">
      <c r="D81" s="55">
        <v>2028</v>
      </c>
      <c r="E81" s="56">
        <v>1000000</v>
      </c>
      <c r="F81" s="57"/>
      <c r="G81" s="58">
        <f t="shared" si="6"/>
        <v>0</v>
      </c>
      <c r="H81" s="59"/>
      <c r="I81" s="60">
        <f t="shared" si="7"/>
        <v>0</v>
      </c>
      <c r="K81" s="61">
        <f t="shared" si="5"/>
        <v>0</v>
      </c>
    </row>
    <row r="82" spans="4:14" ht="15" customHeight="1" outlineLevel="1">
      <c r="D82" s="55">
        <v>2029</v>
      </c>
      <c r="E82" s="56">
        <v>1000000</v>
      </c>
      <c r="F82" s="57">
        <v>5000</v>
      </c>
      <c r="G82" s="58">
        <f t="shared" si="6"/>
        <v>5.0000000000000001E-3</v>
      </c>
      <c r="H82" s="59"/>
      <c r="I82" s="60">
        <f t="shared" si="7"/>
        <v>5000</v>
      </c>
      <c r="K82" s="61">
        <f t="shared" si="5"/>
        <v>1.0836000000000001</v>
      </c>
    </row>
    <row r="83" spans="4:14" ht="15" customHeight="1" outlineLevel="1">
      <c r="D83" s="55">
        <v>2030</v>
      </c>
      <c r="E83" s="56">
        <v>1000000</v>
      </c>
      <c r="F83" s="57">
        <v>10000</v>
      </c>
      <c r="G83" s="58">
        <f t="shared" si="6"/>
        <v>0.01</v>
      </c>
      <c r="H83" s="59">
        <f t="shared" ref="H83:H92" si="8">F82</f>
        <v>5000</v>
      </c>
      <c r="I83" s="60">
        <f t="shared" si="7"/>
        <v>10000</v>
      </c>
      <c r="K83" s="61">
        <f t="shared" si="5"/>
        <v>2.1672000000000002</v>
      </c>
    </row>
    <row r="84" spans="4:14" ht="15" customHeight="1" outlineLevel="1">
      <c r="D84" s="55">
        <v>2031</v>
      </c>
      <c r="E84" s="56">
        <v>1000000</v>
      </c>
      <c r="F84" s="57">
        <v>15000</v>
      </c>
      <c r="G84" s="58">
        <f t="shared" si="6"/>
        <v>1.4999999999999999E-2</v>
      </c>
      <c r="H84" s="59">
        <f t="shared" si="8"/>
        <v>10000</v>
      </c>
      <c r="I84" s="60">
        <f t="shared" si="7"/>
        <v>15000</v>
      </c>
      <c r="K84" s="61">
        <f t="shared" si="5"/>
        <v>3.2508000000000004</v>
      </c>
    </row>
    <row r="85" spans="4:14" ht="15" customHeight="1" outlineLevel="1">
      <c r="D85" s="55">
        <v>2032</v>
      </c>
      <c r="E85" s="56">
        <v>1000000</v>
      </c>
      <c r="F85" s="57">
        <v>20000</v>
      </c>
      <c r="G85" s="58">
        <f t="shared" si="6"/>
        <v>0.02</v>
      </c>
      <c r="H85" s="59">
        <f t="shared" si="8"/>
        <v>15000</v>
      </c>
      <c r="I85" s="60">
        <f t="shared" si="7"/>
        <v>20000</v>
      </c>
      <c r="K85" s="61">
        <f t="shared" si="5"/>
        <v>4.3344000000000005</v>
      </c>
    </row>
    <row r="86" spans="4:14" ht="15" customHeight="1" outlineLevel="1">
      <c r="D86" s="55">
        <v>2033</v>
      </c>
      <c r="E86" s="56">
        <v>1000000</v>
      </c>
      <c r="F86" s="57">
        <v>25000</v>
      </c>
      <c r="G86" s="58">
        <f t="shared" si="6"/>
        <v>2.5000000000000001E-2</v>
      </c>
      <c r="H86" s="59">
        <f t="shared" si="8"/>
        <v>20000</v>
      </c>
      <c r="I86" s="60">
        <f t="shared" si="7"/>
        <v>25000</v>
      </c>
      <c r="K86" s="61">
        <f t="shared" si="5"/>
        <v>5.418000000000001</v>
      </c>
    </row>
    <row r="87" spans="4:14" ht="15" customHeight="1" outlineLevel="1">
      <c r="D87" s="55">
        <v>2034</v>
      </c>
      <c r="E87" s="56">
        <v>1000000</v>
      </c>
      <c r="F87" s="57">
        <v>30000</v>
      </c>
      <c r="G87" s="58">
        <f t="shared" si="6"/>
        <v>0.03</v>
      </c>
      <c r="H87" s="59">
        <f t="shared" si="8"/>
        <v>25000</v>
      </c>
      <c r="I87" s="60">
        <f t="shared" si="7"/>
        <v>30000</v>
      </c>
      <c r="K87" s="61">
        <f t="shared" si="5"/>
        <v>6.5016000000000007</v>
      </c>
    </row>
    <row r="88" spans="4:14" ht="15" customHeight="1" outlineLevel="1">
      <c r="D88" s="55">
        <v>2035</v>
      </c>
      <c r="E88" s="56">
        <v>1000000</v>
      </c>
      <c r="F88" s="57">
        <v>35000</v>
      </c>
      <c r="G88" s="58">
        <f t="shared" si="6"/>
        <v>3.5000000000000003E-2</v>
      </c>
      <c r="H88" s="59">
        <f t="shared" si="8"/>
        <v>30000</v>
      </c>
      <c r="I88" s="60">
        <f t="shared" si="7"/>
        <v>35000</v>
      </c>
      <c r="K88" s="61">
        <f t="shared" si="5"/>
        <v>7.5852000000000013</v>
      </c>
    </row>
    <row r="89" spans="4:14" ht="15" customHeight="1" outlineLevel="1">
      <c r="D89" s="55">
        <v>2036</v>
      </c>
      <c r="E89" s="56">
        <v>1000000</v>
      </c>
      <c r="F89" s="57">
        <v>40000</v>
      </c>
      <c r="G89" s="58">
        <f t="shared" si="6"/>
        <v>0.04</v>
      </c>
      <c r="H89" s="59">
        <f t="shared" si="8"/>
        <v>35000</v>
      </c>
      <c r="I89" s="60">
        <f t="shared" si="7"/>
        <v>40000</v>
      </c>
      <c r="K89" s="61">
        <f t="shared" si="5"/>
        <v>8.6688000000000009</v>
      </c>
    </row>
    <row r="90" spans="4:14" ht="15" customHeight="1" outlineLevel="1">
      <c r="D90" s="55">
        <v>2037</v>
      </c>
      <c r="E90" s="56">
        <v>1000000</v>
      </c>
      <c r="F90" s="57">
        <v>45000</v>
      </c>
      <c r="G90" s="58">
        <f t="shared" si="6"/>
        <v>4.4999999999999998E-2</v>
      </c>
      <c r="H90" s="59">
        <f t="shared" si="8"/>
        <v>40000</v>
      </c>
      <c r="I90" s="60">
        <f t="shared" si="7"/>
        <v>45000</v>
      </c>
      <c r="K90" s="61">
        <f t="shared" si="5"/>
        <v>9.7524000000000015</v>
      </c>
    </row>
    <row r="91" spans="4:14" ht="15" customHeight="1" outlineLevel="1">
      <c r="D91" s="55">
        <v>2038</v>
      </c>
      <c r="E91" s="56">
        <v>1000000</v>
      </c>
      <c r="F91" s="57">
        <v>50000</v>
      </c>
      <c r="G91" s="58">
        <f t="shared" si="6"/>
        <v>0.05</v>
      </c>
      <c r="H91" s="59">
        <f t="shared" si="8"/>
        <v>45000</v>
      </c>
      <c r="I91" s="60">
        <f t="shared" si="7"/>
        <v>50000</v>
      </c>
      <c r="K91" s="61">
        <f t="shared" si="5"/>
        <v>10.836000000000002</v>
      </c>
    </row>
    <row r="92" spans="4:14" ht="15" customHeight="1" outlineLevel="1">
      <c r="D92" s="55">
        <v>2039</v>
      </c>
      <c r="E92" s="56">
        <v>1000000</v>
      </c>
      <c r="F92" s="57">
        <v>55000</v>
      </c>
      <c r="G92" s="58">
        <f t="shared" si="6"/>
        <v>5.5E-2</v>
      </c>
      <c r="H92" s="59">
        <f t="shared" si="8"/>
        <v>50000</v>
      </c>
      <c r="I92" s="60">
        <f t="shared" si="7"/>
        <v>55000</v>
      </c>
      <c r="K92" s="61">
        <f t="shared" si="5"/>
        <v>11.919600000000001</v>
      </c>
    </row>
    <row r="93" spans="4:14" ht="15" customHeight="1" outlineLevel="1" thickBot="1">
      <c r="D93" s="55">
        <v>2040</v>
      </c>
      <c r="E93" s="62">
        <v>1000000</v>
      </c>
      <c r="F93" s="63">
        <v>60000</v>
      </c>
      <c r="G93" s="64">
        <f t="shared" si="6"/>
        <v>0.06</v>
      </c>
      <c r="H93" s="65">
        <f>F92</f>
        <v>55000</v>
      </c>
      <c r="I93" s="66">
        <f>I92+F93-H93</f>
        <v>60000</v>
      </c>
      <c r="K93" s="67">
        <f t="shared" si="5"/>
        <v>13.003200000000001</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disablePrompts="1" count="1">
    <dataValidation type="list" allowBlank="1" showInputMessage="1" showErrorMessage="1" sqref="H32 H184 H108 H256" xr:uid="{6FCF4E41-ABFF-4621-AE29-22BD15A39F1D}">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B070-5995-4F3F-BDC7-B7A05FDA369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104</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8.0515350000000332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2.5764912</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122</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100</v>
      </c>
      <c r="G23" s="183"/>
      <c r="H23" s="184"/>
      <c r="I23" s="1"/>
      <c r="M23" s="140"/>
      <c r="N23" s="137"/>
      <c r="O23" s="141"/>
      <c r="P23" s="142" t="str">
        <f>IF(F23="","",F23)</f>
        <v>500MW級耐熱型高効率発電機</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8.0515350000000332</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v>
      </c>
      <c r="Q27" s="145">
        <f t="shared" si="1"/>
        <v>0</v>
      </c>
      <c r="R27" s="145">
        <f t="shared" si="2"/>
        <v>0</v>
      </c>
      <c r="S27" s="145">
        <f t="shared" si="3"/>
        <v>0</v>
      </c>
      <c r="T27" s="143">
        <f t="shared" si="4"/>
        <v>0</v>
      </c>
      <c r="U27" s="140"/>
    </row>
    <row r="28" spans="2:21" ht="15" customHeight="1" outlineLevel="1">
      <c r="C28" s="5"/>
      <c r="D28" s="5"/>
      <c r="E28" s="31"/>
      <c r="F28" s="5" t="s">
        <v>12</v>
      </c>
      <c r="G28" s="32">
        <f>SUM(G51,G53)*I93/10000</f>
        <v>322.06139999999999</v>
      </c>
      <c r="H28" s="29" t="s">
        <v>13</v>
      </c>
      <c r="I28" s="1"/>
      <c r="M28" s="140"/>
      <c r="N28" s="137"/>
      <c r="O28" s="144">
        <v>2028</v>
      </c>
      <c r="P28" s="145">
        <f t="shared" si="0"/>
        <v>1.6103070000000066</v>
      </c>
      <c r="Q28" s="145">
        <f t="shared" si="1"/>
        <v>0</v>
      </c>
      <c r="R28" s="145">
        <f t="shared" si="2"/>
        <v>0</v>
      </c>
      <c r="S28" s="145">
        <f t="shared" si="3"/>
        <v>0</v>
      </c>
      <c r="T28" s="143">
        <f t="shared" si="4"/>
        <v>1.6103070000000066</v>
      </c>
      <c r="U28" s="140"/>
    </row>
    <row r="29" spans="2:21" ht="15" customHeight="1" outlineLevel="1">
      <c r="C29" s="5"/>
      <c r="D29" s="5"/>
      <c r="E29" s="5" t="s">
        <v>21</v>
      </c>
      <c r="F29" s="5"/>
      <c r="G29" s="30"/>
      <c r="H29" s="5"/>
      <c r="I29" s="1"/>
      <c r="M29" s="140"/>
      <c r="N29" s="137"/>
      <c r="O29" s="144">
        <v>2029</v>
      </c>
      <c r="P29" s="145">
        <f t="shared" si="0"/>
        <v>1.6103070000000066</v>
      </c>
      <c r="Q29" s="145">
        <f t="shared" si="1"/>
        <v>0</v>
      </c>
      <c r="R29" s="145">
        <f t="shared" si="2"/>
        <v>0</v>
      </c>
      <c r="S29" s="145">
        <f t="shared" si="3"/>
        <v>0</v>
      </c>
      <c r="T29" s="143">
        <f t="shared" si="4"/>
        <v>1.6103070000000066</v>
      </c>
      <c r="U29" s="140"/>
    </row>
    <row r="30" spans="2:21" ht="15" customHeight="1" outlineLevel="1">
      <c r="C30" s="5"/>
      <c r="D30" s="31"/>
      <c r="E30" s="5"/>
      <c r="F30" s="5" t="s">
        <v>12</v>
      </c>
      <c r="G30" s="32">
        <f>SUM(G59,G61)*I93/10000</f>
        <v>314.00986499999999</v>
      </c>
      <c r="H30" s="29" t="s">
        <v>13</v>
      </c>
      <c r="I30" s="1"/>
      <c r="M30" s="140"/>
      <c r="N30" s="137"/>
      <c r="O30" s="144">
        <v>2030</v>
      </c>
      <c r="P30" s="145">
        <f t="shared" si="0"/>
        <v>1.6103070000000066</v>
      </c>
      <c r="Q30" s="145">
        <f t="shared" si="1"/>
        <v>0</v>
      </c>
      <c r="R30" s="145">
        <f t="shared" si="2"/>
        <v>0</v>
      </c>
      <c r="S30" s="145">
        <f t="shared" si="3"/>
        <v>0</v>
      </c>
      <c r="T30" s="143">
        <f t="shared" si="4"/>
        <v>1.6103070000000066</v>
      </c>
      <c r="U30" s="140"/>
    </row>
    <row r="31" spans="2:21" ht="15" customHeight="1" outlineLevel="1" thickBot="1">
      <c r="C31" s="31"/>
      <c r="D31" s="5"/>
      <c r="E31" s="5"/>
      <c r="F31" s="30"/>
      <c r="G31" s="30"/>
      <c r="H31" s="5"/>
      <c r="I31" s="1"/>
      <c r="M31" s="140"/>
      <c r="N31" s="137"/>
      <c r="O31" s="144">
        <v>2031</v>
      </c>
      <c r="P31" s="145">
        <f t="shared" si="0"/>
        <v>3.2206140000000132</v>
      </c>
      <c r="Q31" s="145">
        <f t="shared" si="1"/>
        <v>0</v>
      </c>
      <c r="R31" s="145">
        <f t="shared" si="2"/>
        <v>0</v>
      </c>
      <c r="S31" s="145">
        <f t="shared" si="3"/>
        <v>0</v>
      </c>
      <c r="T31" s="143">
        <f t="shared" si="4"/>
        <v>3.2206140000000132</v>
      </c>
      <c r="U31" s="140"/>
    </row>
    <row r="32" spans="2:21" ht="15" customHeight="1" outlineLevel="1" thickBot="1">
      <c r="C32" s="33" t="s">
        <v>22</v>
      </c>
      <c r="D32" s="31"/>
      <c r="E32" s="5"/>
      <c r="F32" s="5"/>
      <c r="G32" s="33" t="s">
        <v>23</v>
      </c>
      <c r="H32" s="34">
        <v>2028</v>
      </c>
      <c r="I32" s="4" t="s">
        <v>24</v>
      </c>
      <c r="M32" s="140"/>
      <c r="N32" s="137"/>
      <c r="O32" s="144">
        <v>2032</v>
      </c>
      <c r="P32" s="145">
        <f t="shared" si="0"/>
        <v>3.2206140000000132</v>
      </c>
      <c r="Q32" s="145">
        <f t="shared" si="1"/>
        <v>0</v>
      </c>
      <c r="R32" s="145">
        <f t="shared" si="2"/>
        <v>0</v>
      </c>
      <c r="S32" s="145">
        <f t="shared" si="3"/>
        <v>0</v>
      </c>
      <c r="T32" s="143">
        <f t="shared" si="4"/>
        <v>3.2206140000000132</v>
      </c>
      <c r="U32" s="140"/>
    </row>
    <row r="33" spans="1:21" ht="20.100000000000001" customHeight="1" outlineLevel="1" thickBot="1">
      <c r="C33" s="31"/>
      <c r="D33" s="33" t="s">
        <v>12</v>
      </c>
      <c r="E33" s="5"/>
      <c r="F33" s="203">
        <f>F63*VLOOKUP(H32+3,D77:I93,6,FALSE)/10000</f>
        <v>3.2206140000000132</v>
      </c>
      <c r="G33" s="204"/>
      <c r="H33" s="29" t="s">
        <v>13</v>
      </c>
      <c r="M33" s="140"/>
      <c r="N33" s="137"/>
      <c r="O33" s="144">
        <v>2033</v>
      </c>
      <c r="P33" s="145">
        <f t="shared" si="0"/>
        <v>3.2206140000000132</v>
      </c>
      <c r="Q33" s="145">
        <f t="shared" si="1"/>
        <v>0</v>
      </c>
      <c r="R33" s="145">
        <f t="shared" si="2"/>
        <v>0</v>
      </c>
      <c r="S33" s="145">
        <f t="shared" si="3"/>
        <v>0</v>
      </c>
      <c r="T33" s="143">
        <f t="shared" si="4"/>
        <v>3.2206140000000132</v>
      </c>
      <c r="U33" s="140"/>
    </row>
    <row r="34" spans="1:21" ht="20.100000000000001" customHeight="1" outlineLevel="1">
      <c r="C34" s="31"/>
      <c r="D34" s="33"/>
      <c r="E34" s="5"/>
      <c r="F34" s="35"/>
      <c r="G34" s="35"/>
      <c r="H34" s="5"/>
      <c r="M34" s="140"/>
      <c r="N34" s="137"/>
      <c r="O34" s="144">
        <v>2034</v>
      </c>
      <c r="P34" s="145">
        <f t="shared" si="0"/>
        <v>4.8309210000000196</v>
      </c>
      <c r="Q34" s="145">
        <f t="shared" si="1"/>
        <v>0</v>
      </c>
      <c r="R34" s="145">
        <f t="shared" si="2"/>
        <v>0</v>
      </c>
      <c r="S34" s="145">
        <f t="shared" si="3"/>
        <v>0</v>
      </c>
      <c r="T34" s="143">
        <f t="shared" si="4"/>
        <v>4.8309210000000196</v>
      </c>
      <c r="U34" s="140"/>
    </row>
    <row r="35" spans="1:21" ht="20.100000000000001" customHeight="1" outlineLevel="1" thickBot="1">
      <c r="C35" s="5" t="s">
        <v>25</v>
      </c>
      <c r="D35" s="5"/>
      <c r="E35" s="5"/>
      <c r="F35" s="5"/>
      <c r="G35" s="5"/>
      <c r="H35" s="5"/>
      <c r="M35" s="140"/>
      <c r="N35" s="137"/>
      <c r="O35" s="144">
        <v>2035</v>
      </c>
      <c r="P35" s="145">
        <f t="shared" si="0"/>
        <v>4.8309210000000196</v>
      </c>
      <c r="Q35" s="145">
        <f t="shared" si="1"/>
        <v>0</v>
      </c>
      <c r="R35" s="145">
        <f t="shared" si="2"/>
        <v>0</v>
      </c>
      <c r="S35" s="145">
        <f t="shared" si="3"/>
        <v>0</v>
      </c>
      <c r="T35" s="143">
        <f t="shared" si="4"/>
        <v>4.8309210000000196</v>
      </c>
      <c r="U35" s="140"/>
    </row>
    <row r="36" spans="1:21" ht="20.100000000000001" customHeight="1" outlineLevel="1" thickBot="1">
      <c r="C36" s="5"/>
      <c r="D36" s="5" t="s">
        <v>12</v>
      </c>
      <c r="E36" s="5"/>
      <c r="F36" s="166">
        <f>6441.228*4/10000</f>
        <v>2.5764912</v>
      </c>
      <c r="G36" s="167"/>
      <c r="H36" s="5" t="s">
        <v>13</v>
      </c>
      <c r="M36" s="140"/>
      <c r="N36" s="137"/>
      <c r="O36" s="144">
        <v>2036</v>
      </c>
      <c r="P36" s="145">
        <f t="shared" si="0"/>
        <v>4.8309210000000196</v>
      </c>
      <c r="Q36" s="145">
        <f t="shared" si="1"/>
        <v>0</v>
      </c>
      <c r="R36" s="145">
        <f t="shared" si="2"/>
        <v>0</v>
      </c>
      <c r="S36" s="145">
        <f t="shared" si="3"/>
        <v>0</v>
      </c>
      <c r="T36" s="143">
        <f t="shared" si="4"/>
        <v>4.8309210000000196</v>
      </c>
      <c r="U36" s="140"/>
    </row>
    <row r="37" spans="1:21" ht="9.9499999999999993" customHeight="1" outlineLevel="1" thickBot="1">
      <c r="C37" s="5"/>
      <c r="D37" s="5"/>
      <c r="E37" s="5"/>
      <c r="F37" s="5"/>
      <c r="G37" s="5"/>
      <c r="H37" s="5"/>
      <c r="M37" s="140"/>
      <c r="N37" s="137"/>
      <c r="O37" s="144">
        <v>2037</v>
      </c>
      <c r="P37" s="145">
        <f t="shared" si="0"/>
        <v>6.4412280000000264</v>
      </c>
      <c r="Q37" s="145">
        <f t="shared" si="1"/>
        <v>0</v>
      </c>
      <c r="R37" s="145">
        <f t="shared" si="2"/>
        <v>0</v>
      </c>
      <c r="S37" s="145">
        <f t="shared" si="3"/>
        <v>0</v>
      </c>
      <c r="T37" s="143">
        <f t="shared" si="4"/>
        <v>6.4412280000000264</v>
      </c>
      <c r="U37" s="140"/>
    </row>
    <row r="38" spans="1:21" ht="52.5" customHeight="1" outlineLevel="1" thickBot="1">
      <c r="C38" s="31"/>
      <c r="D38" s="33" t="s">
        <v>26</v>
      </c>
      <c r="E38" s="5"/>
      <c r="F38" s="168" t="s">
        <v>96</v>
      </c>
      <c r="G38" s="169"/>
      <c r="H38" s="169"/>
      <c r="I38" s="169"/>
      <c r="J38" s="169"/>
      <c r="K38" s="170"/>
      <c r="M38" s="140"/>
      <c r="N38" s="137"/>
      <c r="O38" s="144">
        <v>2038</v>
      </c>
      <c r="P38" s="145">
        <f t="shared" si="0"/>
        <v>6.4412280000000264</v>
      </c>
      <c r="Q38" s="145">
        <f t="shared" si="1"/>
        <v>0</v>
      </c>
      <c r="R38" s="145">
        <f t="shared" si="2"/>
        <v>0</v>
      </c>
      <c r="S38" s="145">
        <f t="shared" si="3"/>
        <v>0</v>
      </c>
      <c r="T38" s="143">
        <f t="shared" si="4"/>
        <v>6.4412280000000264</v>
      </c>
      <c r="U38" s="140"/>
    </row>
    <row r="39" spans="1:21" ht="15" customHeight="1" outlineLevel="1">
      <c r="D39" s="23"/>
      <c r="M39" s="140"/>
      <c r="N39" s="137"/>
      <c r="O39" s="144">
        <v>2039</v>
      </c>
      <c r="P39" s="145">
        <f t="shared" si="0"/>
        <v>6.4412280000000264</v>
      </c>
      <c r="Q39" s="145">
        <f t="shared" si="1"/>
        <v>0</v>
      </c>
      <c r="R39" s="145">
        <f t="shared" si="2"/>
        <v>0</v>
      </c>
      <c r="S39" s="145">
        <f t="shared" si="3"/>
        <v>0</v>
      </c>
      <c r="T39" s="143">
        <f t="shared" si="4"/>
        <v>6.4412280000000264</v>
      </c>
      <c r="U39" s="140"/>
    </row>
    <row r="40" spans="1:21" ht="20.100000000000001" customHeight="1" outlineLevel="1">
      <c r="B40" s="28" t="s">
        <v>27</v>
      </c>
      <c r="M40" s="140"/>
      <c r="N40" s="137"/>
      <c r="O40" s="144">
        <v>2040</v>
      </c>
      <c r="P40" s="145">
        <f t="shared" si="0"/>
        <v>8.0515350000000332</v>
      </c>
      <c r="Q40" s="145">
        <f t="shared" si="1"/>
        <v>0</v>
      </c>
      <c r="R40" s="145">
        <f t="shared" si="2"/>
        <v>0</v>
      </c>
      <c r="S40" s="145">
        <f t="shared" si="3"/>
        <v>0</v>
      </c>
      <c r="T40" s="143">
        <f t="shared" si="4"/>
        <v>8.0515350000000332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123</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98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1"/>
      <c r="G50" s="5" t="s">
        <v>38</v>
      </c>
      <c r="J50" s="19"/>
      <c r="N50" s="9"/>
    </row>
    <row r="51" spans="4:16" s="5" customFormat="1" ht="15" customHeight="1" outlineLevel="1" thickBot="1">
      <c r="D51" s="40"/>
      <c r="F51" s="9"/>
      <c r="G51" s="233">
        <f>+F50*H44*H45/100000</f>
        <v>0</v>
      </c>
      <c r="H51" s="234"/>
      <c r="I51" s="5" t="s">
        <v>39</v>
      </c>
      <c r="J51" s="41" t="s">
        <v>40</v>
      </c>
      <c r="K51" s="38"/>
      <c r="L51" s="38"/>
      <c r="N51" s="9"/>
    </row>
    <row r="52" spans="4:16" s="5" customFormat="1" ht="15" customHeight="1" outlineLevel="1" thickBot="1">
      <c r="D52" s="38"/>
      <c r="E52" s="5" t="s">
        <v>41</v>
      </c>
      <c r="F52" s="131">
        <f>500*1000000*24*365*0.95*0.75/1000/0.45*3600/1000</f>
        <v>24966000000</v>
      </c>
      <c r="G52" s="5" t="s">
        <v>42</v>
      </c>
      <c r="J52" s="41"/>
      <c r="K52" s="38"/>
      <c r="L52" s="38"/>
      <c r="N52" s="9"/>
    </row>
    <row r="53" spans="4:16" s="5" customFormat="1" ht="15" customHeight="1" outlineLevel="1">
      <c r="D53" s="40"/>
      <c r="G53" s="233">
        <f>+F52*H45/100000</f>
        <v>644122.80000000005</v>
      </c>
      <c r="H53" s="234"/>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99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1"/>
      <c r="G58" s="43" t="s">
        <v>38</v>
      </c>
      <c r="H58" s="43"/>
      <c r="J58" s="19"/>
      <c r="N58" s="9"/>
    </row>
    <row r="59" spans="4:16" s="5" customFormat="1" ht="15" customHeight="1" outlineLevel="1" thickBot="1">
      <c r="D59" s="40"/>
      <c r="F59" s="9"/>
      <c r="G59" s="233">
        <f>+F58*H44*H45/100000</f>
        <v>0</v>
      </c>
      <c r="H59" s="234"/>
      <c r="I59" s="5" t="s">
        <v>39</v>
      </c>
      <c r="J59" s="19" t="s">
        <v>46</v>
      </c>
      <c r="K59" s="40"/>
      <c r="L59" s="40"/>
      <c r="N59" s="9"/>
    </row>
    <row r="60" spans="4:16" s="5" customFormat="1" ht="15" customHeight="1" outlineLevel="1" thickBot="1">
      <c r="D60" s="38"/>
      <c r="E60" s="5" t="s">
        <v>41</v>
      </c>
      <c r="F60" s="131">
        <f>500*1000000*24*365*0.95*0.75/1000/0.45*0.975*3600/1000</f>
        <v>24341850000</v>
      </c>
      <c r="G60" s="5" t="s">
        <v>42</v>
      </c>
      <c r="J60" s="19"/>
      <c r="N60" s="9"/>
    </row>
    <row r="61" spans="4:16" s="5" customFormat="1" ht="15" customHeight="1" outlineLevel="1">
      <c r="D61" s="40"/>
      <c r="G61" s="233">
        <f>+F60*H45/100000</f>
        <v>628019.73</v>
      </c>
      <c r="H61" s="234"/>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35">
        <f>SUM(G51,G53)-SUM(G59,G61)</f>
        <v>16103.070000000065</v>
      </c>
      <c r="G63" s="236"/>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124</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97</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125</v>
      </c>
      <c r="F77" s="57"/>
      <c r="G77" s="58">
        <f>IF(E77="","",F77/E77)</f>
        <v>0</v>
      </c>
      <c r="H77" s="59"/>
      <c r="I77" s="60">
        <f>F77-H77</f>
        <v>0</v>
      </c>
      <c r="K77" s="61">
        <f t="shared" ref="K77:K93" si="5">I77*F$63/10000</f>
        <v>0</v>
      </c>
    </row>
    <row r="78" spans="2:11" ht="15" customHeight="1" outlineLevel="1">
      <c r="D78" s="55">
        <v>2025</v>
      </c>
      <c r="E78" s="56">
        <f>E77*1.005</f>
        <v>125.62499999999999</v>
      </c>
      <c r="F78" s="57"/>
      <c r="G78" s="58">
        <f t="shared" ref="G78:G93" si="6">IF(E78="","",F78/E78)</f>
        <v>0</v>
      </c>
      <c r="H78" s="59"/>
      <c r="I78" s="60">
        <f>I77+F78-H78</f>
        <v>0</v>
      </c>
      <c r="K78" s="61">
        <f t="shared" si="5"/>
        <v>0</v>
      </c>
    </row>
    <row r="79" spans="2:11" ht="15" customHeight="1" outlineLevel="1">
      <c r="D79" s="55">
        <v>2026</v>
      </c>
      <c r="E79" s="56">
        <f t="shared" ref="E79:E93" si="7">E78*1.005</f>
        <v>126.25312499999997</v>
      </c>
      <c r="F79" s="57"/>
      <c r="G79" s="58">
        <f t="shared" si="6"/>
        <v>0</v>
      </c>
      <c r="H79" s="59"/>
      <c r="I79" s="60">
        <f t="shared" ref="I79:I92" si="8">I78+F79-H79</f>
        <v>0</v>
      </c>
      <c r="K79" s="61">
        <f t="shared" si="5"/>
        <v>0</v>
      </c>
    </row>
    <row r="80" spans="2:11" ht="15" customHeight="1" outlineLevel="1">
      <c r="D80" s="55">
        <v>2027</v>
      </c>
      <c r="E80" s="56">
        <f t="shared" si="7"/>
        <v>126.88439062499995</v>
      </c>
      <c r="F80" s="57"/>
      <c r="G80" s="58">
        <f t="shared" si="6"/>
        <v>0</v>
      </c>
      <c r="H80" s="59"/>
      <c r="I80" s="60">
        <f t="shared" si="8"/>
        <v>0</v>
      </c>
      <c r="K80" s="61">
        <f t="shared" si="5"/>
        <v>0</v>
      </c>
    </row>
    <row r="81" spans="4:14" ht="15" customHeight="1" outlineLevel="1">
      <c r="D81" s="55">
        <v>2028</v>
      </c>
      <c r="E81" s="56">
        <f t="shared" si="7"/>
        <v>127.51881257812494</v>
      </c>
      <c r="F81" s="57">
        <v>1</v>
      </c>
      <c r="G81" s="58">
        <f t="shared" si="6"/>
        <v>7.84198017361043E-3</v>
      </c>
      <c r="H81" s="59"/>
      <c r="I81" s="60">
        <f t="shared" si="8"/>
        <v>1</v>
      </c>
      <c r="K81" s="61">
        <f t="shared" si="5"/>
        <v>1.6103070000000066</v>
      </c>
    </row>
    <row r="82" spans="4:14" ht="15" customHeight="1" outlineLevel="1">
      <c r="D82" s="55">
        <v>2029</v>
      </c>
      <c r="E82" s="56">
        <f t="shared" si="7"/>
        <v>128.15640664101554</v>
      </c>
      <c r="F82" s="57"/>
      <c r="G82" s="58">
        <f t="shared" si="6"/>
        <v>0</v>
      </c>
      <c r="H82" s="59"/>
      <c r="I82" s="60">
        <f t="shared" si="8"/>
        <v>1</v>
      </c>
      <c r="K82" s="61">
        <f t="shared" si="5"/>
        <v>1.6103070000000066</v>
      </c>
    </row>
    <row r="83" spans="4:14" ht="15" customHeight="1" outlineLevel="1">
      <c r="D83" s="55">
        <v>2030</v>
      </c>
      <c r="E83" s="56">
        <f t="shared" si="7"/>
        <v>128.79718867422059</v>
      </c>
      <c r="F83" s="57"/>
      <c r="G83" s="58">
        <f t="shared" si="6"/>
        <v>0</v>
      </c>
      <c r="H83" s="59"/>
      <c r="I83" s="60">
        <f t="shared" si="8"/>
        <v>1</v>
      </c>
      <c r="K83" s="61">
        <f t="shared" si="5"/>
        <v>1.6103070000000066</v>
      </c>
    </row>
    <row r="84" spans="4:14" ht="15" customHeight="1" outlineLevel="1">
      <c r="D84" s="55">
        <v>2031</v>
      </c>
      <c r="E84" s="56">
        <f t="shared" si="7"/>
        <v>129.44117461759168</v>
      </c>
      <c r="F84" s="57">
        <v>1</v>
      </c>
      <c r="G84" s="58">
        <f t="shared" si="6"/>
        <v>7.7255170385644445E-3</v>
      </c>
      <c r="H84" s="59"/>
      <c r="I84" s="60">
        <f t="shared" si="8"/>
        <v>2</v>
      </c>
      <c r="K84" s="61">
        <f t="shared" si="5"/>
        <v>3.2206140000000132</v>
      </c>
    </row>
    <row r="85" spans="4:14" ht="15" customHeight="1" outlineLevel="1">
      <c r="D85" s="55">
        <v>2032</v>
      </c>
      <c r="E85" s="56">
        <f t="shared" si="7"/>
        <v>130.08838049067964</v>
      </c>
      <c r="F85" s="57"/>
      <c r="G85" s="58">
        <f t="shared" si="6"/>
        <v>0</v>
      </c>
      <c r="H85" s="59"/>
      <c r="I85" s="60">
        <f t="shared" si="8"/>
        <v>2</v>
      </c>
      <c r="K85" s="61">
        <f t="shared" si="5"/>
        <v>3.2206140000000132</v>
      </c>
    </row>
    <row r="86" spans="4:14" ht="15" customHeight="1" outlineLevel="1">
      <c r="D86" s="55">
        <v>2033</v>
      </c>
      <c r="E86" s="56">
        <f t="shared" si="7"/>
        <v>130.73882239313303</v>
      </c>
      <c r="F86" s="57"/>
      <c r="G86" s="58">
        <f t="shared" si="6"/>
        <v>0</v>
      </c>
      <c r="H86" s="59"/>
      <c r="I86" s="60">
        <f t="shared" si="8"/>
        <v>2</v>
      </c>
      <c r="K86" s="61">
        <f t="shared" si="5"/>
        <v>3.2206140000000132</v>
      </c>
    </row>
    <row r="87" spans="4:14" ht="15" customHeight="1" outlineLevel="1">
      <c r="D87" s="55">
        <v>2034</v>
      </c>
      <c r="E87" s="56">
        <f t="shared" si="7"/>
        <v>131.39251650509868</v>
      </c>
      <c r="F87" s="57">
        <v>1</v>
      </c>
      <c r="G87" s="58">
        <f t="shared" si="6"/>
        <v>7.6107835255685586E-3</v>
      </c>
      <c r="H87" s="59"/>
      <c r="I87" s="60">
        <f t="shared" si="8"/>
        <v>3</v>
      </c>
      <c r="K87" s="61">
        <f t="shared" si="5"/>
        <v>4.8309210000000196</v>
      </c>
    </row>
    <row r="88" spans="4:14" ht="15" customHeight="1" outlineLevel="1">
      <c r="D88" s="55">
        <v>2035</v>
      </c>
      <c r="E88" s="56">
        <f t="shared" si="7"/>
        <v>132.04947908762415</v>
      </c>
      <c r="F88" s="57"/>
      <c r="G88" s="58">
        <f t="shared" si="6"/>
        <v>0</v>
      </c>
      <c r="H88" s="59"/>
      <c r="I88" s="60">
        <f t="shared" si="8"/>
        <v>3</v>
      </c>
      <c r="K88" s="61">
        <f t="shared" si="5"/>
        <v>4.8309210000000196</v>
      </c>
    </row>
    <row r="89" spans="4:14" ht="15" customHeight="1" outlineLevel="1">
      <c r="D89" s="55">
        <v>2036</v>
      </c>
      <c r="E89" s="56">
        <f t="shared" si="7"/>
        <v>132.70972648306227</v>
      </c>
      <c r="F89" s="57"/>
      <c r="G89" s="58">
        <f t="shared" si="6"/>
        <v>0</v>
      </c>
      <c r="H89" s="59"/>
      <c r="I89" s="60">
        <f t="shared" si="8"/>
        <v>3</v>
      </c>
      <c r="K89" s="61">
        <f t="shared" si="5"/>
        <v>4.8309210000000196</v>
      </c>
    </row>
    <row r="90" spans="4:14" ht="15" customHeight="1" outlineLevel="1">
      <c r="D90" s="55">
        <v>2037</v>
      </c>
      <c r="E90" s="56">
        <f t="shared" si="7"/>
        <v>133.37327511547755</v>
      </c>
      <c r="F90" s="57">
        <v>1</v>
      </c>
      <c r="G90" s="58">
        <f t="shared" si="6"/>
        <v>7.4977539475894082E-3</v>
      </c>
      <c r="H90" s="59"/>
      <c r="I90" s="60">
        <f t="shared" si="8"/>
        <v>4</v>
      </c>
      <c r="K90" s="61">
        <f t="shared" si="5"/>
        <v>6.4412280000000264</v>
      </c>
    </row>
    <row r="91" spans="4:14" ht="15" customHeight="1" outlineLevel="1">
      <c r="D91" s="55">
        <v>2038</v>
      </c>
      <c r="E91" s="56">
        <f t="shared" si="7"/>
        <v>134.04014149105492</v>
      </c>
      <c r="F91" s="57"/>
      <c r="G91" s="58">
        <f t="shared" si="6"/>
        <v>0</v>
      </c>
      <c r="H91" s="59"/>
      <c r="I91" s="60">
        <f t="shared" si="8"/>
        <v>4</v>
      </c>
      <c r="K91" s="61">
        <f t="shared" si="5"/>
        <v>6.4412280000000264</v>
      </c>
    </row>
    <row r="92" spans="4:14" ht="15" customHeight="1" outlineLevel="1">
      <c r="D92" s="55">
        <v>2039</v>
      </c>
      <c r="E92" s="56">
        <f t="shared" si="7"/>
        <v>134.71034219851018</v>
      </c>
      <c r="F92" s="57"/>
      <c r="G92" s="58">
        <f t="shared" si="6"/>
        <v>0</v>
      </c>
      <c r="H92" s="59"/>
      <c r="I92" s="60">
        <f t="shared" si="8"/>
        <v>4</v>
      </c>
      <c r="K92" s="61">
        <f t="shared" si="5"/>
        <v>6.4412280000000264</v>
      </c>
    </row>
    <row r="93" spans="4:14" ht="15" customHeight="1" outlineLevel="1" thickBot="1">
      <c r="D93" s="55">
        <v>2040</v>
      </c>
      <c r="E93" s="62">
        <f t="shared" si="7"/>
        <v>135.38389390950272</v>
      </c>
      <c r="F93" s="63">
        <v>1</v>
      </c>
      <c r="G93" s="64">
        <f t="shared" si="6"/>
        <v>7.3864029990779361E-3</v>
      </c>
      <c r="H93" s="65"/>
      <c r="I93" s="66">
        <f>I92+F93-H93</f>
        <v>5</v>
      </c>
      <c r="K93" s="67">
        <f t="shared" si="5"/>
        <v>8.0515350000000332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62E9F92-6619-487E-A4AB-17FAD1A5BC8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574B-58F0-42F1-9EF7-6C5466AE681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10.02506855575224</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11.204338</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125</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102</v>
      </c>
      <c r="G23" s="183"/>
      <c r="H23" s="184"/>
      <c r="I23" s="1"/>
      <c r="M23" s="140"/>
      <c r="N23" s="137"/>
      <c r="O23" s="141"/>
      <c r="P23" s="142" t="str">
        <f>IF(F23="","",F23)</f>
        <v>自動車部材のCFRPへの置き換えによる車両の軽量化</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10.02506855575224</v>
      </c>
      <c r="G26" s="204"/>
      <c r="H26" s="29" t="s">
        <v>13</v>
      </c>
      <c r="I26" s="1"/>
      <c r="M26" s="140"/>
      <c r="N26" s="137"/>
      <c r="O26" s="144">
        <v>2026</v>
      </c>
      <c r="P26" s="145">
        <f t="shared" si="0"/>
        <v>0.11794198300884989</v>
      </c>
      <c r="Q26" s="145">
        <f t="shared" si="1"/>
        <v>0</v>
      </c>
      <c r="R26" s="145">
        <f t="shared" si="2"/>
        <v>0</v>
      </c>
      <c r="S26" s="145">
        <f t="shared" si="3"/>
        <v>0</v>
      </c>
      <c r="T26" s="143">
        <f t="shared" si="4"/>
        <v>0.11794198300884989</v>
      </c>
      <c r="U26" s="140"/>
    </row>
    <row r="27" spans="2:21" ht="15" customHeight="1" outlineLevel="1">
      <c r="C27" s="5"/>
      <c r="D27" s="5"/>
      <c r="E27" s="5" t="s">
        <v>20</v>
      </c>
      <c r="F27" s="30"/>
      <c r="G27" s="30"/>
      <c r="H27" s="5"/>
      <c r="I27" s="1"/>
      <c r="M27" s="140"/>
      <c r="N27" s="137"/>
      <c r="O27" s="144">
        <v>2027</v>
      </c>
      <c r="P27" s="145">
        <f t="shared" si="0"/>
        <v>0.35382594902654962</v>
      </c>
      <c r="Q27" s="145">
        <f t="shared" si="1"/>
        <v>0</v>
      </c>
      <c r="R27" s="145">
        <f t="shared" si="2"/>
        <v>0</v>
      </c>
      <c r="S27" s="145">
        <f t="shared" si="3"/>
        <v>0</v>
      </c>
      <c r="T27" s="143">
        <f t="shared" si="4"/>
        <v>0.35382594902654962</v>
      </c>
      <c r="U27" s="140"/>
    </row>
    <row r="28" spans="2:21" ht="15" customHeight="1" outlineLevel="1">
      <c r="C28" s="5"/>
      <c r="D28" s="5"/>
      <c r="E28" s="31"/>
      <c r="F28" s="5" t="s">
        <v>12</v>
      </c>
      <c r="G28" s="32">
        <f>SUM(G51,G53)*I93/10000</f>
        <v>278.47412654867259</v>
      </c>
      <c r="H28" s="29" t="s">
        <v>13</v>
      </c>
      <c r="I28" s="1"/>
      <c r="M28" s="140"/>
      <c r="N28" s="137"/>
      <c r="O28" s="144">
        <v>2028</v>
      </c>
      <c r="P28" s="145">
        <f t="shared" si="0"/>
        <v>0.70765189805309925</v>
      </c>
      <c r="Q28" s="145">
        <f t="shared" si="1"/>
        <v>0</v>
      </c>
      <c r="R28" s="145">
        <f t="shared" si="2"/>
        <v>0</v>
      </c>
      <c r="S28" s="145">
        <f t="shared" si="3"/>
        <v>0</v>
      </c>
      <c r="T28" s="143">
        <f t="shared" si="4"/>
        <v>0.70765189805309925</v>
      </c>
      <c r="U28" s="140"/>
    </row>
    <row r="29" spans="2:21" ht="15" customHeight="1" outlineLevel="1">
      <c r="C29" s="5"/>
      <c r="D29" s="5"/>
      <c r="E29" s="5" t="s">
        <v>21</v>
      </c>
      <c r="F29" s="5"/>
      <c r="G29" s="30"/>
      <c r="H29" s="5"/>
      <c r="I29" s="1"/>
      <c r="M29" s="140"/>
      <c r="N29" s="137"/>
      <c r="O29" s="144">
        <v>2029</v>
      </c>
      <c r="P29" s="145">
        <f t="shared" si="0"/>
        <v>1.1794198300884988</v>
      </c>
      <c r="Q29" s="145">
        <f t="shared" si="1"/>
        <v>0</v>
      </c>
      <c r="R29" s="145">
        <f t="shared" si="2"/>
        <v>0</v>
      </c>
      <c r="S29" s="145">
        <f t="shared" si="3"/>
        <v>0</v>
      </c>
      <c r="T29" s="143">
        <f t="shared" si="4"/>
        <v>1.1794198300884988</v>
      </c>
      <c r="U29" s="140"/>
    </row>
    <row r="30" spans="2:21" ht="15" customHeight="1" outlineLevel="1">
      <c r="C30" s="5"/>
      <c r="D30" s="31"/>
      <c r="E30" s="5"/>
      <c r="F30" s="5" t="s">
        <v>12</v>
      </c>
      <c r="G30" s="32">
        <f>SUM(G59,G61)*I93/10000</f>
        <v>268.4490579929203</v>
      </c>
      <c r="H30" s="29" t="s">
        <v>13</v>
      </c>
      <c r="I30" s="1"/>
      <c r="M30" s="140"/>
      <c r="N30" s="137"/>
      <c r="O30" s="144">
        <v>2030</v>
      </c>
      <c r="P30" s="145">
        <f t="shared" si="0"/>
        <v>1.7691297451327481</v>
      </c>
      <c r="Q30" s="145">
        <f t="shared" si="1"/>
        <v>0</v>
      </c>
      <c r="R30" s="145">
        <f t="shared" si="2"/>
        <v>0</v>
      </c>
      <c r="S30" s="145">
        <f t="shared" si="3"/>
        <v>0</v>
      </c>
      <c r="T30" s="143">
        <f t="shared" si="4"/>
        <v>1.7691297451327481</v>
      </c>
      <c r="U30" s="140"/>
    </row>
    <row r="31" spans="2:21" ht="15" customHeight="1" outlineLevel="1" thickBot="1">
      <c r="C31" s="31"/>
      <c r="D31" s="5"/>
      <c r="E31" s="5"/>
      <c r="F31" s="30"/>
      <c r="G31" s="30"/>
      <c r="H31" s="5"/>
      <c r="I31" s="1"/>
      <c r="M31" s="140"/>
      <c r="N31" s="137"/>
      <c r="O31" s="144">
        <v>2031</v>
      </c>
      <c r="P31" s="145">
        <f t="shared" si="0"/>
        <v>2.4178106516814228</v>
      </c>
      <c r="Q31" s="145">
        <f t="shared" si="1"/>
        <v>0</v>
      </c>
      <c r="R31" s="145">
        <f t="shared" si="2"/>
        <v>0</v>
      </c>
      <c r="S31" s="145">
        <f t="shared" si="3"/>
        <v>0</v>
      </c>
      <c r="T31" s="143">
        <f t="shared" si="4"/>
        <v>2.4178106516814228</v>
      </c>
      <c r="U31" s="140"/>
    </row>
    <row r="32" spans="2:21" ht="15" customHeight="1" outlineLevel="1" thickBot="1">
      <c r="C32" s="33" t="s">
        <v>22</v>
      </c>
      <c r="D32" s="31"/>
      <c r="E32" s="5"/>
      <c r="F32" s="5"/>
      <c r="G32" s="33" t="s">
        <v>23</v>
      </c>
      <c r="H32" s="34">
        <v>2026</v>
      </c>
      <c r="I32" s="4" t="s">
        <v>24</v>
      </c>
      <c r="M32" s="140"/>
      <c r="N32" s="137"/>
      <c r="O32" s="144">
        <v>2032</v>
      </c>
      <c r="P32" s="145">
        <f t="shared" si="0"/>
        <v>3.1254625497345221</v>
      </c>
      <c r="Q32" s="145">
        <f t="shared" si="1"/>
        <v>0</v>
      </c>
      <c r="R32" s="145">
        <f t="shared" si="2"/>
        <v>0</v>
      </c>
      <c r="S32" s="145">
        <f t="shared" si="3"/>
        <v>0</v>
      </c>
      <c r="T32" s="143">
        <f t="shared" si="4"/>
        <v>3.1254625497345221</v>
      </c>
      <c r="U32" s="140"/>
    </row>
    <row r="33" spans="1:21" ht="20.100000000000001" customHeight="1" outlineLevel="1" thickBot="1">
      <c r="C33" s="31"/>
      <c r="D33" s="33" t="s">
        <v>12</v>
      </c>
      <c r="E33" s="5"/>
      <c r="F33" s="203">
        <f>F63*VLOOKUP(H32+3,D77:I93,6,FALSE)/10000</f>
        <v>1.1794198300884988</v>
      </c>
      <c r="G33" s="204"/>
      <c r="H33" s="29" t="s">
        <v>13</v>
      </c>
      <c r="M33" s="140"/>
      <c r="N33" s="137"/>
      <c r="O33" s="144">
        <v>2033</v>
      </c>
      <c r="P33" s="145">
        <f t="shared" si="0"/>
        <v>3.8920854392920461</v>
      </c>
      <c r="Q33" s="145">
        <f t="shared" si="1"/>
        <v>0</v>
      </c>
      <c r="R33" s="145">
        <f t="shared" si="2"/>
        <v>0</v>
      </c>
      <c r="S33" s="145">
        <f t="shared" si="3"/>
        <v>0</v>
      </c>
      <c r="T33" s="143">
        <f t="shared" si="4"/>
        <v>3.8920854392920461</v>
      </c>
      <c r="U33" s="140"/>
    </row>
    <row r="34" spans="1:21" ht="20.100000000000001" customHeight="1" outlineLevel="1">
      <c r="C34" s="31"/>
      <c r="D34" s="33"/>
      <c r="E34" s="5"/>
      <c r="F34" s="35"/>
      <c r="G34" s="35"/>
      <c r="H34" s="5"/>
      <c r="M34" s="140"/>
      <c r="N34" s="137"/>
      <c r="O34" s="144">
        <v>2034</v>
      </c>
      <c r="P34" s="145">
        <f t="shared" si="0"/>
        <v>4.7176793203539953</v>
      </c>
      <c r="Q34" s="145">
        <f t="shared" si="1"/>
        <v>0</v>
      </c>
      <c r="R34" s="145">
        <f t="shared" si="2"/>
        <v>0</v>
      </c>
      <c r="S34" s="145">
        <f t="shared" si="3"/>
        <v>0</v>
      </c>
      <c r="T34" s="143">
        <f t="shared" si="4"/>
        <v>4.7176793203539953</v>
      </c>
      <c r="U34" s="140"/>
    </row>
    <row r="35" spans="1:21" ht="20.100000000000001" customHeight="1" outlineLevel="1" thickBot="1">
      <c r="C35" s="5" t="s">
        <v>25</v>
      </c>
      <c r="D35" s="5"/>
      <c r="E35" s="5"/>
      <c r="F35" s="5"/>
      <c r="G35" s="5"/>
      <c r="H35" s="5"/>
      <c r="M35" s="140"/>
      <c r="N35" s="137"/>
      <c r="O35" s="144">
        <v>2035</v>
      </c>
      <c r="P35" s="145">
        <f t="shared" si="0"/>
        <v>5.6022441929203692</v>
      </c>
      <c r="Q35" s="145">
        <f t="shared" si="1"/>
        <v>0</v>
      </c>
      <c r="R35" s="145">
        <f t="shared" si="2"/>
        <v>0</v>
      </c>
      <c r="S35" s="145">
        <f t="shared" si="3"/>
        <v>0</v>
      </c>
      <c r="T35" s="143">
        <f t="shared" si="4"/>
        <v>5.6022441929203692</v>
      </c>
      <c r="U35" s="140"/>
    </row>
    <row r="36" spans="1:21" ht="20.100000000000001" customHeight="1" outlineLevel="1" thickBot="1">
      <c r="C36" s="5"/>
      <c r="D36" s="5" t="s">
        <v>12</v>
      </c>
      <c r="E36" s="5"/>
      <c r="F36" s="166">
        <f>0.013714*4085000*2/10000</f>
        <v>11.204338</v>
      </c>
      <c r="G36" s="167"/>
      <c r="H36" s="5" t="s">
        <v>13</v>
      </c>
      <c r="M36" s="140"/>
      <c r="N36" s="137"/>
      <c r="O36" s="144">
        <v>2036</v>
      </c>
      <c r="P36" s="145">
        <f t="shared" si="0"/>
        <v>6.4868090654867432</v>
      </c>
      <c r="Q36" s="145">
        <f t="shared" si="1"/>
        <v>0</v>
      </c>
      <c r="R36" s="145">
        <f t="shared" si="2"/>
        <v>0</v>
      </c>
      <c r="S36" s="145">
        <f t="shared" si="3"/>
        <v>0</v>
      </c>
      <c r="T36" s="143">
        <f t="shared" si="4"/>
        <v>6.4868090654867432</v>
      </c>
      <c r="U36" s="140"/>
    </row>
    <row r="37" spans="1:21" ht="9.9499999999999993" customHeight="1" outlineLevel="1" thickBot="1">
      <c r="C37" s="5"/>
      <c r="D37" s="5"/>
      <c r="E37" s="5"/>
      <c r="F37" s="5"/>
      <c r="G37" s="5"/>
      <c r="H37" s="5"/>
      <c r="M37" s="140"/>
      <c r="N37" s="137"/>
      <c r="O37" s="144">
        <v>2037</v>
      </c>
      <c r="P37" s="145">
        <f t="shared" si="0"/>
        <v>7.3713739380531171</v>
      </c>
      <c r="Q37" s="145">
        <f t="shared" si="1"/>
        <v>0</v>
      </c>
      <c r="R37" s="145">
        <f t="shared" si="2"/>
        <v>0</v>
      </c>
      <c r="S37" s="145">
        <f t="shared" si="3"/>
        <v>0</v>
      </c>
      <c r="T37" s="143">
        <f t="shared" si="4"/>
        <v>7.3713739380531171</v>
      </c>
      <c r="U37" s="140"/>
    </row>
    <row r="38" spans="1:21" ht="52.5" customHeight="1" outlineLevel="1" thickBot="1">
      <c r="C38" s="31"/>
      <c r="D38" s="33" t="s">
        <v>26</v>
      </c>
      <c r="E38" s="5"/>
      <c r="F38" s="168" t="s">
        <v>103</v>
      </c>
      <c r="G38" s="169"/>
      <c r="H38" s="169"/>
      <c r="I38" s="169"/>
      <c r="J38" s="169"/>
      <c r="K38" s="170"/>
      <c r="M38" s="140"/>
      <c r="N38" s="137"/>
      <c r="O38" s="144">
        <v>2038</v>
      </c>
      <c r="P38" s="145">
        <f t="shared" si="0"/>
        <v>8.255938810619492</v>
      </c>
      <c r="Q38" s="145">
        <f t="shared" si="1"/>
        <v>0</v>
      </c>
      <c r="R38" s="145">
        <f t="shared" si="2"/>
        <v>0</v>
      </c>
      <c r="S38" s="145">
        <f t="shared" si="3"/>
        <v>0</v>
      </c>
      <c r="T38" s="143">
        <f t="shared" si="4"/>
        <v>8.255938810619492</v>
      </c>
      <c r="U38" s="140"/>
    </row>
    <row r="39" spans="1:21" ht="15" customHeight="1" outlineLevel="1">
      <c r="D39" s="23"/>
      <c r="M39" s="140"/>
      <c r="N39" s="137"/>
      <c r="O39" s="144">
        <v>2039</v>
      </c>
      <c r="P39" s="145">
        <f t="shared" si="0"/>
        <v>9.1405036831858659</v>
      </c>
      <c r="Q39" s="145">
        <f t="shared" si="1"/>
        <v>0</v>
      </c>
      <c r="R39" s="145">
        <f t="shared" si="2"/>
        <v>0</v>
      </c>
      <c r="S39" s="145">
        <f t="shared" si="3"/>
        <v>0</v>
      </c>
      <c r="T39" s="143">
        <f t="shared" si="4"/>
        <v>9.1405036831858659</v>
      </c>
      <c r="U39" s="140"/>
    </row>
    <row r="40" spans="1:21" ht="20.100000000000001" customHeight="1" outlineLevel="1">
      <c r="B40" s="28" t="s">
        <v>27</v>
      </c>
      <c r="M40" s="140"/>
      <c r="N40" s="137"/>
      <c r="O40" s="144">
        <v>2040</v>
      </c>
      <c r="P40" s="145">
        <f t="shared" si="0"/>
        <v>10.02506855575224</v>
      </c>
      <c r="Q40" s="145">
        <f t="shared" si="1"/>
        <v>0</v>
      </c>
      <c r="R40" s="145">
        <f t="shared" si="2"/>
        <v>0</v>
      </c>
      <c r="S40" s="145">
        <f t="shared" si="3"/>
        <v>0</v>
      </c>
      <c r="T40" s="143">
        <f t="shared" si="4"/>
        <v>10.02506855575224</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126</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127</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2">
        <f>10000/22.6*33.37</f>
        <v>14765.486725663715</v>
      </c>
      <c r="G52" s="5" t="s">
        <v>42</v>
      </c>
      <c r="J52" s="41"/>
      <c r="K52" s="38"/>
      <c r="L52" s="38"/>
      <c r="N52" s="9"/>
    </row>
    <row r="53" spans="4:16" s="5" customFormat="1" ht="15" customHeight="1" outlineLevel="1">
      <c r="D53" s="40"/>
      <c r="G53" s="185">
        <f>+F52*H45/100000</f>
        <v>0.38094955752212389</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121</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3">
        <f>F52*0.964</f>
        <v>14233.929203539821</v>
      </c>
      <c r="G60" s="5" t="s">
        <v>42</v>
      </c>
      <c r="J60" s="19"/>
      <c r="N60" s="9"/>
    </row>
    <row r="61" spans="4:16" s="5" customFormat="1" ht="15" customHeight="1" outlineLevel="1">
      <c r="D61" s="40"/>
      <c r="G61" s="185">
        <f>+F60*H45/100000</f>
        <v>0.3672353734513274</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1.3714184070796498E-2</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128</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161</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4300000</v>
      </c>
      <c r="F77" s="57"/>
      <c r="G77" s="58">
        <f>IF(E77="","",F77/E77)</f>
        <v>0</v>
      </c>
      <c r="H77" s="59"/>
      <c r="I77" s="60">
        <f>F77-H77</f>
        <v>0</v>
      </c>
      <c r="K77" s="61">
        <f t="shared" ref="K77:K93" si="5">I77*F$63/10000</f>
        <v>0</v>
      </c>
    </row>
    <row r="78" spans="2:11" ht="15" customHeight="1" outlineLevel="1">
      <c r="D78" s="55">
        <v>2025</v>
      </c>
      <c r="E78" s="56">
        <v>4300000</v>
      </c>
      <c r="F78" s="57"/>
      <c r="G78" s="58">
        <f t="shared" ref="G78:G93" si="6">IF(E78="","",F78/E78)</f>
        <v>0</v>
      </c>
      <c r="H78" s="59"/>
      <c r="I78" s="60">
        <f>I77+F78-H78</f>
        <v>0</v>
      </c>
      <c r="K78" s="61">
        <f t="shared" si="5"/>
        <v>0</v>
      </c>
    </row>
    <row r="79" spans="2:11" ht="15" customHeight="1" outlineLevel="1">
      <c r="D79" s="55">
        <v>2026</v>
      </c>
      <c r="E79" s="56">
        <v>4300000</v>
      </c>
      <c r="F79" s="57">
        <f>E79*0.02</f>
        <v>86000</v>
      </c>
      <c r="G79" s="58">
        <f t="shared" si="6"/>
        <v>0.02</v>
      </c>
      <c r="H79" s="59"/>
      <c r="I79" s="60">
        <f t="shared" ref="I79:I92" si="7">I78+F79-H79</f>
        <v>86000</v>
      </c>
      <c r="K79" s="61">
        <f t="shared" si="5"/>
        <v>0.11794198300884989</v>
      </c>
    </row>
    <row r="80" spans="2:11" ht="15" customHeight="1" outlineLevel="1">
      <c r="D80" s="55">
        <v>2027</v>
      </c>
      <c r="E80" s="56">
        <v>4300000</v>
      </c>
      <c r="F80" s="57">
        <f>E80*0.04</f>
        <v>172000</v>
      </c>
      <c r="G80" s="58">
        <f t="shared" si="6"/>
        <v>0.04</v>
      </c>
      <c r="H80" s="59"/>
      <c r="I80" s="60">
        <f t="shared" si="7"/>
        <v>258000</v>
      </c>
      <c r="K80" s="61">
        <f t="shared" si="5"/>
        <v>0.35382594902654962</v>
      </c>
    </row>
    <row r="81" spans="4:14" ht="15" customHeight="1" outlineLevel="1">
      <c r="D81" s="55">
        <v>2028</v>
      </c>
      <c r="E81" s="56">
        <v>4300000</v>
      </c>
      <c r="F81" s="57">
        <f>E81*0.06</f>
        <v>258000</v>
      </c>
      <c r="G81" s="58">
        <f t="shared" si="6"/>
        <v>0.06</v>
      </c>
      <c r="H81" s="59"/>
      <c r="I81" s="60">
        <f t="shared" si="7"/>
        <v>516000</v>
      </c>
      <c r="K81" s="61">
        <f t="shared" si="5"/>
        <v>0.70765189805309925</v>
      </c>
    </row>
    <row r="82" spans="4:14" ht="15" customHeight="1" outlineLevel="1">
      <c r="D82" s="55">
        <v>2029</v>
      </c>
      <c r="E82" s="56">
        <v>4300000</v>
      </c>
      <c r="F82" s="57">
        <f>E82*0.08</f>
        <v>344000</v>
      </c>
      <c r="G82" s="58">
        <f t="shared" si="6"/>
        <v>0.08</v>
      </c>
      <c r="H82" s="59"/>
      <c r="I82" s="60">
        <f t="shared" si="7"/>
        <v>860000</v>
      </c>
      <c r="K82" s="61">
        <f t="shared" si="5"/>
        <v>1.1794198300884988</v>
      </c>
    </row>
    <row r="83" spans="4:14" ht="15" customHeight="1" outlineLevel="1">
      <c r="D83" s="55">
        <v>2030</v>
      </c>
      <c r="E83" s="56">
        <v>4300000</v>
      </c>
      <c r="F83" s="57">
        <f>E83*0.1</f>
        <v>430000</v>
      </c>
      <c r="G83" s="58">
        <f t="shared" si="6"/>
        <v>0.1</v>
      </c>
      <c r="H83" s="59"/>
      <c r="I83" s="60">
        <f t="shared" si="7"/>
        <v>1290000</v>
      </c>
      <c r="K83" s="61">
        <f t="shared" si="5"/>
        <v>1.7691297451327481</v>
      </c>
    </row>
    <row r="84" spans="4:14" ht="15" customHeight="1" outlineLevel="1">
      <c r="D84" s="55">
        <v>2031</v>
      </c>
      <c r="E84" s="56">
        <v>4300000</v>
      </c>
      <c r="F84" s="57">
        <f>E84*0.11</f>
        <v>473000</v>
      </c>
      <c r="G84" s="58">
        <f t="shared" si="6"/>
        <v>0.11</v>
      </c>
      <c r="H84" s="59"/>
      <c r="I84" s="60">
        <f t="shared" si="7"/>
        <v>1763000</v>
      </c>
      <c r="K84" s="61">
        <f t="shared" si="5"/>
        <v>2.4178106516814228</v>
      </c>
    </row>
    <row r="85" spans="4:14" ht="15" customHeight="1" outlineLevel="1">
      <c r="D85" s="55">
        <v>2032</v>
      </c>
      <c r="E85" s="56">
        <v>4300000</v>
      </c>
      <c r="F85" s="57">
        <f>E85*0.12</f>
        <v>516000</v>
      </c>
      <c r="G85" s="58">
        <f t="shared" si="6"/>
        <v>0.12</v>
      </c>
      <c r="H85" s="59"/>
      <c r="I85" s="60">
        <f t="shared" si="7"/>
        <v>2279000</v>
      </c>
      <c r="K85" s="61">
        <f t="shared" si="5"/>
        <v>3.1254625497345221</v>
      </c>
    </row>
    <row r="86" spans="4:14" ht="15" customHeight="1" outlineLevel="1">
      <c r="D86" s="55">
        <v>2033</v>
      </c>
      <c r="E86" s="56">
        <v>4300000</v>
      </c>
      <c r="F86" s="57">
        <f>E86*0.13</f>
        <v>559000</v>
      </c>
      <c r="G86" s="58">
        <f t="shared" si="6"/>
        <v>0.13</v>
      </c>
      <c r="H86" s="59"/>
      <c r="I86" s="60">
        <f t="shared" si="7"/>
        <v>2838000</v>
      </c>
      <c r="K86" s="61">
        <f t="shared" si="5"/>
        <v>3.8920854392920461</v>
      </c>
    </row>
    <row r="87" spans="4:14" ht="15" customHeight="1" outlineLevel="1">
      <c r="D87" s="55">
        <v>2034</v>
      </c>
      <c r="E87" s="56">
        <v>4300000</v>
      </c>
      <c r="F87" s="57">
        <f>E87*0.14</f>
        <v>602000</v>
      </c>
      <c r="G87" s="58">
        <f>IF(E87="","",F87/E87)</f>
        <v>0.14000000000000001</v>
      </c>
      <c r="H87" s="59"/>
      <c r="I87" s="60">
        <f>I86+F87-H87</f>
        <v>3440000</v>
      </c>
      <c r="K87" s="61">
        <f t="shared" si="5"/>
        <v>4.7176793203539953</v>
      </c>
    </row>
    <row r="88" spans="4:14" ht="15" customHeight="1" outlineLevel="1">
      <c r="D88" s="55">
        <v>2035</v>
      </c>
      <c r="E88" s="56">
        <v>4300000</v>
      </c>
      <c r="F88" s="57">
        <f>E88*0.15</f>
        <v>645000</v>
      </c>
      <c r="G88" s="58">
        <f>IF(E88="","",F88/E88)</f>
        <v>0.15</v>
      </c>
      <c r="H88" s="59"/>
      <c r="I88" s="60">
        <f>I87+F88-H88</f>
        <v>4085000</v>
      </c>
      <c r="K88" s="61">
        <f t="shared" si="5"/>
        <v>5.6022441929203692</v>
      </c>
    </row>
    <row r="89" spans="4:14" ht="15" customHeight="1" outlineLevel="1">
      <c r="D89" s="55">
        <v>2036</v>
      </c>
      <c r="E89" s="56">
        <v>4300000</v>
      </c>
      <c r="F89" s="57">
        <f t="shared" ref="F89:F93" si="8">E89*0.15</f>
        <v>645000</v>
      </c>
      <c r="G89" s="58">
        <f t="shared" si="6"/>
        <v>0.15</v>
      </c>
      <c r="H89" s="59"/>
      <c r="I89" s="60">
        <f t="shared" si="7"/>
        <v>4730000</v>
      </c>
      <c r="K89" s="61">
        <f t="shared" si="5"/>
        <v>6.4868090654867432</v>
      </c>
    </row>
    <row r="90" spans="4:14" ht="15" customHeight="1" outlineLevel="1">
      <c r="D90" s="55">
        <v>2037</v>
      </c>
      <c r="E90" s="56">
        <v>4300000</v>
      </c>
      <c r="F90" s="57">
        <f t="shared" si="8"/>
        <v>645000</v>
      </c>
      <c r="G90" s="58">
        <f t="shared" si="6"/>
        <v>0.15</v>
      </c>
      <c r="H90" s="59"/>
      <c r="I90" s="60">
        <f t="shared" si="7"/>
        <v>5375000</v>
      </c>
      <c r="K90" s="61">
        <f t="shared" si="5"/>
        <v>7.3713739380531171</v>
      </c>
    </row>
    <row r="91" spans="4:14" ht="15" customHeight="1" outlineLevel="1">
      <c r="D91" s="55">
        <v>2038</v>
      </c>
      <c r="E91" s="56">
        <v>4300000</v>
      </c>
      <c r="F91" s="57">
        <f t="shared" si="8"/>
        <v>645000</v>
      </c>
      <c r="G91" s="58">
        <f t="shared" si="6"/>
        <v>0.15</v>
      </c>
      <c r="H91" s="59"/>
      <c r="I91" s="60">
        <f t="shared" si="7"/>
        <v>6020000</v>
      </c>
      <c r="K91" s="61">
        <f t="shared" si="5"/>
        <v>8.255938810619492</v>
      </c>
    </row>
    <row r="92" spans="4:14" ht="15" customHeight="1" outlineLevel="1">
      <c r="D92" s="55">
        <v>2039</v>
      </c>
      <c r="E92" s="56">
        <v>4300000</v>
      </c>
      <c r="F92" s="57">
        <f t="shared" si="8"/>
        <v>645000</v>
      </c>
      <c r="G92" s="58">
        <f t="shared" si="6"/>
        <v>0.15</v>
      </c>
      <c r="H92" s="59"/>
      <c r="I92" s="60">
        <f t="shared" si="7"/>
        <v>6665000</v>
      </c>
      <c r="K92" s="61">
        <f t="shared" si="5"/>
        <v>9.1405036831858659</v>
      </c>
    </row>
    <row r="93" spans="4:14" ht="15" customHeight="1" outlineLevel="1" thickBot="1">
      <c r="D93" s="55">
        <v>2040</v>
      </c>
      <c r="E93" s="62">
        <v>4300000</v>
      </c>
      <c r="F93" s="63">
        <f t="shared" si="8"/>
        <v>645000</v>
      </c>
      <c r="G93" s="64">
        <f t="shared" si="6"/>
        <v>0.15</v>
      </c>
      <c r="H93" s="65"/>
      <c r="I93" s="66">
        <f>I92+F93-H93</f>
        <v>7310000</v>
      </c>
      <c r="K93" s="67">
        <f t="shared" si="5"/>
        <v>10.02506855575224</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18137AA1-1932-4FDC-806E-A71662FED792}">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5B4B-CA0E-4FA2-B957-50057EC9D530}">
  <dimension ref="A1"/>
  <sheetViews>
    <sheetView zoomScaleNormal="100" workbookViewId="0"/>
  </sheetViews>
  <sheetFormatPr defaultRowHeight="18.75"/>
  <sheetData>
    <row r="1" spans="1:1">
      <c r="A1" t="s">
        <v>150</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9372-6492-4339-89EF-6B01535DAD8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12.934945831680006</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t="str">
        <f>IF(F36+F112+F188+F260=0,"-",F36+F112+F188+F260)</f>
        <v>-</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162</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106</v>
      </c>
      <c r="G23" s="183"/>
      <c r="H23" s="184"/>
      <c r="I23" s="1"/>
      <c r="M23" s="140"/>
      <c r="N23" s="137"/>
      <c r="O23" s="141"/>
      <c r="P23" s="142" t="str">
        <f>IF(F23="","",F23)</f>
        <v>商業施設の空調</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7.5642958080000031E-2</v>
      </c>
      <c r="Q25" s="145">
        <f t="shared" si="1"/>
        <v>0</v>
      </c>
      <c r="R25" s="145">
        <f t="shared" si="2"/>
        <v>0</v>
      </c>
      <c r="S25" s="145">
        <f t="shared" si="3"/>
        <v>0</v>
      </c>
      <c r="T25" s="143">
        <f t="shared" ref="T25:T40" si="4">SUM(P25:S25)</f>
        <v>7.5642958080000031E-2</v>
      </c>
      <c r="U25" s="140"/>
    </row>
    <row r="26" spans="2:21" ht="20.100000000000001" customHeight="1" outlineLevel="1" thickBot="1">
      <c r="C26" s="5"/>
      <c r="D26" s="5" t="s">
        <v>12</v>
      </c>
      <c r="E26" s="5"/>
      <c r="F26" s="203">
        <f>F63*I93/10000</f>
        <v>12.934945831680006</v>
      </c>
      <c r="G26" s="204"/>
      <c r="H26" s="29" t="s">
        <v>13</v>
      </c>
      <c r="I26" s="1"/>
      <c r="M26" s="140"/>
      <c r="N26" s="137"/>
      <c r="O26" s="144">
        <v>2026</v>
      </c>
      <c r="P26" s="145">
        <f t="shared" si="0"/>
        <v>0.32778615168000008</v>
      </c>
      <c r="Q26" s="145">
        <f t="shared" si="1"/>
        <v>0</v>
      </c>
      <c r="R26" s="145">
        <f t="shared" si="2"/>
        <v>0</v>
      </c>
      <c r="S26" s="145">
        <f t="shared" si="3"/>
        <v>0</v>
      </c>
      <c r="T26" s="143">
        <f t="shared" si="4"/>
        <v>0.32778615168000008</v>
      </c>
      <c r="U26" s="140"/>
    </row>
    <row r="27" spans="2:21" ht="15" customHeight="1" outlineLevel="1">
      <c r="C27" s="5"/>
      <c r="D27" s="5"/>
      <c r="E27" s="5" t="s">
        <v>20</v>
      </c>
      <c r="F27" s="30"/>
      <c r="G27" s="30"/>
      <c r="H27" s="5"/>
      <c r="I27" s="1"/>
      <c r="M27" s="140"/>
      <c r="N27" s="137"/>
      <c r="O27" s="144">
        <v>2027</v>
      </c>
      <c r="P27" s="145">
        <f t="shared" si="0"/>
        <v>0.7060009420800003</v>
      </c>
      <c r="Q27" s="145">
        <f t="shared" si="1"/>
        <v>0</v>
      </c>
      <c r="R27" s="145">
        <f t="shared" si="2"/>
        <v>0</v>
      </c>
      <c r="S27" s="145">
        <f t="shared" si="3"/>
        <v>0</v>
      </c>
      <c r="T27" s="143">
        <f t="shared" si="4"/>
        <v>0.7060009420800003</v>
      </c>
      <c r="U27" s="140"/>
    </row>
    <row r="28" spans="2:21" ht="15" customHeight="1" outlineLevel="1">
      <c r="C28" s="5"/>
      <c r="D28" s="5"/>
      <c r="E28" s="31"/>
      <c r="F28" s="5" t="s">
        <v>12</v>
      </c>
      <c r="G28" s="32">
        <f>SUM(G51,G53)*I93/10000</f>
        <v>64.674729158400012</v>
      </c>
      <c r="H28" s="29" t="s">
        <v>13</v>
      </c>
      <c r="I28" s="1"/>
      <c r="M28" s="140"/>
      <c r="N28" s="137"/>
      <c r="O28" s="144">
        <v>2028</v>
      </c>
      <c r="P28" s="145">
        <f t="shared" si="0"/>
        <v>1.2102873292800005</v>
      </c>
      <c r="Q28" s="145">
        <f t="shared" si="1"/>
        <v>0</v>
      </c>
      <c r="R28" s="145">
        <f t="shared" si="2"/>
        <v>0</v>
      </c>
      <c r="S28" s="145">
        <f t="shared" si="3"/>
        <v>0</v>
      </c>
      <c r="T28" s="143">
        <f t="shared" si="4"/>
        <v>1.2102873292800005</v>
      </c>
      <c r="U28" s="140"/>
    </row>
    <row r="29" spans="2:21" ht="15" customHeight="1" outlineLevel="1">
      <c r="C29" s="5"/>
      <c r="D29" s="5"/>
      <c r="E29" s="5" t="s">
        <v>21</v>
      </c>
      <c r="F29" s="5"/>
      <c r="G29" s="30"/>
      <c r="H29" s="5"/>
      <c r="I29" s="1"/>
      <c r="M29" s="140"/>
      <c r="N29" s="137"/>
      <c r="O29" s="144">
        <v>2029</v>
      </c>
      <c r="P29" s="145">
        <f t="shared" si="0"/>
        <v>1.8406453132800009</v>
      </c>
      <c r="Q29" s="145">
        <f t="shared" si="1"/>
        <v>0</v>
      </c>
      <c r="R29" s="145">
        <f t="shared" si="2"/>
        <v>0</v>
      </c>
      <c r="S29" s="145">
        <f t="shared" si="3"/>
        <v>0</v>
      </c>
      <c r="T29" s="143">
        <f t="shared" si="4"/>
        <v>1.8406453132800009</v>
      </c>
      <c r="U29" s="140"/>
    </row>
    <row r="30" spans="2:21" ht="15" customHeight="1" outlineLevel="1">
      <c r="C30" s="5"/>
      <c r="D30" s="31"/>
      <c r="E30" s="5"/>
      <c r="F30" s="5" t="s">
        <v>12</v>
      </c>
      <c r="G30" s="32">
        <f>SUM(G59,G61)*I93/10000</f>
        <v>51.739783326720001</v>
      </c>
      <c r="H30" s="29" t="s">
        <v>13</v>
      </c>
      <c r="I30" s="1"/>
      <c r="M30" s="140"/>
      <c r="N30" s="137"/>
      <c r="O30" s="144">
        <v>2030</v>
      </c>
      <c r="P30" s="145">
        <f t="shared" si="0"/>
        <v>2.5970748940800013</v>
      </c>
      <c r="Q30" s="145">
        <f t="shared" si="1"/>
        <v>0</v>
      </c>
      <c r="R30" s="145">
        <f t="shared" si="2"/>
        <v>0</v>
      </c>
      <c r="S30" s="145">
        <f t="shared" si="3"/>
        <v>0</v>
      </c>
      <c r="T30" s="143">
        <f t="shared" si="4"/>
        <v>2.5970748940800013</v>
      </c>
      <c r="U30" s="140"/>
    </row>
    <row r="31" spans="2:21" ht="15" customHeight="1" outlineLevel="1" thickBot="1">
      <c r="C31" s="31"/>
      <c r="D31" s="5"/>
      <c r="E31" s="5"/>
      <c r="F31" s="30"/>
      <c r="G31" s="30"/>
      <c r="H31" s="5"/>
      <c r="I31" s="1"/>
      <c r="M31" s="140"/>
      <c r="N31" s="137"/>
      <c r="O31" s="144">
        <v>2031</v>
      </c>
      <c r="P31" s="145">
        <f t="shared" si="0"/>
        <v>3.4039331136000017</v>
      </c>
      <c r="Q31" s="145">
        <f t="shared" si="1"/>
        <v>0</v>
      </c>
      <c r="R31" s="145">
        <f t="shared" si="2"/>
        <v>0</v>
      </c>
      <c r="S31" s="145">
        <f t="shared" si="3"/>
        <v>0</v>
      </c>
      <c r="T31" s="143">
        <f t="shared" si="4"/>
        <v>3.4039331136000017</v>
      </c>
      <c r="U31" s="140"/>
    </row>
    <row r="32" spans="2:21" ht="15" customHeight="1" outlineLevel="1" thickBot="1">
      <c r="C32" s="33" t="s">
        <v>22</v>
      </c>
      <c r="D32" s="31"/>
      <c r="E32" s="5"/>
      <c r="F32" s="5"/>
      <c r="G32" s="33" t="s">
        <v>23</v>
      </c>
      <c r="H32" s="34">
        <v>2025</v>
      </c>
      <c r="I32" s="4" t="s">
        <v>24</v>
      </c>
      <c r="M32" s="140"/>
      <c r="N32" s="137"/>
      <c r="O32" s="144">
        <v>2032</v>
      </c>
      <c r="P32" s="145">
        <f t="shared" si="0"/>
        <v>4.261219971840001</v>
      </c>
      <c r="Q32" s="145">
        <f t="shared" si="1"/>
        <v>0</v>
      </c>
      <c r="R32" s="145">
        <f t="shared" si="2"/>
        <v>0</v>
      </c>
      <c r="S32" s="145">
        <f t="shared" si="3"/>
        <v>0</v>
      </c>
      <c r="T32" s="143">
        <f t="shared" si="4"/>
        <v>4.261219971840001</v>
      </c>
      <c r="U32" s="140"/>
    </row>
    <row r="33" spans="1:21" ht="20.100000000000001" customHeight="1" outlineLevel="1" thickBot="1">
      <c r="C33" s="31"/>
      <c r="D33" s="33" t="s">
        <v>12</v>
      </c>
      <c r="E33" s="5"/>
      <c r="F33" s="203">
        <f>F63*VLOOKUP(H32+3,D77:I93,6,FALSE)/10000</f>
        <v>1.2102873292800005</v>
      </c>
      <c r="G33" s="204"/>
      <c r="H33" s="29" t="s">
        <v>13</v>
      </c>
      <c r="M33" s="140"/>
      <c r="N33" s="137"/>
      <c r="O33" s="144">
        <v>2033</v>
      </c>
      <c r="P33" s="145">
        <f t="shared" si="0"/>
        <v>5.1689354688000018</v>
      </c>
      <c r="Q33" s="145">
        <f t="shared" si="1"/>
        <v>0</v>
      </c>
      <c r="R33" s="145">
        <f t="shared" si="2"/>
        <v>0</v>
      </c>
      <c r="S33" s="145">
        <f t="shared" si="3"/>
        <v>0</v>
      </c>
      <c r="T33" s="143">
        <f t="shared" si="4"/>
        <v>5.1689354688000018</v>
      </c>
      <c r="U33" s="140"/>
    </row>
    <row r="34" spans="1:21" ht="20.100000000000001" customHeight="1" outlineLevel="1">
      <c r="C34" s="31"/>
      <c r="D34" s="33"/>
      <c r="E34" s="5"/>
      <c r="F34" s="35"/>
      <c r="G34" s="35"/>
      <c r="H34" s="5"/>
      <c r="M34" s="140"/>
      <c r="N34" s="137"/>
      <c r="O34" s="144">
        <v>2034</v>
      </c>
      <c r="P34" s="145">
        <f t="shared" si="0"/>
        <v>6.1270796044800022</v>
      </c>
      <c r="Q34" s="145">
        <f t="shared" si="1"/>
        <v>0</v>
      </c>
      <c r="R34" s="145">
        <f t="shared" si="2"/>
        <v>0</v>
      </c>
      <c r="S34" s="145">
        <f t="shared" si="3"/>
        <v>0</v>
      </c>
      <c r="T34" s="143">
        <f t="shared" si="4"/>
        <v>6.1270796044800022</v>
      </c>
      <c r="U34" s="140"/>
    </row>
    <row r="35" spans="1:21" ht="20.100000000000001" customHeight="1" outlineLevel="1" thickBot="1">
      <c r="C35" s="5" t="s">
        <v>25</v>
      </c>
      <c r="D35" s="5"/>
      <c r="E35" s="5"/>
      <c r="F35" s="5"/>
      <c r="G35" s="5"/>
      <c r="H35" s="5"/>
      <c r="M35" s="140"/>
      <c r="N35" s="137"/>
      <c r="O35" s="144">
        <v>2035</v>
      </c>
      <c r="P35" s="145">
        <f t="shared" si="0"/>
        <v>7.1356523788800024</v>
      </c>
      <c r="Q35" s="145">
        <f t="shared" si="1"/>
        <v>0</v>
      </c>
      <c r="R35" s="145">
        <f t="shared" si="2"/>
        <v>0</v>
      </c>
      <c r="S35" s="145">
        <f t="shared" si="3"/>
        <v>0</v>
      </c>
      <c r="T35" s="143">
        <f t="shared" si="4"/>
        <v>7.1356523788800024</v>
      </c>
      <c r="U35" s="140"/>
    </row>
    <row r="36" spans="1:21" ht="20.100000000000001" customHeight="1" outlineLevel="1" thickBot="1">
      <c r="C36" s="5"/>
      <c r="D36" s="5" t="s">
        <v>12</v>
      </c>
      <c r="E36" s="5"/>
      <c r="F36" s="166">
        <v>0</v>
      </c>
      <c r="G36" s="167"/>
      <c r="H36" s="5" t="s">
        <v>13</v>
      </c>
      <c r="M36" s="140"/>
      <c r="N36" s="137"/>
      <c r="O36" s="144">
        <v>2036</v>
      </c>
      <c r="P36" s="145">
        <f t="shared" si="0"/>
        <v>8.194653792000004</v>
      </c>
      <c r="Q36" s="145">
        <f t="shared" si="1"/>
        <v>0</v>
      </c>
      <c r="R36" s="145">
        <f t="shared" si="2"/>
        <v>0</v>
      </c>
      <c r="S36" s="145">
        <f t="shared" si="3"/>
        <v>0</v>
      </c>
      <c r="T36" s="143">
        <f t="shared" si="4"/>
        <v>8.194653792000004</v>
      </c>
      <c r="U36" s="140"/>
    </row>
    <row r="37" spans="1:21" ht="9.9499999999999993" customHeight="1" outlineLevel="1" thickBot="1">
      <c r="C37" s="5"/>
      <c r="D37" s="5"/>
      <c r="E37" s="5"/>
      <c r="F37" s="5"/>
      <c r="G37" s="5"/>
      <c r="H37" s="5"/>
      <c r="M37" s="140"/>
      <c r="N37" s="137"/>
      <c r="O37" s="144">
        <v>2037</v>
      </c>
      <c r="P37" s="145">
        <f t="shared" si="0"/>
        <v>9.3040838438400044</v>
      </c>
      <c r="Q37" s="145">
        <f t="shared" si="1"/>
        <v>0</v>
      </c>
      <c r="R37" s="145">
        <f t="shared" si="2"/>
        <v>0</v>
      </c>
      <c r="S37" s="145">
        <f t="shared" si="3"/>
        <v>0</v>
      </c>
      <c r="T37" s="143">
        <f t="shared" si="4"/>
        <v>9.3040838438400044</v>
      </c>
      <c r="U37" s="140"/>
    </row>
    <row r="38" spans="1:21" ht="52.5" customHeight="1" outlineLevel="1" thickBot="1">
      <c r="C38" s="31"/>
      <c r="D38" s="33" t="s">
        <v>26</v>
      </c>
      <c r="E38" s="5"/>
      <c r="F38" s="168" t="s">
        <v>107</v>
      </c>
      <c r="G38" s="169"/>
      <c r="H38" s="169"/>
      <c r="I38" s="169"/>
      <c r="J38" s="169"/>
      <c r="K38" s="170"/>
      <c r="M38" s="140"/>
      <c r="N38" s="137"/>
      <c r="O38" s="144">
        <v>2038</v>
      </c>
      <c r="P38" s="145">
        <f t="shared" si="0"/>
        <v>10.463942534400003</v>
      </c>
      <c r="Q38" s="145">
        <f t="shared" si="1"/>
        <v>0</v>
      </c>
      <c r="R38" s="145">
        <f t="shared" si="2"/>
        <v>0</v>
      </c>
      <c r="S38" s="145">
        <f t="shared" si="3"/>
        <v>0</v>
      </c>
      <c r="T38" s="143">
        <f t="shared" si="4"/>
        <v>10.463942534400003</v>
      </c>
      <c r="U38" s="140"/>
    </row>
    <row r="39" spans="1:21" ht="15" customHeight="1" outlineLevel="1">
      <c r="D39" s="23"/>
      <c r="M39" s="140"/>
      <c r="N39" s="137"/>
      <c r="O39" s="144">
        <v>2039</v>
      </c>
      <c r="P39" s="145">
        <f t="shared" si="0"/>
        <v>11.674229863680004</v>
      </c>
      <c r="Q39" s="145">
        <f t="shared" si="1"/>
        <v>0</v>
      </c>
      <c r="R39" s="145">
        <f t="shared" si="2"/>
        <v>0</v>
      </c>
      <c r="S39" s="145">
        <f t="shared" si="3"/>
        <v>0</v>
      </c>
      <c r="T39" s="143">
        <f t="shared" si="4"/>
        <v>11.674229863680004</v>
      </c>
      <c r="U39" s="140"/>
    </row>
    <row r="40" spans="1:21" ht="20.100000000000001" customHeight="1" outlineLevel="1">
      <c r="B40" s="28" t="s">
        <v>27</v>
      </c>
      <c r="M40" s="140"/>
      <c r="N40" s="137"/>
      <c r="O40" s="144">
        <v>2040</v>
      </c>
      <c r="P40" s="145">
        <f t="shared" si="0"/>
        <v>12.934945831680006</v>
      </c>
      <c r="Q40" s="145">
        <f t="shared" si="1"/>
        <v>0</v>
      </c>
      <c r="R40" s="145">
        <f t="shared" si="2"/>
        <v>0</v>
      </c>
      <c r="S40" s="145">
        <f t="shared" si="3"/>
        <v>0</v>
      </c>
      <c r="T40" s="143">
        <f t="shared" si="4"/>
        <v>12.934945831680006</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129</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108</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2">
        <f>3572*0.4</f>
        <v>1428.8000000000002</v>
      </c>
      <c r="G52" s="5" t="s">
        <v>42</v>
      </c>
      <c r="J52" s="41"/>
      <c r="K52" s="38"/>
      <c r="L52" s="38"/>
      <c r="N52" s="9"/>
    </row>
    <row r="53" spans="4:16" s="5" customFormat="1" ht="15" customHeight="1" outlineLevel="1">
      <c r="D53" s="40"/>
      <c r="G53" s="185">
        <f>+F52*H45/100000</f>
        <v>3.6863040000000007E-2</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109</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3">
        <f>F52*0.8</f>
        <v>1143.0400000000002</v>
      </c>
      <c r="G60" s="5" t="s">
        <v>42</v>
      </c>
      <c r="J60" s="19"/>
      <c r="N60" s="9"/>
    </row>
    <row r="61" spans="4:16" s="5" customFormat="1" ht="15" customHeight="1" outlineLevel="1">
      <c r="D61" s="40"/>
      <c r="G61" s="185">
        <f>+F60*H45/100000</f>
        <v>2.9490432000000004E-2</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7.3726080000000027E-3</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130</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110</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11400000</v>
      </c>
      <c r="F77" s="57">
        <v>0</v>
      </c>
      <c r="G77" s="127">
        <f>IF(E77="","",F77/E77)</f>
        <v>0</v>
      </c>
      <c r="H77" s="59"/>
      <c r="I77" s="60">
        <f>F77-H77</f>
        <v>0</v>
      </c>
      <c r="K77" s="61">
        <f t="shared" ref="K77:K93" si="5">I77*F$63/10000</f>
        <v>0</v>
      </c>
    </row>
    <row r="78" spans="2:11" ht="15" customHeight="1" outlineLevel="1">
      <c r="D78" s="55">
        <v>2025</v>
      </c>
      <c r="E78" s="56">
        <v>11400000</v>
      </c>
      <c r="F78" s="57">
        <f>E78*0.3*0.03</f>
        <v>102600</v>
      </c>
      <c r="G78" s="127">
        <f t="shared" ref="G78:G93" si="6">IF(E78="","",F78/E78)</f>
        <v>8.9999999999999993E-3</v>
      </c>
      <c r="H78" s="59"/>
      <c r="I78" s="60">
        <f>I77+F78-H78</f>
        <v>102600</v>
      </c>
      <c r="K78" s="61">
        <f t="shared" si="5"/>
        <v>7.5642958080000031E-2</v>
      </c>
    </row>
    <row r="79" spans="2:11" ht="15" customHeight="1" outlineLevel="1">
      <c r="D79" s="55">
        <v>2026</v>
      </c>
      <c r="E79" s="56">
        <v>11400000</v>
      </c>
      <c r="F79" s="57">
        <f>E79*0.3*0.1</f>
        <v>342000</v>
      </c>
      <c r="G79" s="127">
        <f t="shared" si="6"/>
        <v>0.03</v>
      </c>
      <c r="H79" s="59"/>
      <c r="I79" s="60">
        <f t="shared" ref="I79:I92" si="7">I78+F79-H79</f>
        <v>444600</v>
      </c>
      <c r="K79" s="61">
        <f t="shared" si="5"/>
        <v>0.32778615168000008</v>
      </c>
    </row>
    <row r="80" spans="2:11" ht="15" customHeight="1" outlineLevel="1">
      <c r="D80" s="55">
        <v>2027</v>
      </c>
      <c r="E80" s="56">
        <v>11400000</v>
      </c>
      <c r="F80" s="57">
        <f>E80*0.3*0.15</f>
        <v>513000</v>
      </c>
      <c r="G80" s="127">
        <f t="shared" si="6"/>
        <v>4.4999999999999998E-2</v>
      </c>
      <c r="H80" s="59"/>
      <c r="I80" s="60">
        <f t="shared" si="7"/>
        <v>957600</v>
      </c>
      <c r="K80" s="61">
        <f t="shared" si="5"/>
        <v>0.7060009420800003</v>
      </c>
    </row>
    <row r="81" spans="4:14" ht="15" customHeight="1" outlineLevel="1">
      <c r="D81" s="55">
        <v>2028</v>
      </c>
      <c r="E81" s="56">
        <v>11400000</v>
      </c>
      <c r="F81" s="57">
        <f>E81*0.3*0.2</f>
        <v>684000</v>
      </c>
      <c r="G81" s="127">
        <f t="shared" si="6"/>
        <v>0.06</v>
      </c>
      <c r="H81" s="59"/>
      <c r="I81" s="60">
        <f t="shared" si="7"/>
        <v>1641600</v>
      </c>
      <c r="K81" s="61">
        <f t="shared" si="5"/>
        <v>1.2102873292800005</v>
      </c>
    </row>
    <row r="82" spans="4:14" ht="15" customHeight="1" outlineLevel="1">
      <c r="D82" s="55">
        <v>2029</v>
      </c>
      <c r="E82" s="56">
        <v>11400000</v>
      </c>
      <c r="F82" s="57">
        <f>E82*0.3*0.25</f>
        <v>855000</v>
      </c>
      <c r="G82" s="127">
        <f t="shared" si="6"/>
        <v>7.4999999999999997E-2</v>
      </c>
      <c r="H82" s="59"/>
      <c r="I82" s="60">
        <f t="shared" si="7"/>
        <v>2496600</v>
      </c>
      <c r="K82" s="61">
        <f t="shared" si="5"/>
        <v>1.8406453132800009</v>
      </c>
    </row>
    <row r="83" spans="4:14" ht="15" customHeight="1" outlineLevel="1">
      <c r="D83" s="55">
        <v>2030</v>
      </c>
      <c r="E83" s="56">
        <v>11400000</v>
      </c>
      <c r="F83" s="57">
        <f>E83*0.3*0.3</f>
        <v>1026000</v>
      </c>
      <c r="G83" s="127">
        <f t="shared" si="6"/>
        <v>0.09</v>
      </c>
      <c r="H83" s="59"/>
      <c r="I83" s="60">
        <f t="shared" si="7"/>
        <v>3522600</v>
      </c>
      <c r="K83" s="61">
        <f t="shared" si="5"/>
        <v>2.5970748940800013</v>
      </c>
    </row>
    <row r="84" spans="4:14" ht="15" customHeight="1" outlineLevel="1">
      <c r="D84" s="55">
        <v>2031</v>
      </c>
      <c r="E84" s="56">
        <v>11400000</v>
      </c>
      <c r="F84" s="57">
        <f>E84*0.3*0.32</f>
        <v>1094400</v>
      </c>
      <c r="G84" s="127">
        <f t="shared" si="6"/>
        <v>9.6000000000000002E-2</v>
      </c>
      <c r="H84" s="59"/>
      <c r="I84" s="60">
        <f t="shared" si="7"/>
        <v>4617000</v>
      </c>
      <c r="K84" s="61">
        <f t="shared" si="5"/>
        <v>3.4039331136000017</v>
      </c>
    </row>
    <row r="85" spans="4:14" ht="15" customHeight="1" outlineLevel="1">
      <c r="D85" s="55">
        <v>2032</v>
      </c>
      <c r="E85" s="56">
        <v>11400000</v>
      </c>
      <c r="F85" s="57">
        <f>E85*0.3*0.34</f>
        <v>1162800</v>
      </c>
      <c r="G85" s="127">
        <f t="shared" si="6"/>
        <v>0.10199999999999999</v>
      </c>
      <c r="H85" s="59"/>
      <c r="I85" s="60">
        <f t="shared" si="7"/>
        <v>5779800</v>
      </c>
      <c r="K85" s="61">
        <f t="shared" si="5"/>
        <v>4.261219971840001</v>
      </c>
    </row>
    <row r="86" spans="4:14" ht="15" customHeight="1" outlineLevel="1">
      <c r="D86" s="55">
        <v>2033</v>
      </c>
      <c r="E86" s="56">
        <v>11400000</v>
      </c>
      <c r="F86" s="57">
        <f>E86*0.3*0.36</f>
        <v>1231200</v>
      </c>
      <c r="G86" s="127">
        <f t="shared" si="6"/>
        <v>0.108</v>
      </c>
      <c r="H86" s="59"/>
      <c r="I86" s="60">
        <f t="shared" si="7"/>
        <v>7011000</v>
      </c>
      <c r="K86" s="61">
        <f t="shared" si="5"/>
        <v>5.1689354688000018</v>
      </c>
    </row>
    <row r="87" spans="4:14" ht="15" customHeight="1" outlineLevel="1">
      <c r="D87" s="55">
        <v>2034</v>
      </c>
      <c r="E87" s="56">
        <v>11400000</v>
      </c>
      <c r="F87" s="57">
        <f>E87*0.3*0.38</f>
        <v>1299600</v>
      </c>
      <c r="G87" s="127">
        <f t="shared" si="6"/>
        <v>0.114</v>
      </c>
      <c r="H87" s="59"/>
      <c r="I87" s="60">
        <f t="shared" si="7"/>
        <v>8310600</v>
      </c>
      <c r="K87" s="61">
        <f t="shared" si="5"/>
        <v>6.1270796044800022</v>
      </c>
    </row>
    <row r="88" spans="4:14" ht="15" customHeight="1" outlineLevel="1">
      <c r="D88" s="55">
        <v>2035</v>
      </c>
      <c r="E88" s="56">
        <v>11400000</v>
      </c>
      <c r="F88" s="57">
        <f>E88*0.3*0.4</f>
        <v>1368000</v>
      </c>
      <c r="G88" s="127">
        <f t="shared" si="6"/>
        <v>0.12</v>
      </c>
      <c r="H88" s="59"/>
      <c r="I88" s="60">
        <f t="shared" si="7"/>
        <v>9678600</v>
      </c>
      <c r="K88" s="61">
        <f t="shared" si="5"/>
        <v>7.1356523788800024</v>
      </c>
    </row>
    <row r="89" spans="4:14" ht="15" customHeight="1" outlineLevel="1">
      <c r="D89" s="55">
        <v>2036</v>
      </c>
      <c r="E89" s="56">
        <v>11400000</v>
      </c>
      <c r="F89" s="57">
        <f>E89*0.3*0.42</f>
        <v>1436400</v>
      </c>
      <c r="G89" s="127">
        <f t="shared" si="6"/>
        <v>0.126</v>
      </c>
      <c r="H89" s="59"/>
      <c r="I89" s="60">
        <f t="shared" si="7"/>
        <v>11115000</v>
      </c>
      <c r="K89" s="61">
        <f t="shared" si="5"/>
        <v>8.194653792000004</v>
      </c>
    </row>
    <row r="90" spans="4:14" ht="15" customHeight="1" outlineLevel="1">
      <c r="D90" s="55">
        <v>2037</v>
      </c>
      <c r="E90" s="56">
        <v>11400000</v>
      </c>
      <c r="F90" s="57">
        <f>E90*0.3*0.44</f>
        <v>1504800</v>
      </c>
      <c r="G90" s="127">
        <f t="shared" si="6"/>
        <v>0.13200000000000001</v>
      </c>
      <c r="H90" s="59"/>
      <c r="I90" s="60">
        <f t="shared" si="7"/>
        <v>12619800</v>
      </c>
      <c r="K90" s="61">
        <f t="shared" si="5"/>
        <v>9.3040838438400044</v>
      </c>
    </row>
    <row r="91" spans="4:14" ht="15" customHeight="1" outlineLevel="1">
      <c r="D91" s="55">
        <v>2038</v>
      </c>
      <c r="E91" s="56">
        <v>11400000</v>
      </c>
      <c r="F91" s="57">
        <f>E91*0.3*0.46</f>
        <v>1573200</v>
      </c>
      <c r="G91" s="127">
        <f t="shared" si="6"/>
        <v>0.13800000000000001</v>
      </c>
      <c r="H91" s="59"/>
      <c r="I91" s="60">
        <f t="shared" si="7"/>
        <v>14193000</v>
      </c>
      <c r="K91" s="61">
        <f t="shared" si="5"/>
        <v>10.463942534400003</v>
      </c>
    </row>
    <row r="92" spans="4:14" ht="15" customHeight="1" outlineLevel="1">
      <c r="D92" s="55">
        <v>2039</v>
      </c>
      <c r="E92" s="56">
        <v>11400000</v>
      </c>
      <c r="F92" s="57">
        <f>E92*0.3*0.48</f>
        <v>1641600</v>
      </c>
      <c r="G92" s="127">
        <f t="shared" si="6"/>
        <v>0.14399999999999999</v>
      </c>
      <c r="H92" s="59"/>
      <c r="I92" s="60">
        <f t="shared" si="7"/>
        <v>15834600</v>
      </c>
      <c r="K92" s="61">
        <f t="shared" si="5"/>
        <v>11.674229863680004</v>
      </c>
    </row>
    <row r="93" spans="4:14" ht="15" customHeight="1" outlineLevel="1" thickBot="1">
      <c r="D93" s="55">
        <v>2040</v>
      </c>
      <c r="E93" s="56">
        <v>11400000</v>
      </c>
      <c r="F93" s="57">
        <f>E93*0.3*0.5</f>
        <v>1710000</v>
      </c>
      <c r="G93" s="128">
        <f t="shared" si="6"/>
        <v>0.15</v>
      </c>
      <c r="H93" s="65"/>
      <c r="I93" s="66">
        <f>I92+F93-H93</f>
        <v>17544600</v>
      </c>
      <c r="K93" s="67">
        <f t="shared" si="5"/>
        <v>12.934945831680006</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8">I153*F$139/10000</f>
        <v>0</v>
      </c>
    </row>
    <row r="154" spans="4:11" ht="15" hidden="1" customHeight="1" outlineLevel="1">
      <c r="D154" s="55">
        <v>2025</v>
      </c>
      <c r="E154" s="56"/>
      <c r="F154" s="57"/>
      <c r="G154" s="58" t="str">
        <f t="shared" ref="G154:G169" si="9">IF(E154="","",F154/E154)</f>
        <v/>
      </c>
      <c r="H154" s="59"/>
      <c r="I154" s="60">
        <f>I153+F154-H154</f>
        <v>0</v>
      </c>
      <c r="K154" s="61">
        <f t="shared" si="8"/>
        <v>0</v>
      </c>
    </row>
    <row r="155" spans="4:11" ht="15" hidden="1" customHeight="1" outlineLevel="1">
      <c r="D155" s="55">
        <v>2026</v>
      </c>
      <c r="E155" s="56"/>
      <c r="F155" s="57"/>
      <c r="G155" s="58" t="str">
        <f t="shared" si="9"/>
        <v/>
      </c>
      <c r="H155" s="59"/>
      <c r="I155" s="60">
        <f t="shared" ref="I155:I168" si="10">I154+F155-H155</f>
        <v>0</v>
      </c>
      <c r="K155" s="61">
        <f t="shared" si="8"/>
        <v>0</v>
      </c>
    </row>
    <row r="156" spans="4:11" ht="15" hidden="1" customHeight="1" outlineLevel="1">
      <c r="D156" s="55">
        <v>2027</v>
      </c>
      <c r="E156" s="56"/>
      <c r="F156" s="57"/>
      <c r="G156" s="58" t="str">
        <f t="shared" si="9"/>
        <v/>
      </c>
      <c r="H156" s="59"/>
      <c r="I156" s="60">
        <f t="shared" si="10"/>
        <v>0</v>
      </c>
      <c r="K156" s="61">
        <f t="shared" si="8"/>
        <v>0</v>
      </c>
    </row>
    <row r="157" spans="4:11" ht="15" hidden="1" customHeight="1" outlineLevel="1">
      <c r="D157" s="55">
        <v>2028</v>
      </c>
      <c r="E157" s="56"/>
      <c r="F157" s="57"/>
      <c r="G157" s="58" t="str">
        <f t="shared" si="9"/>
        <v/>
      </c>
      <c r="H157" s="59"/>
      <c r="I157" s="60">
        <f t="shared" si="10"/>
        <v>0</v>
      </c>
      <c r="K157" s="61">
        <f t="shared" si="8"/>
        <v>0</v>
      </c>
    </row>
    <row r="158" spans="4:11" ht="15" hidden="1" customHeight="1" outlineLevel="1">
      <c r="D158" s="55">
        <v>2029</v>
      </c>
      <c r="E158" s="56"/>
      <c r="F158" s="57"/>
      <c r="G158" s="58" t="str">
        <f t="shared" si="9"/>
        <v/>
      </c>
      <c r="H158" s="59"/>
      <c r="I158" s="60">
        <f t="shared" si="10"/>
        <v>0</v>
      </c>
      <c r="K158" s="61">
        <f t="shared" si="8"/>
        <v>0</v>
      </c>
    </row>
    <row r="159" spans="4:11" ht="15" hidden="1" customHeight="1" outlineLevel="1">
      <c r="D159" s="55">
        <v>2030</v>
      </c>
      <c r="E159" s="56"/>
      <c r="F159" s="57"/>
      <c r="G159" s="58" t="str">
        <f t="shared" si="9"/>
        <v/>
      </c>
      <c r="H159" s="59"/>
      <c r="I159" s="60">
        <f t="shared" si="10"/>
        <v>0</v>
      </c>
      <c r="K159" s="61">
        <f t="shared" si="8"/>
        <v>0</v>
      </c>
    </row>
    <row r="160" spans="4:11" ht="15" hidden="1" customHeight="1" outlineLevel="1">
      <c r="D160" s="55">
        <v>2031</v>
      </c>
      <c r="E160" s="56"/>
      <c r="F160" s="57"/>
      <c r="G160" s="58" t="str">
        <f t="shared" si="9"/>
        <v/>
      </c>
      <c r="H160" s="59"/>
      <c r="I160" s="60">
        <f t="shared" si="10"/>
        <v>0</v>
      </c>
      <c r="K160" s="61">
        <f t="shared" si="8"/>
        <v>0</v>
      </c>
    </row>
    <row r="161" spans="2:14" ht="15" hidden="1" customHeight="1" outlineLevel="1">
      <c r="D161" s="55">
        <v>2032</v>
      </c>
      <c r="E161" s="56"/>
      <c r="F161" s="57"/>
      <c r="G161" s="58" t="str">
        <f t="shared" si="9"/>
        <v/>
      </c>
      <c r="H161" s="59"/>
      <c r="I161" s="60">
        <f t="shared" si="10"/>
        <v>0</v>
      </c>
      <c r="K161" s="61">
        <f t="shared" si="8"/>
        <v>0</v>
      </c>
    </row>
    <row r="162" spans="2:14" ht="15" hidden="1" customHeight="1" outlineLevel="1">
      <c r="D162" s="55">
        <v>2033</v>
      </c>
      <c r="E162" s="56"/>
      <c r="F162" s="57"/>
      <c r="G162" s="58" t="str">
        <f t="shared" si="9"/>
        <v/>
      </c>
      <c r="H162" s="59"/>
      <c r="I162" s="60">
        <f t="shared" si="10"/>
        <v>0</v>
      </c>
      <c r="K162" s="61">
        <f t="shared" si="8"/>
        <v>0</v>
      </c>
    </row>
    <row r="163" spans="2:14" ht="15" hidden="1" customHeight="1" outlineLevel="1">
      <c r="D163" s="55">
        <v>2034</v>
      </c>
      <c r="E163" s="56"/>
      <c r="F163" s="57"/>
      <c r="G163" s="58" t="str">
        <f t="shared" si="9"/>
        <v/>
      </c>
      <c r="H163" s="59"/>
      <c r="I163" s="60">
        <f t="shared" si="10"/>
        <v>0</v>
      </c>
      <c r="K163" s="61">
        <f t="shared" si="8"/>
        <v>0</v>
      </c>
    </row>
    <row r="164" spans="2:14" ht="15" hidden="1" customHeight="1" outlineLevel="1">
      <c r="D164" s="55">
        <v>2035</v>
      </c>
      <c r="E164" s="56"/>
      <c r="F164" s="57"/>
      <c r="G164" s="58" t="str">
        <f t="shared" si="9"/>
        <v/>
      </c>
      <c r="H164" s="59"/>
      <c r="I164" s="60">
        <f t="shared" si="10"/>
        <v>0</v>
      </c>
      <c r="K164" s="61">
        <f t="shared" si="8"/>
        <v>0</v>
      </c>
    </row>
    <row r="165" spans="2:14" ht="15" hidden="1" customHeight="1" outlineLevel="1">
      <c r="D165" s="55">
        <v>2036</v>
      </c>
      <c r="E165" s="56"/>
      <c r="F165" s="57"/>
      <c r="G165" s="58" t="str">
        <f t="shared" si="9"/>
        <v/>
      </c>
      <c r="H165" s="59"/>
      <c r="I165" s="60">
        <f t="shared" si="10"/>
        <v>0</v>
      </c>
      <c r="K165" s="61">
        <f t="shared" si="8"/>
        <v>0</v>
      </c>
    </row>
    <row r="166" spans="2:14" ht="15" hidden="1" customHeight="1" outlineLevel="1">
      <c r="D166" s="55">
        <v>2037</v>
      </c>
      <c r="E166" s="56"/>
      <c r="F166" s="57"/>
      <c r="G166" s="58" t="str">
        <f t="shared" si="9"/>
        <v/>
      </c>
      <c r="H166" s="59"/>
      <c r="I166" s="60">
        <f t="shared" si="10"/>
        <v>0</v>
      </c>
      <c r="K166" s="61">
        <f t="shared" si="8"/>
        <v>0</v>
      </c>
    </row>
    <row r="167" spans="2:14" ht="15" hidden="1" customHeight="1" outlineLevel="1">
      <c r="D167" s="55">
        <v>2038</v>
      </c>
      <c r="E167" s="56"/>
      <c r="F167" s="57"/>
      <c r="G167" s="58" t="str">
        <f t="shared" si="9"/>
        <v/>
      </c>
      <c r="H167" s="59"/>
      <c r="I167" s="60">
        <f t="shared" si="10"/>
        <v>0</v>
      </c>
      <c r="K167" s="61">
        <f t="shared" si="8"/>
        <v>0</v>
      </c>
    </row>
    <row r="168" spans="2:14" ht="15" hidden="1" customHeight="1" outlineLevel="1">
      <c r="D168" s="55">
        <v>2039</v>
      </c>
      <c r="E168" s="56"/>
      <c r="F168" s="57"/>
      <c r="G168" s="58" t="str">
        <f t="shared" si="9"/>
        <v/>
      </c>
      <c r="H168" s="59"/>
      <c r="I168" s="60">
        <f t="shared" si="10"/>
        <v>0</v>
      </c>
      <c r="K168" s="61">
        <f t="shared" si="8"/>
        <v>0</v>
      </c>
    </row>
    <row r="169" spans="2:14" ht="15" hidden="1" customHeight="1" outlineLevel="1" thickBot="1">
      <c r="D169" s="55">
        <v>2040</v>
      </c>
      <c r="E169" s="62"/>
      <c r="F169" s="63"/>
      <c r="G169" s="64" t="str">
        <f t="shared" si="9"/>
        <v/>
      </c>
      <c r="H169" s="65"/>
      <c r="I169" s="66">
        <f>I168+F169-H169</f>
        <v>0</v>
      </c>
      <c r="K169" s="67">
        <f t="shared" si="8"/>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1">I229*F$215/10000</f>
        <v>0</v>
      </c>
    </row>
    <row r="230" spans="4:11" ht="15" hidden="1" customHeight="1" outlineLevel="1">
      <c r="D230" s="55">
        <v>2025</v>
      </c>
      <c r="E230" s="56"/>
      <c r="F230" s="57"/>
      <c r="G230" s="58" t="str">
        <f t="shared" ref="G230:G245" si="12">IF(E230="","",F230/E230)</f>
        <v/>
      </c>
      <c r="H230" s="59"/>
      <c r="I230" s="60">
        <f>I229+F230-H230</f>
        <v>0</v>
      </c>
      <c r="K230" s="61">
        <f t="shared" si="11"/>
        <v>0</v>
      </c>
    </row>
    <row r="231" spans="4:11" ht="15" hidden="1" customHeight="1" outlineLevel="1">
      <c r="D231" s="55">
        <v>2026</v>
      </c>
      <c r="E231" s="56"/>
      <c r="F231" s="57"/>
      <c r="G231" s="58" t="str">
        <f t="shared" si="12"/>
        <v/>
      </c>
      <c r="H231" s="59"/>
      <c r="I231" s="60">
        <f t="shared" ref="I231:I244" si="13">I230+F231-H231</f>
        <v>0</v>
      </c>
      <c r="K231" s="61">
        <f t="shared" si="11"/>
        <v>0</v>
      </c>
    </row>
    <row r="232" spans="4:11" ht="15" hidden="1" customHeight="1" outlineLevel="1">
      <c r="D232" s="55">
        <v>2027</v>
      </c>
      <c r="E232" s="56"/>
      <c r="F232" s="57"/>
      <c r="G232" s="58" t="str">
        <f t="shared" si="12"/>
        <v/>
      </c>
      <c r="H232" s="59"/>
      <c r="I232" s="60">
        <f t="shared" si="13"/>
        <v>0</v>
      </c>
      <c r="K232" s="61">
        <f t="shared" si="11"/>
        <v>0</v>
      </c>
    </row>
    <row r="233" spans="4:11" ht="15" hidden="1" customHeight="1" outlineLevel="1">
      <c r="D233" s="55">
        <v>2028</v>
      </c>
      <c r="E233" s="56"/>
      <c r="F233" s="57"/>
      <c r="G233" s="58" t="str">
        <f t="shared" si="12"/>
        <v/>
      </c>
      <c r="H233" s="59"/>
      <c r="I233" s="60">
        <f t="shared" si="13"/>
        <v>0</v>
      </c>
      <c r="K233" s="61">
        <f t="shared" si="11"/>
        <v>0</v>
      </c>
    </row>
    <row r="234" spans="4:11" ht="15" hidden="1" customHeight="1" outlineLevel="1">
      <c r="D234" s="55">
        <v>2029</v>
      </c>
      <c r="E234" s="56"/>
      <c r="F234" s="57"/>
      <c r="G234" s="58" t="str">
        <f t="shared" si="12"/>
        <v/>
      </c>
      <c r="H234" s="59"/>
      <c r="I234" s="60">
        <f t="shared" si="13"/>
        <v>0</v>
      </c>
      <c r="K234" s="61">
        <f t="shared" si="11"/>
        <v>0</v>
      </c>
    </row>
    <row r="235" spans="4:11" ht="15" hidden="1" customHeight="1" outlineLevel="1">
      <c r="D235" s="55">
        <v>2030</v>
      </c>
      <c r="E235" s="56"/>
      <c r="F235" s="57"/>
      <c r="G235" s="58" t="str">
        <f t="shared" si="12"/>
        <v/>
      </c>
      <c r="H235" s="59"/>
      <c r="I235" s="60">
        <f t="shared" si="13"/>
        <v>0</v>
      </c>
      <c r="K235" s="61">
        <f t="shared" si="11"/>
        <v>0</v>
      </c>
    </row>
    <row r="236" spans="4:11" ht="15" hidden="1" customHeight="1" outlineLevel="1">
      <c r="D236" s="55">
        <v>2031</v>
      </c>
      <c r="E236" s="56"/>
      <c r="F236" s="57"/>
      <c r="G236" s="58" t="str">
        <f t="shared" si="12"/>
        <v/>
      </c>
      <c r="H236" s="59"/>
      <c r="I236" s="60">
        <f t="shared" si="13"/>
        <v>0</v>
      </c>
      <c r="K236" s="61">
        <f t="shared" si="11"/>
        <v>0</v>
      </c>
    </row>
    <row r="237" spans="4:11" ht="15" hidden="1" customHeight="1" outlineLevel="1">
      <c r="D237" s="55">
        <v>2032</v>
      </c>
      <c r="E237" s="56"/>
      <c r="F237" s="57"/>
      <c r="G237" s="58" t="str">
        <f t="shared" si="12"/>
        <v/>
      </c>
      <c r="H237" s="59"/>
      <c r="I237" s="60">
        <f t="shared" si="13"/>
        <v>0</v>
      </c>
      <c r="K237" s="61">
        <f t="shared" si="11"/>
        <v>0</v>
      </c>
    </row>
    <row r="238" spans="4:11" ht="15" hidden="1" customHeight="1" outlineLevel="1">
      <c r="D238" s="55">
        <v>2033</v>
      </c>
      <c r="E238" s="56"/>
      <c r="F238" s="57"/>
      <c r="G238" s="58" t="str">
        <f t="shared" si="12"/>
        <v/>
      </c>
      <c r="H238" s="59"/>
      <c r="I238" s="60">
        <f t="shared" si="13"/>
        <v>0</v>
      </c>
      <c r="K238" s="61">
        <f t="shared" si="11"/>
        <v>0</v>
      </c>
    </row>
    <row r="239" spans="4:11" ht="15" hidden="1" customHeight="1" outlineLevel="1">
      <c r="D239" s="55">
        <v>2034</v>
      </c>
      <c r="E239" s="56"/>
      <c r="F239" s="57"/>
      <c r="G239" s="58" t="str">
        <f t="shared" si="12"/>
        <v/>
      </c>
      <c r="H239" s="59"/>
      <c r="I239" s="60">
        <f t="shared" si="13"/>
        <v>0</v>
      </c>
      <c r="K239" s="61">
        <f t="shared" si="11"/>
        <v>0</v>
      </c>
    </row>
    <row r="240" spans="4:11" ht="15" hidden="1" customHeight="1" outlineLevel="1">
      <c r="D240" s="55">
        <v>2035</v>
      </c>
      <c r="E240" s="56"/>
      <c r="F240" s="57"/>
      <c r="G240" s="58" t="str">
        <f t="shared" si="12"/>
        <v/>
      </c>
      <c r="H240" s="59"/>
      <c r="I240" s="60">
        <f t="shared" si="13"/>
        <v>0</v>
      </c>
      <c r="K240" s="61">
        <f t="shared" si="11"/>
        <v>0</v>
      </c>
    </row>
    <row r="241" spans="2:11" ht="15" hidden="1" customHeight="1" outlineLevel="1">
      <c r="D241" s="55">
        <v>2036</v>
      </c>
      <c r="E241" s="56"/>
      <c r="F241" s="57"/>
      <c r="G241" s="58" t="str">
        <f t="shared" si="12"/>
        <v/>
      </c>
      <c r="H241" s="59"/>
      <c r="I241" s="60">
        <f t="shared" si="13"/>
        <v>0</v>
      </c>
      <c r="K241" s="61">
        <f t="shared" si="11"/>
        <v>0</v>
      </c>
    </row>
    <row r="242" spans="2:11" ht="15" hidden="1" customHeight="1" outlineLevel="1">
      <c r="D242" s="55">
        <v>2037</v>
      </c>
      <c r="E242" s="56"/>
      <c r="F242" s="57"/>
      <c r="G242" s="58" t="str">
        <f t="shared" si="12"/>
        <v/>
      </c>
      <c r="H242" s="59"/>
      <c r="I242" s="60">
        <f t="shared" si="13"/>
        <v>0</v>
      </c>
      <c r="K242" s="61">
        <f t="shared" si="11"/>
        <v>0</v>
      </c>
    </row>
    <row r="243" spans="2:11" ht="15" hidden="1" customHeight="1" outlineLevel="1">
      <c r="D243" s="55">
        <v>2038</v>
      </c>
      <c r="E243" s="56"/>
      <c r="F243" s="57"/>
      <c r="G243" s="58" t="str">
        <f t="shared" si="12"/>
        <v/>
      </c>
      <c r="H243" s="59"/>
      <c r="I243" s="60">
        <f t="shared" si="13"/>
        <v>0</v>
      </c>
      <c r="K243" s="61">
        <f t="shared" si="11"/>
        <v>0</v>
      </c>
    </row>
    <row r="244" spans="2:11" ht="15" hidden="1" customHeight="1" outlineLevel="1">
      <c r="D244" s="55">
        <v>2039</v>
      </c>
      <c r="E244" s="56"/>
      <c r="F244" s="57"/>
      <c r="G244" s="58" t="str">
        <f t="shared" si="12"/>
        <v/>
      </c>
      <c r="H244" s="59"/>
      <c r="I244" s="60">
        <f t="shared" si="13"/>
        <v>0</v>
      </c>
      <c r="K244" s="61">
        <f t="shared" si="11"/>
        <v>0</v>
      </c>
    </row>
    <row r="245" spans="2:11" ht="15" hidden="1" customHeight="1" outlineLevel="1" thickBot="1">
      <c r="D245" s="55">
        <v>2040</v>
      </c>
      <c r="E245" s="62"/>
      <c r="F245" s="63"/>
      <c r="G245" s="64" t="str">
        <f t="shared" si="12"/>
        <v/>
      </c>
      <c r="H245" s="65"/>
      <c r="I245" s="66">
        <f>I244+F245-H245</f>
        <v>0</v>
      </c>
      <c r="K245" s="67">
        <f t="shared" si="11"/>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4">IF(E291="","0",F291/E291)</f>
        <v>0</v>
      </c>
      <c r="H291" s="115"/>
      <c r="I291" s="116">
        <f>I290+F291-H291</f>
        <v>0</v>
      </c>
      <c r="J291" s="94"/>
      <c r="K291" s="111">
        <f t="shared" ref="K291:K306" si="15">I291*$F$277/10000</f>
        <v>0</v>
      </c>
      <c r="N291" s="91"/>
    </row>
    <row r="292" spans="4:14" s="87" customFormat="1" ht="15" hidden="1" customHeight="1" outlineLevel="1">
      <c r="D292" s="105">
        <v>2026</v>
      </c>
      <c r="E292" s="112"/>
      <c r="F292" s="113"/>
      <c r="G292" s="114" t="str">
        <f t="shared" si="14"/>
        <v>0</v>
      </c>
      <c r="H292" s="115"/>
      <c r="I292" s="116">
        <f>I291+F292-H292</f>
        <v>0</v>
      </c>
      <c r="J292" s="94"/>
      <c r="K292" s="111">
        <f t="shared" si="15"/>
        <v>0</v>
      </c>
      <c r="N292" s="91"/>
    </row>
    <row r="293" spans="4:14" s="87" customFormat="1" ht="15" hidden="1" customHeight="1" outlineLevel="1">
      <c r="D293" s="105">
        <v>2027</v>
      </c>
      <c r="E293" s="112"/>
      <c r="F293" s="113"/>
      <c r="G293" s="114" t="str">
        <f t="shared" si="14"/>
        <v>0</v>
      </c>
      <c r="H293" s="115"/>
      <c r="I293" s="116">
        <f>I292+F293-H293</f>
        <v>0</v>
      </c>
      <c r="J293" s="94"/>
      <c r="K293" s="111">
        <f t="shared" si="15"/>
        <v>0</v>
      </c>
      <c r="N293" s="91"/>
    </row>
    <row r="294" spans="4:14" s="87" customFormat="1" ht="15" hidden="1" customHeight="1" outlineLevel="1">
      <c r="D294" s="105">
        <v>2028</v>
      </c>
      <c r="E294" s="112"/>
      <c r="F294" s="113"/>
      <c r="G294" s="114" t="str">
        <f t="shared" si="14"/>
        <v>0</v>
      </c>
      <c r="H294" s="115"/>
      <c r="I294" s="116">
        <f>I293+F294-H294</f>
        <v>0</v>
      </c>
      <c r="J294" s="94"/>
      <c r="K294" s="111">
        <f t="shared" si="15"/>
        <v>0</v>
      </c>
      <c r="N294" s="91"/>
    </row>
    <row r="295" spans="4:14" s="87" customFormat="1" ht="15" hidden="1" customHeight="1" outlineLevel="1">
      <c r="D295" s="105">
        <v>2029</v>
      </c>
      <c r="E295" s="112"/>
      <c r="F295" s="113"/>
      <c r="G295" s="114" t="str">
        <f t="shared" si="14"/>
        <v>0</v>
      </c>
      <c r="H295" s="115"/>
      <c r="I295" s="116">
        <f>I294+F295-H295</f>
        <v>0</v>
      </c>
      <c r="J295" s="94"/>
      <c r="K295" s="111">
        <f t="shared" si="15"/>
        <v>0</v>
      </c>
      <c r="N295" s="91"/>
    </row>
    <row r="296" spans="4:14" s="87" customFormat="1" ht="15" hidden="1" customHeight="1" outlineLevel="1">
      <c r="D296" s="105">
        <v>2030</v>
      </c>
      <c r="E296" s="112"/>
      <c r="F296" s="113"/>
      <c r="G296" s="114" t="str">
        <f t="shared" si="14"/>
        <v>0</v>
      </c>
      <c r="H296" s="115"/>
      <c r="I296" s="116">
        <f t="shared" ref="I296:I306" si="16">I295+F296-H296</f>
        <v>0</v>
      </c>
      <c r="J296" s="94"/>
      <c r="K296" s="111">
        <f t="shared" si="15"/>
        <v>0</v>
      </c>
      <c r="N296" s="91"/>
    </row>
    <row r="297" spans="4:14" s="87" customFormat="1" ht="15" hidden="1" customHeight="1" outlineLevel="1">
      <c r="D297" s="105">
        <v>2031</v>
      </c>
      <c r="E297" s="112"/>
      <c r="F297" s="113"/>
      <c r="G297" s="114" t="str">
        <f t="shared" si="14"/>
        <v>0</v>
      </c>
      <c r="H297" s="115"/>
      <c r="I297" s="116">
        <f t="shared" si="16"/>
        <v>0</v>
      </c>
      <c r="J297" s="94"/>
      <c r="K297" s="111">
        <f t="shared" si="15"/>
        <v>0</v>
      </c>
      <c r="N297" s="91"/>
    </row>
    <row r="298" spans="4:14" s="87" customFormat="1" ht="15" hidden="1" customHeight="1" outlineLevel="1">
      <c r="D298" s="105">
        <v>2032</v>
      </c>
      <c r="E298" s="112"/>
      <c r="F298" s="113"/>
      <c r="G298" s="114" t="str">
        <f t="shared" si="14"/>
        <v>0</v>
      </c>
      <c r="H298" s="115"/>
      <c r="I298" s="116">
        <f t="shared" si="16"/>
        <v>0</v>
      </c>
      <c r="J298" s="94"/>
      <c r="K298" s="111">
        <f t="shared" si="15"/>
        <v>0</v>
      </c>
      <c r="N298" s="91"/>
    </row>
    <row r="299" spans="4:14" s="87" customFormat="1" ht="15" hidden="1" customHeight="1" outlineLevel="1">
      <c r="D299" s="105">
        <v>2033</v>
      </c>
      <c r="E299" s="112"/>
      <c r="F299" s="113"/>
      <c r="G299" s="114" t="str">
        <f t="shared" si="14"/>
        <v>0</v>
      </c>
      <c r="H299" s="115"/>
      <c r="I299" s="116">
        <f t="shared" si="16"/>
        <v>0</v>
      </c>
      <c r="J299" s="94"/>
      <c r="K299" s="111">
        <f t="shared" si="15"/>
        <v>0</v>
      </c>
      <c r="N299" s="91"/>
    </row>
    <row r="300" spans="4:14" s="87" customFormat="1" ht="15" hidden="1" customHeight="1" outlineLevel="1">
      <c r="D300" s="105">
        <v>2034</v>
      </c>
      <c r="E300" s="112"/>
      <c r="F300" s="113"/>
      <c r="G300" s="114" t="str">
        <f t="shared" si="14"/>
        <v>0</v>
      </c>
      <c r="H300" s="115"/>
      <c r="I300" s="116">
        <f t="shared" si="16"/>
        <v>0</v>
      </c>
      <c r="J300" s="94"/>
      <c r="K300" s="111">
        <f t="shared" si="15"/>
        <v>0</v>
      </c>
      <c r="N300" s="91"/>
    </row>
    <row r="301" spans="4:14" s="87" customFormat="1" ht="15" hidden="1" customHeight="1" outlineLevel="1">
      <c r="D301" s="105">
        <v>2035</v>
      </c>
      <c r="E301" s="112"/>
      <c r="F301" s="113"/>
      <c r="G301" s="114" t="str">
        <f t="shared" si="14"/>
        <v>0</v>
      </c>
      <c r="H301" s="115"/>
      <c r="I301" s="116">
        <f t="shared" si="16"/>
        <v>0</v>
      </c>
      <c r="J301" s="94"/>
      <c r="K301" s="111">
        <f t="shared" si="15"/>
        <v>0</v>
      </c>
      <c r="N301" s="91"/>
    </row>
    <row r="302" spans="4:14" s="87" customFormat="1" ht="15" hidden="1" customHeight="1" outlineLevel="1">
      <c r="D302" s="105">
        <v>2036</v>
      </c>
      <c r="E302" s="112"/>
      <c r="F302" s="113"/>
      <c r="G302" s="114" t="str">
        <f t="shared" si="14"/>
        <v>0</v>
      </c>
      <c r="H302" s="115"/>
      <c r="I302" s="116">
        <f t="shared" si="16"/>
        <v>0</v>
      </c>
      <c r="J302" s="94"/>
      <c r="K302" s="111">
        <f t="shared" si="15"/>
        <v>0</v>
      </c>
      <c r="N302" s="91"/>
    </row>
    <row r="303" spans="4:14" s="87" customFormat="1" ht="15" hidden="1" customHeight="1" outlineLevel="1">
      <c r="D303" s="105">
        <v>2037</v>
      </c>
      <c r="E303" s="112"/>
      <c r="F303" s="113"/>
      <c r="G303" s="114" t="str">
        <f t="shared" si="14"/>
        <v>0</v>
      </c>
      <c r="H303" s="115"/>
      <c r="I303" s="116">
        <f t="shared" si="16"/>
        <v>0</v>
      </c>
      <c r="J303" s="94"/>
      <c r="K303" s="111">
        <f t="shared" si="15"/>
        <v>0</v>
      </c>
      <c r="N303" s="91"/>
    </row>
    <row r="304" spans="4:14" s="87" customFormat="1" ht="15" hidden="1" customHeight="1" outlineLevel="1">
      <c r="D304" s="105">
        <v>2038</v>
      </c>
      <c r="E304" s="112"/>
      <c r="F304" s="113"/>
      <c r="G304" s="114" t="str">
        <f t="shared" si="14"/>
        <v>0</v>
      </c>
      <c r="H304" s="115"/>
      <c r="I304" s="116">
        <f t="shared" si="16"/>
        <v>0</v>
      </c>
      <c r="J304" s="94"/>
      <c r="K304" s="111">
        <f t="shared" si="15"/>
        <v>0</v>
      </c>
      <c r="N304" s="91"/>
    </row>
    <row r="305" spans="4:14" s="87" customFormat="1" ht="15" hidden="1" customHeight="1" outlineLevel="1">
      <c r="D305" s="105">
        <v>2039</v>
      </c>
      <c r="E305" s="112"/>
      <c r="F305" s="113"/>
      <c r="G305" s="114" t="str">
        <f t="shared" si="14"/>
        <v>0</v>
      </c>
      <c r="H305" s="115"/>
      <c r="I305" s="116">
        <f t="shared" si="16"/>
        <v>0</v>
      </c>
      <c r="J305" s="94"/>
      <c r="K305" s="111">
        <f t="shared" si="15"/>
        <v>0</v>
      </c>
      <c r="N305" s="91"/>
    </row>
    <row r="306" spans="4:14" s="87" customFormat="1" ht="15" hidden="1" customHeight="1" outlineLevel="1" thickBot="1">
      <c r="D306" s="105">
        <v>2040</v>
      </c>
      <c r="E306" s="117"/>
      <c r="F306" s="118"/>
      <c r="G306" s="119" t="str">
        <f t="shared" si="14"/>
        <v>0</v>
      </c>
      <c r="H306" s="120"/>
      <c r="I306" s="121">
        <f t="shared" si="16"/>
        <v>0</v>
      </c>
      <c r="J306" s="94"/>
      <c r="K306" s="122">
        <f t="shared" si="15"/>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0725A6DC-1552-4227-96A6-0A66E4C5F839}">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680-55A6-4C2B-8557-F1273BBDA0E5}">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212">
        <f>F26+F102+F178+K306</f>
        <v>12.441190391431022</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57.700890145843196</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40" t="s">
        <v>149</v>
      </c>
      <c r="D17" s="241"/>
      <c r="E17" s="241"/>
      <c r="F17" s="241"/>
      <c r="G17" s="241"/>
      <c r="H17" s="241"/>
      <c r="I17" s="241"/>
      <c r="J17" s="241"/>
      <c r="K17" s="242"/>
      <c r="M17" s="146"/>
      <c r="N17" s="146"/>
      <c r="O17" s="146"/>
      <c r="P17" s="146"/>
      <c r="Q17" s="146"/>
      <c r="R17" s="146"/>
      <c r="S17" s="24"/>
    </row>
    <row r="18" spans="2:21" s="5" customFormat="1" ht="150" customHeight="1" thickBot="1">
      <c r="C18" s="243"/>
      <c r="D18" s="244"/>
      <c r="E18" s="244"/>
      <c r="F18" s="244"/>
      <c r="G18" s="244"/>
      <c r="H18" s="244"/>
      <c r="I18" s="244"/>
      <c r="J18" s="244"/>
      <c r="K18" s="245"/>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111</v>
      </c>
      <c r="G23" s="183"/>
      <c r="H23" s="184"/>
      <c r="I23" s="1"/>
      <c r="M23" s="140"/>
      <c r="N23" s="137"/>
      <c r="O23" s="141"/>
      <c r="P23" s="142" t="str">
        <f>IF(F23="","",F23)</f>
        <v>大型有機ELテレビの技術開発</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12.441190391431022</v>
      </c>
      <c r="G26" s="204"/>
      <c r="H26" s="29" t="s">
        <v>13</v>
      </c>
      <c r="I26" s="1"/>
      <c r="M26" s="140"/>
      <c r="N26" s="137"/>
      <c r="O26" s="144">
        <v>2026</v>
      </c>
      <c r="P26" s="145">
        <f t="shared" si="0"/>
        <v>8.9376566399999996E-2</v>
      </c>
      <c r="Q26" s="145">
        <f t="shared" si="1"/>
        <v>0</v>
      </c>
      <c r="R26" s="145">
        <f t="shared" si="2"/>
        <v>0</v>
      </c>
      <c r="S26" s="145">
        <f t="shared" si="3"/>
        <v>0</v>
      </c>
      <c r="T26" s="143">
        <f t="shared" si="4"/>
        <v>8.9376566399999996E-2</v>
      </c>
      <c r="U26" s="140"/>
    </row>
    <row r="27" spans="2:21" ht="15" customHeight="1" outlineLevel="1">
      <c r="C27" s="5"/>
      <c r="D27" s="5"/>
      <c r="E27" s="5" t="s">
        <v>20</v>
      </c>
      <c r="F27" s="30"/>
      <c r="G27" s="30"/>
      <c r="H27" s="5"/>
      <c r="I27" s="1"/>
      <c r="M27" s="140"/>
      <c r="N27" s="137"/>
      <c r="O27" s="144">
        <v>2027</v>
      </c>
      <c r="P27" s="145">
        <f t="shared" si="0"/>
        <v>0.26812969920000002</v>
      </c>
      <c r="Q27" s="145">
        <f t="shared" si="1"/>
        <v>0</v>
      </c>
      <c r="R27" s="145">
        <f t="shared" si="2"/>
        <v>0</v>
      </c>
      <c r="S27" s="145">
        <f t="shared" si="3"/>
        <v>0</v>
      </c>
      <c r="T27" s="143">
        <f t="shared" si="4"/>
        <v>0.26812969920000002</v>
      </c>
      <c r="U27" s="140"/>
    </row>
    <row r="28" spans="2:21" ht="15" customHeight="1" outlineLevel="1">
      <c r="C28" s="5"/>
      <c r="D28" s="5"/>
      <c r="E28" s="31"/>
      <c r="F28" s="5" t="s">
        <v>12</v>
      </c>
      <c r="G28" s="32">
        <f>SUM(G51,G53)*I93/10000</f>
        <v>41.470634638103419</v>
      </c>
      <c r="H28" s="29" t="s">
        <v>13</v>
      </c>
      <c r="I28" s="1"/>
      <c r="M28" s="140"/>
      <c r="N28" s="137"/>
      <c r="O28" s="144">
        <v>2028</v>
      </c>
      <c r="P28" s="145">
        <f t="shared" si="0"/>
        <v>0.61913585087999978</v>
      </c>
      <c r="Q28" s="145">
        <f t="shared" si="1"/>
        <v>0</v>
      </c>
      <c r="R28" s="145">
        <f t="shared" si="2"/>
        <v>0</v>
      </c>
      <c r="S28" s="145">
        <f t="shared" si="3"/>
        <v>0</v>
      </c>
      <c r="T28" s="143">
        <f t="shared" si="4"/>
        <v>0.61913585087999978</v>
      </c>
      <c r="U28" s="140"/>
    </row>
    <row r="29" spans="2:21" ht="15" customHeight="1" outlineLevel="1">
      <c r="C29" s="5"/>
      <c r="D29" s="5"/>
      <c r="E29" s="5" t="s">
        <v>21</v>
      </c>
      <c r="F29" s="5"/>
      <c r="G29" s="30"/>
      <c r="H29" s="5"/>
      <c r="I29" s="1"/>
      <c r="M29" s="140"/>
      <c r="N29" s="137"/>
      <c r="O29" s="144">
        <v>2029</v>
      </c>
      <c r="P29" s="145">
        <f t="shared" si="0"/>
        <v>1.0517184322559998</v>
      </c>
      <c r="Q29" s="145">
        <f t="shared" si="1"/>
        <v>0</v>
      </c>
      <c r="R29" s="145">
        <f t="shared" si="2"/>
        <v>0</v>
      </c>
      <c r="S29" s="145">
        <f t="shared" si="3"/>
        <v>0</v>
      </c>
      <c r="T29" s="143">
        <f t="shared" si="4"/>
        <v>1.0517184322559998</v>
      </c>
      <c r="U29" s="140"/>
    </row>
    <row r="30" spans="2:21" ht="15" customHeight="1" outlineLevel="1">
      <c r="C30" s="5"/>
      <c r="D30" s="31"/>
      <c r="E30" s="5"/>
      <c r="F30" s="5" t="s">
        <v>12</v>
      </c>
      <c r="G30" s="32">
        <f>SUM(G59,G61)*I93/10000</f>
        <v>29.029444246672398</v>
      </c>
      <c r="H30" s="29" t="s">
        <v>13</v>
      </c>
      <c r="I30" s="1"/>
      <c r="M30" s="140"/>
      <c r="N30" s="137"/>
      <c r="O30" s="144">
        <v>2030</v>
      </c>
      <c r="P30" s="145">
        <f t="shared" si="0"/>
        <v>1.592446658976</v>
      </c>
      <c r="Q30" s="145">
        <f t="shared" si="1"/>
        <v>0</v>
      </c>
      <c r="R30" s="145">
        <f t="shared" si="2"/>
        <v>0</v>
      </c>
      <c r="S30" s="145">
        <f t="shared" si="3"/>
        <v>0</v>
      </c>
      <c r="T30" s="143">
        <f t="shared" si="4"/>
        <v>1.592446658976</v>
      </c>
      <c r="U30" s="140"/>
    </row>
    <row r="31" spans="2:21" ht="15" customHeight="1" outlineLevel="1" thickBot="1">
      <c r="C31" s="31"/>
      <c r="D31" s="5"/>
      <c r="E31" s="5"/>
      <c r="F31" s="30"/>
      <c r="G31" s="30"/>
      <c r="H31" s="5"/>
      <c r="I31" s="1"/>
      <c r="M31" s="140"/>
      <c r="N31" s="137"/>
      <c r="O31" s="144">
        <v>2031</v>
      </c>
      <c r="P31" s="145">
        <f t="shared" si="0"/>
        <v>2.3062079182463999</v>
      </c>
      <c r="Q31" s="145">
        <f t="shared" si="1"/>
        <v>0</v>
      </c>
      <c r="R31" s="145">
        <f t="shared" si="2"/>
        <v>0</v>
      </c>
      <c r="S31" s="145">
        <f t="shared" si="3"/>
        <v>0</v>
      </c>
      <c r="T31" s="143">
        <f t="shared" si="4"/>
        <v>2.3062079182463999</v>
      </c>
      <c r="U31" s="140"/>
    </row>
    <row r="32" spans="2:21" ht="15" customHeight="1" outlineLevel="1" thickBot="1">
      <c r="C32" s="33" t="s">
        <v>22</v>
      </c>
      <c r="D32" s="31"/>
      <c r="E32" s="5"/>
      <c r="F32" s="5"/>
      <c r="G32" s="33" t="s">
        <v>23</v>
      </c>
      <c r="H32" s="34">
        <v>2026</v>
      </c>
      <c r="I32" s="4" t="s">
        <v>24</v>
      </c>
      <c r="M32" s="140"/>
      <c r="N32" s="137"/>
      <c r="O32" s="144">
        <v>2032</v>
      </c>
      <c r="P32" s="145">
        <f t="shared" si="0"/>
        <v>3.117516549617088</v>
      </c>
      <c r="Q32" s="145">
        <f t="shared" si="1"/>
        <v>0</v>
      </c>
      <c r="R32" s="145">
        <f t="shared" si="2"/>
        <v>0</v>
      </c>
      <c r="S32" s="145">
        <f t="shared" si="3"/>
        <v>0</v>
      </c>
      <c r="T32" s="143">
        <f t="shared" si="4"/>
        <v>3.117516549617088</v>
      </c>
      <c r="U32" s="140"/>
    </row>
    <row r="33" spans="1:21" ht="20.100000000000001" customHeight="1" outlineLevel="1" thickBot="1">
      <c r="C33" s="31"/>
      <c r="D33" s="33" t="s">
        <v>12</v>
      </c>
      <c r="E33" s="5"/>
      <c r="F33" s="203">
        <f>F63*VLOOKUP(H32+3,D77:I93,6,FALSE)/10000</f>
        <v>1.0517184322559998</v>
      </c>
      <c r="G33" s="204"/>
      <c r="H33" s="29" t="s">
        <v>13</v>
      </c>
      <c r="M33" s="140"/>
      <c r="N33" s="137"/>
      <c r="O33" s="144">
        <v>2033</v>
      </c>
      <c r="P33" s="145">
        <f t="shared" si="0"/>
        <v>4.0387444149154179</v>
      </c>
      <c r="Q33" s="145">
        <f t="shared" si="1"/>
        <v>0</v>
      </c>
      <c r="R33" s="145">
        <f t="shared" si="2"/>
        <v>0</v>
      </c>
      <c r="S33" s="145">
        <f t="shared" si="3"/>
        <v>0</v>
      </c>
      <c r="T33" s="143">
        <f t="shared" si="4"/>
        <v>4.0387444149154179</v>
      </c>
      <c r="U33" s="140"/>
    </row>
    <row r="34" spans="1:21" ht="20.100000000000001" customHeight="1" outlineLevel="1">
      <c r="C34" s="31"/>
      <c r="D34" s="33"/>
      <c r="E34" s="5"/>
      <c r="F34" s="35"/>
      <c r="G34" s="35"/>
      <c r="H34" s="5"/>
      <c r="M34" s="140"/>
      <c r="N34" s="137"/>
      <c r="O34" s="144">
        <v>2034</v>
      </c>
      <c r="P34" s="145">
        <f t="shared" si="0"/>
        <v>5.0837622746132114</v>
      </c>
      <c r="Q34" s="145">
        <f t="shared" si="1"/>
        <v>0</v>
      </c>
      <c r="R34" s="145">
        <f t="shared" si="2"/>
        <v>0</v>
      </c>
      <c r="S34" s="145">
        <f t="shared" si="3"/>
        <v>0</v>
      </c>
      <c r="T34" s="143">
        <f t="shared" si="4"/>
        <v>5.0837622746132114</v>
      </c>
      <c r="U34" s="140"/>
    </row>
    <row r="35" spans="1:21" ht="20.100000000000001" customHeight="1" outlineLevel="1" thickBot="1">
      <c r="C35" s="5" t="s">
        <v>25</v>
      </c>
      <c r="D35" s="5"/>
      <c r="E35" s="5"/>
      <c r="F35" s="5"/>
      <c r="G35" s="5"/>
      <c r="H35" s="5"/>
      <c r="M35" s="140"/>
      <c r="N35" s="137"/>
      <c r="O35" s="144">
        <v>2035</v>
      </c>
      <c r="P35" s="145">
        <f t="shared" si="0"/>
        <v>6.2437320988777616</v>
      </c>
      <c r="Q35" s="145">
        <f t="shared" si="1"/>
        <v>0</v>
      </c>
      <c r="R35" s="145">
        <f t="shared" si="2"/>
        <v>0</v>
      </c>
      <c r="S35" s="145">
        <f t="shared" si="3"/>
        <v>0</v>
      </c>
      <c r="T35" s="143">
        <f t="shared" si="4"/>
        <v>6.2437320988777616</v>
      </c>
      <c r="U35" s="140"/>
    </row>
    <row r="36" spans="1:21" ht="20.100000000000001" customHeight="1" outlineLevel="1" thickBot="1">
      <c r="C36" s="5"/>
      <c r="D36" s="5" t="s">
        <v>12</v>
      </c>
      <c r="E36" s="5"/>
      <c r="F36" s="246">
        <f>0.0288893952*3994607*5/10000</f>
        <v>57.700890145843196</v>
      </c>
      <c r="G36" s="247"/>
      <c r="H36" s="5" t="s">
        <v>13</v>
      </c>
      <c r="M36" s="140"/>
      <c r="N36" s="137"/>
      <c r="O36" s="144">
        <v>2036</v>
      </c>
      <c r="P36" s="145">
        <f t="shared" si="0"/>
        <v>7.4303223391687672</v>
      </c>
      <c r="Q36" s="145">
        <f t="shared" si="1"/>
        <v>0</v>
      </c>
      <c r="R36" s="145">
        <f t="shared" si="2"/>
        <v>0</v>
      </c>
      <c r="S36" s="145">
        <f t="shared" si="3"/>
        <v>0</v>
      </c>
      <c r="T36" s="143">
        <f t="shared" si="4"/>
        <v>7.4303223391687672</v>
      </c>
      <c r="U36" s="140"/>
    </row>
    <row r="37" spans="1:21" ht="9.9499999999999993" customHeight="1" outlineLevel="1" thickBot="1">
      <c r="C37" s="5"/>
      <c r="D37" s="5"/>
      <c r="E37" s="5"/>
      <c r="F37" s="5"/>
      <c r="G37" s="5"/>
      <c r="H37" s="5"/>
      <c r="M37" s="140"/>
      <c r="N37" s="137"/>
      <c r="O37" s="144">
        <v>2037</v>
      </c>
      <c r="P37" s="145">
        <f t="shared" si="0"/>
        <v>8.6551326937288753</v>
      </c>
      <c r="Q37" s="145">
        <f t="shared" si="1"/>
        <v>0</v>
      </c>
      <c r="R37" s="145">
        <f t="shared" si="2"/>
        <v>0</v>
      </c>
      <c r="S37" s="145">
        <f t="shared" si="3"/>
        <v>0</v>
      </c>
      <c r="T37" s="143">
        <f t="shared" si="4"/>
        <v>8.6551326937288753</v>
      </c>
      <c r="U37" s="140"/>
    </row>
    <row r="38" spans="1:21" ht="52.5" customHeight="1" outlineLevel="1" thickBot="1">
      <c r="C38" s="31"/>
      <c r="D38" s="33" t="s">
        <v>26</v>
      </c>
      <c r="E38" s="5"/>
      <c r="F38" s="168" t="s">
        <v>115</v>
      </c>
      <c r="G38" s="169"/>
      <c r="H38" s="169"/>
      <c r="I38" s="169"/>
      <c r="J38" s="169"/>
      <c r="K38" s="170"/>
      <c r="M38" s="140"/>
      <c r="N38" s="137"/>
      <c r="O38" s="144">
        <v>2038</v>
      </c>
      <c r="P38" s="145">
        <f t="shared" si="0"/>
        <v>9.8480463781449892</v>
      </c>
      <c r="Q38" s="145">
        <f t="shared" si="1"/>
        <v>0</v>
      </c>
      <c r="R38" s="145">
        <f t="shared" si="2"/>
        <v>0</v>
      </c>
      <c r="S38" s="145">
        <f t="shared" si="3"/>
        <v>0</v>
      </c>
      <c r="T38" s="143">
        <f t="shared" si="4"/>
        <v>9.8480463781449892</v>
      </c>
      <c r="U38" s="140"/>
    </row>
    <row r="39" spans="1:21" ht="15" customHeight="1" outlineLevel="1">
      <c r="D39" s="23"/>
      <c r="M39" s="140"/>
      <c r="N39" s="137"/>
      <c r="O39" s="144">
        <v>2039</v>
      </c>
      <c r="P39" s="145">
        <f t="shared" si="0"/>
        <v>11.113775616474719</v>
      </c>
      <c r="Q39" s="145">
        <f t="shared" si="1"/>
        <v>0</v>
      </c>
      <c r="R39" s="145">
        <f t="shared" si="2"/>
        <v>0</v>
      </c>
      <c r="S39" s="145">
        <f t="shared" si="3"/>
        <v>0</v>
      </c>
      <c r="T39" s="143">
        <f t="shared" si="4"/>
        <v>11.113775616474719</v>
      </c>
      <c r="U39" s="140"/>
    </row>
    <row r="40" spans="1:21" ht="20.100000000000001" customHeight="1" outlineLevel="1">
      <c r="B40" s="28" t="s">
        <v>27</v>
      </c>
      <c r="M40" s="140"/>
      <c r="N40" s="137"/>
      <c r="O40" s="144">
        <v>2040</v>
      </c>
      <c r="P40" s="145">
        <f t="shared" si="0"/>
        <v>12.441190391431022</v>
      </c>
      <c r="Q40" s="145">
        <f t="shared" si="1"/>
        <v>0</v>
      </c>
      <c r="R40" s="145">
        <f t="shared" si="2"/>
        <v>0</v>
      </c>
      <c r="S40" s="145">
        <f t="shared" si="3"/>
        <v>0</v>
      </c>
      <c r="T40" s="143">
        <f t="shared" si="4"/>
        <v>12.441190391431022</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48" t="s">
        <v>131</v>
      </c>
      <c r="E42" s="249"/>
      <c r="F42" s="249"/>
      <c r="G42" s="249"/>
      <c r="H42" s="249"/>
      <c r="I42" s="249"/>
      <c r="J42" s="249"/>
      <c r="K42" s="250"/>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112</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134">
        <v>324</v>
      </c>
      <c r="G50" s="5" t="s">
        <v>38</v>
      </c>
      <c r="J50" s="19"/>
      <c r="N50" s="9"/>
    </row>
    <row r="51" spans="4:16" s="5" customFormat="1" ht="15" customHeight="1" outlineLevel="1" thickBot="1">
      <c r="D51" s="40"/>
      <c r="F51" s="9"/>
      <c r="G51" s="206">
        <f>+F50*H44*H45/100000</f>
        <v>7.2223488000000002E-2</v>
      </c>
      <c r="H51" s="207"/>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85">
        <f>+F52*H45/100000</f>
        <v>0</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113</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134">
        <v>226.8</v>
      </c>
      <c r="G58" s="43" t="s">
        <v>38</v>
      </c>
      <c r="H58" s="43"/>
      <c r="J58" s="19"/>
      <c r="N58" s="9"/>
    </row>
    <row r="59" spans="4:16" s="5" customFormat="1" ht="15" customHeight="1" outlineLevel="1" thickBot="1">
      <c r="D59" s="40"/>
      <c r="F59" s="9"/>
      <c r="G59" s="185">
        <f>+F58*H44*H45/100000</f>
        <v>5.0556441600000009E-2</v>
      </c>
      <c r="H59" s="186"/>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85">
        <f>+F60*H45/100000</f>
        <v>0</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7">
        <f>SUM(G51,G53)-SUM(G59,G61)</f>
        <v>2.1667046399999994E-2</v>
      </c>
      <c r="G63" s="188"/>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132</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114</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4000000</v>
      </c>
      <c r="F77" s="57">
        <v>0</v>
      </c>
      <c r="G77" s="58">
        <f>IF(E77="","",F77/E77)</f>
        <v>0</v>
      </c>
      <c r="H77" s="59"/>
      <c r="I77" s="60">
        <f>F77-H77</f>
        <v>0</v>
      </c>
      <c r="K77" s="61">
        <f t="shared" ref="K77:K93" si="5">I77*F$63/10000</f>
        <v>0</v>
      </c>
    </row>
    <row r="78" spans="2:11" ht="15" customHeight="1" outlineLevel="1">
      <c r="D78" s="55">
        <v>2025</v>
      </c>
      <c r="E78" s="56">
        <f>E77*1.01</f>
        <v>4040000</v>
      </c>
      <c r="F78" s="57">
        <v>0</v>
      </c>
      <c r="G78" s="58">
        <f t="shared" ref="G78:G93" si="6">IF(E78="","",F78/E78)</f>
        <v>0</v>
      </c>
      <c r="H78" s="59"/>
      <c r="I78" s="60">
        <f>I77+F78-H78</f>
        <v>0</v>
      </c>
      <c r="K78" s="61">
        <f t="shared" si="5"/>
        <v>0</v>
      </c>
    </row>
    <row r="79" spans="2:11" ht="15" customHeight="1" outlineLevel="1">
      <c r="D79" s="55">
        <v>2026</v>
      </c>
      <c r="E79" s="56">
        <f t="shared" ref="E79:E93" si="7">E78*1.01</f>
        <v>4080400</v>
      </c>
      <c r="F79" s="57">
        <f>750000*1.1*0.05</f>
        <v>41250.000000000007</v>
      </c>
      <c r="G79" s="58">
        <f t="shared" si="6"/>
        <v>1.0109303009508873E-2</v>
      </c>
      <c r="H79" s="59"/>
      <c r="I79" s="60">
        <f t="shared" ref="I79:I92" si="8">I78+F79-H79</f>
        <v>41250.000000000007</v>
      </c>
      <c r="K79" s="61">
        <f t="shared" si="5"/>
        <v>8.9376566399999996E-2</v>
      </c>
    </row>
    <row r="80" spans="2:11" ht="15" customHeight="1" outlineLevel="1">
      <c r="D80" s="55">
        <v>2027</v>
      </c>
      <c r="E80" s="56">
        <f t="shared" si="7"/>
        <v>4121204</v>
      </c>
      <c r="F80" s="57">
        <f>750000*1.1*0.1</f>
        <v>82500.000000000015</v>
      </c>
      <c r="G80" s="58">
        <f t="shared" si="6"/>
        <v>2.0018421801007671E-2</v>
      </c>
      <c r="H80" s="59"/>
      <c r="I80" s="60">
        <f t="shared" si="8"/>
        <v>123750.00000000003</v>
      </c>
      <c r="K80" s="61">
        <f t="shared" si="5"/>
        <v>0.26812969920000002</v>
      </c>
    </row>
    <row r="81" spans="4:14" ht="15" customHeight="1" outlineLevel="1">
      <c r="D81" s="55">
        <v>2028</v>
      </c>
      <c r="E81" s="56">
        <f t="shared" si="7"/>
        <v>4162416.04</v>
      </c>
      <c r="F81" s="57">
        <f>750000*1.2^2*0.15</f>
        <v>162000</v>
      </c>
      <c r="G81" s="58">
        <f t="shared" si="6"/>
        <v>3.8919703951554058E-2</v>
      </c>
      <c r="H81" s="59"/>
      <c r="I81" s="60">
        <f t="shared" si="8"/>
        <v>285750</v>
      </c>
      <c r="K81" s="61">
        <f t="shared" si="5"/>
        <v>0.61913585087999978</v>
      </c>
    </row>
    <row r="82" spans="4:14" ht="15" customHeight="1" outlineLevel="1">
      <c r="D82" s="55">
        <v>2029</v>
      </c>
      <c r="E82" s="56">
        <f t="shared" si="7"/>
        <v>4204040.2004000004</v>
      </c>
      <c r="F82" s="57">
        <f>750000*1.1^3*0.2</f>
        <v>199650.00000000009</v>
      </c>
      <c r="G82" s="58">
        <f t="shared" si="6"/>
        <v>4.7490031132671862E-2</v>
      </c>
      <c r="H82" s="59"/>
      <c r="I82" s="60">
        <f t="shared" si="8"/>
        <v>485400.00000000012</v>
      </c>
      <c r="K82" s="61">
        <f t="shared" si="5"/>
        <v>1.0517184322559998</v>
      </c>
    </row>
    <row r="83" spans="4:14" ht="15" customHeight="1" outlineLevel="1">
      <c r="D83" s="55">
        <v>2030</v>
      </c>
      <c r="E83" s="56">
        <f t="shared" si="7"/>
        <v>4246080.6024040002</v>
      </c>
      <c r="F83" s="57">
        <f>750000*1.1^3*0.25</f>
        <v>249562.50000000009</v>
      </c>
      <c r="G83" s="58">
        <f t="shared" si="6"/>
        <v>5.8774791005782007E-2</v>
      </c>
      <c r="H83" s="59"/>
      <c r="I83" s="60">
        <f t="shared" si="8"/>
        <v>734962.50000000023</v>
      </c>
      <c r="K83" s="61">
        <f t="shared" si="5"/>
        <v>1.592446658976</v>
      </c>
    </row>
    <row r="84" spans="4:14" ht="15" customHeight="1" outlineLevel="1">
      <c r="D84" s="55">
        <v>2031</v>
      </c>
      <c r="E84" s="56">
        <f t="shared" si="7"/>
        <v>4288541.4084280403</v>
      </c>
      <c r="F84" s="57">
        <f>750000*1.1^4*0.3</f>
        <v>329422.50000000006</v>
      </c>
      <c r="G84" s="58">
        <f t="shared" si="6"/>
        <v>7.6814578344190337E-2</v>
      </c>
      <c r="H84" s="59"/>
      <c r="I84" s="60">
        <f t="shared" si="8"/>
        <v>1064385.0000000002</v>
      </c>
      <c r="K84" s="61">
        <f t="shared" si="5"/>
        <v>2.3062079182463999</v>
      </c>
    </row>
    <row r="85" spans="4:14" ht="15" customHeight="1" outlineLevel="1">
      <c r="D85" s="55">
        <v>2032</v>
      </c>
      <c r="E85" s="56">
        <f t="shared" si="7"/>
        <v>4331426.8225123212</v>
      </c>
      <c r="F85" s="57">
        <f>750000*1.1^5*0.31</f>
        <v>374443.57500000013</v>
      </c>
      <c r="G85" s="58">
        <f t="shared" si="6"/>
        <v>8.6448089819699356E-2</v>
      </c>
      <c r="H85" s="59"/>
      <c r="I85" s="60">
        <f t="shared" si="8"/>
        <v>1438828.5750000004</v>
      </c>
      <c r="K85" s="61">
        <f t="shared" si="5"/>
        <v>3.117516549617088</v>
      </c>
    </row>
    <row r="86" spans="4:14" ht="15" customHeight="1" outlineLevel="1">
      <c r="D86" s="55">
        <v>2033</v>
      </c>
      <c r="E86" s="56">
        <f t="shared" si="7"/>
        <v>4374741.0907374443</v>
      </c>
      <c r="F86" s="57">
        <f>750000*1.1^6*0.32</f>
        <v>425174.64000000025</v>
      </c>
      <c r="G86" s="58">
        <f t="shared" si="6"/>
        <v>9.7188526402217118E-2</v>
      </c>
      <c r="H86" s="59"/>
      <c r="I86" s="60">
        <f t="shared" si="8"/>
        <v>1864003.2150000008</v>
      </c>
      <c r="K86" s="61">
        <f t="shared" si="5"/>
        <v>4.0387444149154179</v>
      </c>
    </row>
    <row r="87" spans="4:14" ht="15" customHeight="1" outlineLevel="1">
      <c r="D87" s="55">
        <v>2034</v>
      </c>
      <c r="E87" s="56">
        <f t="shared" si="7"/>
        <v>4418488.501644819</v>
      </c>
      <c r="F87" s="57">
        <f>750000*1.1^7*0.33</f>
        <v>482307.48225000029</v>
      </c>
      <c r="G87" s="58">
        <f t="shared" si="6"/>
        <v>0.10915666795793569</v>
      </c>
      <c r="H87" s="59"/>
      <c r="I87" s="60">
        <f t="shared" si="8"/>
        <v>2346310.6972500011</v>
      </c>
      <c r="K87" s="61">
        <f t="shared" si="5"/>
        <v>5.0837622746132114</v>
      </c>
    </row>
    <row r="88" spans="4:14" ht="15" customHeight="1" outlineLevel="1">
      <c r="D88" s="55">
        <v>2035</v>
      </c>
      <c r="E88" s="56">
        <f t="shared" si="7"/>
        <v>4462673.3866612669</v>
      </c>
      <c r="F88" s="57">
        <f>750000*1.1^8*0.333</f>
        <v>535361.30529750034</v>
      </c>
      <c r="G88" s="58">
        <f t="shared" si="6"/>
        <v>0.11996425884486003</v>
      </c>
      <c r="H88" s="59"/>
      <c r="I88" s="60">
        <f t="shared" si="8"/>
        <v>2881672.0025475016</v>
      </c>
      <c r="K88" s="61">
        <f t="shared" si="5"/>
        <v>6.2437320988777616</v>
      </c>
    </row>
    <row r="89" spans="4:14" ht="15" customHeight="1" outlineLevel="1">
      <c r="D89" s="55">
        <v>2036</v>
      </c>
      <c r="E89" s="56">
        <f t="shared" si="7"/>
        <v>4507300.1205278793</v>
      </c>
      <c r="F89" s="57">
        <f>750000*1.1^9*0.333</f>
        <v>588897.43582725036</v>
      </c>
      <c r="G89" s="58">
        <f t="shared" si="6"/>
        <v>0.13065414329638222</v>
      </c>
      <c r="H89" s="59">
        <f>F79</f>
        <v>41250.000000000007</v>
      </c>
      <c r="I89" s="60">
        <f t="shared" si="8"/>
        <v>3429319.4383747522</v>
      </c>
      <c r="K89" s="61">
        <f t="shared" si="5"/>
        <v>7.4303223391687672</v>
      </c>
    </row>
    <row r="90" spans="4:14" ht="15" customHeight="1" outlineLevel="1">
      <c r="D90" s="55">
        <v>2037</v>
      </c>
      <c r="E90" s="56">
        <f t="shared" si="7"/>
        <v>4552373.1217331579</v>
      </c>
      <c r="F90" s="57">
        <f>750000*1.1^10*0.333</f>
        <v>647787.17940997554</v>
      </c>
      <c r="G90" s="58">
        <f t="shared" si="6"/>
        <v>0.14229659170893116</v>
      </c>
      <c r="H90" s="59">
        <f t="shared" ref="H90:H93" si="9">F80</f>
        <v>82500.000000000015</v>
      </c>
      <c r="I90" s="60">
        <f t="shared" si="8"/>
        <v>3994606.6177847278</v>
      </c>
      <c r="K90" s="61">
        <f t="shared" si="5"/>
        <v>8.6551326937288753</v>
      </c>
    </row>
    <row r="91" spans="4:14" ht="15" customHeight="1" outlineLevel="1">
      <c r="D91" s="55">
        <v>2038</v>
      </c>
      <c r="E91" s="56">
        <f t="shared" si="7"/>
        <v>4597896.8529504891</v>
      </c>
      <c r="F91" s="57">
        <f>750000*1.1^11*0.333</f>
        <v>712565.8973509731</v>
      </c>
      <c r="G91" s="58">
        <f t="shared" si="6"/>
        <v>0.15497648601962802</v>
      </c>
      <c r="H91" s="59">
        <f t="shared" si="9"/>
        <v>162000</v>
      </c>
      <c r="I91" s="60">
        <f t="shared" si="8"/>
        <v>4545172.5151357008</v>
      </c>
      <c r="K91" s="61">
        <f t="shared" si="5"/>
        <v>9.8480463781449892</v>
      </c>
    </row>
    <row r="92" spans="4:14" ht="15" customHeight="1" outlineLevel="1">
      <c r="D92" s="55">
        <v>2039</v>
      </c>
      <c r="E92" s="56">
        <f t="shared" si="7"/>
        <v>4643875.8214799939</v>
      </c>
      <c r="F92" s="57">
        <f>750000*1.1^12*0.333</f>
        <v>783822.48708607047</v>
      </c>
      <c r="G92" s="58">
        <f t="shared" si="6"/>
        <v>0.16878627190256518</v>
      </c>
      <c r="H92" s="59">
        <f t="shared" si="9"/>
        <v>199650.00000000009</v>
      </c>
      <c r="I92" s="60">
        <f t="shared" si="8"/>
        <v>5129345.0022217715</v>
      </c>
      <c r="K92" s="61">
        <f t="shared" si="5"/>
        <v>11.113775616474719</v>
      </c>
    </row>
    <row r="93" spans="4:14" ht="15" customHeight="1" outlineLevel="1" thickBot="1">
      <c r="D93" s="55">
        <v>2040</v>
      </c>
      <c r="E93" s="56">
        <f t="shared" si="7"/>
        <v>4690314.5796947936</v>
      </c>
      <c r="F93" s="57">
        <f>750000*1.1^13*0.333</f>
        <v>862204.73579467752</v>
      </c>
      <c r="G93" s="64">
        <f t="shared" si="6"/>
        <v>0.18382663276517</v>
      </c>
      <c r="H93" s="59">
        <f t="shared" si="9"/>
        <v>249562.50000000009</v>
      </c>
      <c r="I93" s="66">
        <f>I92+F93-H93</f>
        <v>5741987.2380164489</v>
      </c>
      <c r="K93" s="67">
        <f t="shared" si="5"/>
        <v>12.441190391431022</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10">I153*F$139/10000</f>
        <v>0</v>
      </c>
    </row>
    <row r="154" spans="4:11" ht="15" hidden="1" customHeight="1" outlineLevel="1">
      <c r="D154" s="55">
        <v>2025</v>
      </c>
      <c r="E154" s="56"/>
      <c r="F154" s="57"/>
      <c r="G154" s="58" t="str">
        <f t="shared" ref="G154:G169" si="11">IF(E154="","",F154/E154)</f>
        <v/>
      </c>
      <c r="H154" s="59"/>
      <c r="I154" s="60">
        <f>I153+F154-H154</f>
        <v>0</v>
      </c>
      <c r="K154" s="61">
        <f t="shared" si="10"/>
        <v>0</v>
      </c>
    </row>
    <row r="155" spans="4:11" ht="15" hidden="1" customHeight="1" outlineLevel="1">
      <c r="D155" s="55">
        <v>2026</v>
      </c>
      <c r="E155" s="56"/>
      <c r="F155" s="57"/>
      <c r="G155" s="58" t="str">
        <f t="shared" si="11"/>
        <v/>
      </c>
      <c r="H155" s="59"/>
      <c r="I155" s="60">
        <f t="shared" ref="I155:I168" si="12">I154+F155-H155</f>
        <v>0</v>
      </c>
      <c r="K155" s="61">
        <f t="shared" si="10"/>
        <v>0</v>
      </c>
    </row>
    <row r="156" spans="4:11" ht="15" hidden="1" customHeight="1" outlineLevel="1">
      <c r="D156" s="55">
        <v>2027</v>
      </c>
      <c r="E156" s="56"/>
      <c r="F156" s="57"/>
      <c r="G156" s="58" t="str">
        <f t="shared" si="11"/>
        <v/>
      </c>
      <c r="H156" s="59"/>
      <c r="I156" s="60">
        <f t="shared" si="12"/>
        <v>0</v>
      </c>
      <c r="K156" s="61">
        <f t="shared" si="10"/>
        <v>0</v>
      </c>
    </row>
    <row r="157" spans="4:11" ht="15" hidden="1" customHeight="1" outlineLevel="1">
      <c r="D157" s="55">
        <v>2028</v>
      </c>
      <c r="E157" s="56"/>
      <c r="F157" s="57"/>
      <c r="G157" s="58" t="str">
        <f t="shared" si="11"/>
        <v/>
      </c>
      <c r="H157" s="59"/>
      <c r="I157" s="60">
        <f t="shared" si="12"/>
        <v>0</v>
      </c>
      <c r="K157" s="61">
        <f t="shared" si="10"/>
        <v>0</v>
      </c>
    </row>
    <row r="158" spans="4:11" ht="15" hidden="1" customHeight="1" outlineLevel="1">
      <c r="D158" s="55">
        <v>2029</v>
      </c>
      <c r="E158" s="56"/>
      <c r="F158" s="57"/>
      <c r="G158" s="58" t="str">
        <f t="shared" si="11"/>
        <v/>
      </c>
      <c r="H158" s="59"/>
      <c r="I158" s="60">
        <f t="shared" si="12"/>
        <v>0</v>
      </c>
      <c r="K158" s="61">
        <f t="shared" si="10"/>
        <v>0</v>
      </c>
    </row>
    <row r="159" spans="4:11" ht="15" hidden="1" customHeight="1" outlineLevel="1">
      <c r="D159" s="55">
        <v>2030</v>
      </c>
      <c r="E159" s="56"/>
      <c r="F159" s="57"/>
      <c r="G159" s="58" t="str">
        <f t="shared" si="11"/>
        <v/>
      </c>
      <c r="H159" s="59"/>
      <c r="I159" s="60">
        <f t="shared" si="12"/>
        <v>0</v>
      </c>
      <c r="K159" s="61">
        <f t="shared" si="10"/>
        <v>0</v>
      </c>
    </row>
    <row r="160" spans="4:11" ht="15" hidden="1" customHeight="1" outlineLevel="1">
      <c r="D160" s="55">
        <v>2031</v>
      </c>
      <c r="E160" s="56"/>
      <c r="F160" s="57"/>
      <c r="G160" s="58" t="str">
        <f t="shared" si="11"/>
        <v/>
      </c>
      <c r="H160" s="59"/>
      <c r="I160" s="60">
        <f t="shared" si="12"/>
        <v>0</v>
      </c>
      <c r="K160" s="61">
        <f t="shared" si="10"/>
        <v>0</v>
      </c>
    </row>
    <row r="161" spans="2:14" ht="15" hidden="1" customHeight="1" outlineLevel="1">
      <c r="D161" s="55">
        <v>2032</v>
      </c>
      <c r="E161" s="56"/>
      <c r="F161" s="57"/>
      <c r="G161" s="58" t="str">
        <f t="shared" si="11"/>
        <v/>
      </c>
      <c r="H161" s="59"/>
      <c r="I161" s="60">
        <f t="shared" si="12"/>
        <v>0</v>
      </c>
      <c r="K161" s="61">
        <f t="shared" si="10"/>
        <v>0</v>
      </c>
    </row>
    <row r="162" spans="2:14" ht="15" hidden="1" customHeight="1" outlineLevel="1">
      <c r="D162" s="55">
        <v>2033</v>
      </c>
      <c r="E162" s="56"/>
      <c r="F162" s="57"/>
      <c r="G162" s="58" t="str">
        <f t="shared" si="11"/>
        <v/>
      </c>
      <c r="H162" s="59"/>
      <c r="I162" s="60">
        <f t="shared" si="12"/>
        <v>0</v>
      </c>
      <c r="K162" s="61">
        <f t="shared" si="10"/>
        <v>0</v>
      </c>
    </row>
    <row r="163" spans="2:14" ht="15" hidden="1" customHeight="1" outlineLevel="1">
      <c r="D163" s="55">
        <v>2034</v>
      </c>
      <c r="E163" s="56"/>
      <c r="F163" s="57"/>
      <c r="G163" s="58" t="str">
        <f t="shared" si="11"/>
        <v/>
      </c>
      <c r="H163" s="59"/>
      <c r="I163" s="60">
        <f t="shared" si="12"/>
        <v>0</v>
      </c>
      <c r="K163" s="61">
        <f t="shared" si="10"/>
        <v>0</v>
      </c>
    </row>
    <row r="164" spans="2:14" ht="15" hidden="1" customHeight="1" outlineLevel="1">
      <c r="D164" s="55">
        <v>2035</v>
      </c>
      <c r="E164" s="56"/>
      <c r="F164" s="57"/>
      <c r="G164" s="58" t="str">
        <f t="shared" si="11"/>
        <v/>
      </c>
      <c r="H164" s="59"/>
      <c r="I164" s="60">
        <f t="shared" si="12"/>
        <v>0</v>
      </c>
      <c r="K164" s="61">
        <f t="shared" si="10"/>
        <v>0</v>
      </c>
    </row>
    <row r="165" spans="2:14" ht="15" hidden="1" customHeight="1" outlineLevel="1">
      <c r="D165" s="55">
        <v>2036</v>
      </c>
      <c r="E165" s="56"/>
      <c r="F165" s="57"/>
      <c r="G165" s="58" t="str">
        <f t="shared" si="11"/>
        <v/>
      </c>
      <c r="H165" s="59"/>
      <c r="I165" s="60">
        <f t="shared" si="12"/>
        <v>0</v>
      </c>
      <c r="K165" s="61">
        <f t="shared" si="10"/>
        <v>0</v>
      </c>
    </row>
    <row r="166" spans="2:14" ht="15" hidden="1" customHeight="1" outlineLevel="1">
      <c r="D166" s="55">
        <v>2037</v>
      </c>
      <c r="E166" s="56"/>
      <c r="F166" s="57"/>
      <c r="G166" s="58" t="str">
        <f t="shared" si="11"/>
        <v/>
      </c>
      <c r="H166" s="59"/>
      <c r="I166" s="60">
        <f t="shared" si="12"/>
        <v>0</v>
      </c>
      <c r="K166" s="61">
        <f t="shared" si="10"/>
        <v>0</v>
      </c>
    </row>
    <row r="167" spans="2:14" ht="15" hidden="1" customHeight="1" outlineLevel="1">
      <c r="D167" s="55">
        <v>2038</v>
      </c>
      <c r="E167" s="56"/>
      <c r="F167" s="57"/>
      <c r="G167" s="58" t="str">
        <f t="shared" si="11"/>
        <v/>
      </c>
      <c r="H167" s="59"/>
      <c r="I167" s="60">
        <f t="shared" si="12"/>
        <v>0</v>
      </c>
      <c r="K167" s="61">
        <f t="shared" si="10"/>
        <v>0</v>
      </c>
    </row>
    <row r="168" spans="2:14" ht="15" hidden="1" customHeight="1" outlineLevel="1">
      <c r="D168" s="55">
        <v>2039</v>
      </c>
      <c r="E168" s="56"/>
      <c r="F168" s="57"/>
      <c r="G168" s="58" t="str">
        <f t="shared" si="11"/>
        <v/>
      </c>
      <c r="H168" s="59"/>
      <c r="I168" s="60">
        <f t="shared" si="12"/>
        <v>0</v>
      </c>
      <c r="K168" s="61">
        <f t="shared" si="10"/>
        <v>0</v>
      </c>
    </row>
    <row r="169" spans="2:14" ht="15" hidden="1" customHeight="1" outlineLevel="1" thickBot="1">
      <c r="D169" s="55">
        <v>2040</v>
      </c>
      <c r="E169" s="62"/>
      <c r="F169" s="63"/>
      <c r="G169" s="64" t="str">
        <f t="shared" si="11"/>
        <v/>
      </c>
      <c r="H169" s="65"/>
      <c r="I169" s="66">
        <f>I168+F169-H169</f>
        <v>0</v>
      </c>
      <c r="K169" s="67">
        <f t="shared" si="10"/>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3">I229*F$215/10000</f>
        <v>0</v>
      </c>
    </row>
    <row r="230" spans="4:11" ht="15" hidden="1" customHeight="1" outlineLevel="1">
      <c r="D230" s="55">
        <v>2025</v>
      </c>
      <c r="E230" s="56"/>
      <c r="F230" s="57"/>
      <c r="G230" s="58" t="str">
        <f t="shared" ref="G230:G245" si="14">IF(E230="","",F230/E230)</f>
        <v/>
      </c>
      <c r="H230" s="59"/>
      <c r="I230" s="60">
        <f>I229+F230-H230</f>
        <v>0</v>
      </c>
      <c r="K230" s="61">
        <f t="shared" si="13"/>
        <v>0</v>
      </c>
    </row>
    <row r="231" spans="4:11" ht="15" hidden="1" customHeight="1" outlineLevel="1">
      <c r="D231" s="55">
        <v>2026</v>
      </c>
      <c r="E231" s="56"/>
      <c r="F231" s="57"/>
      <c r="G231" s="58" t="str">
        <f t="shared" si="14"/>
        <v/>
      </c>
      <c r="H231" s="59"/>
      <c r="I231" s="60">
        <f t="shared" ref="I231:I244" si="15">I230+F231-H231</f>
        <v>0</v>
      </c>
      <c r="K231" s="61">
        <f t="shared" si="13"/>
        <v>0</v>
      </c>
    </row>
    <row r="232" spans="4:11" ht="15" hidden="1" customHeight="1" outlineLevel="1">
      <c r="D232" s="55">
        <v>2027</v>
      </c>
      <c r="E232" s="56"/>
      <c r="F232" s="57"/>
      <c r="G232" s="58" t="str">
        <f t="shared" si="14"/>
        <v/>
      </c>
      <c r="H232" s="59"/>
      <c r="I232" s="60">
        <f t="shared" si="15"/>
        <v>0</v>
      </c>
      <c r="K232" s="61">
        <f t="shared" si="13"/>
        <v>0</v>
      </c>
    </row>
    <row r="233" spans="4:11" ht="15" hidden="1" customHeight="1" outlineLevel="1">
      <c r="D233" s="55">
        <v>2028</v>
      </c>
      <c r="E233" s="56"/>
      <c r="F233" s="57"/>
      <c r="G233" s="58" t="str">
        <f t="shared" si="14"/>
        <v/>
      </c>
      <c r="H233" s="59"/>
      <c r="I233" s="60">
        <f t="shared" si="15"/>
        <v>0</v>
      </c>
      <c r="K233" s="61">
        <f t="shared" si="13"/>
        <v>0</v>
      </c>
    </row>
    <row r="234" spans="4:11" ht="15" hidden="1" customHeight="1" outlineLevel="1">
      <c r="D234" s="55">
        <v>2029</v>
      </c>
      <c r="E234" s="56"/>
      <c r="F234" s="57"/>
      <c r="G234" s="58" t="str">
        <f t="shared" si="14"/>
        <v/>
      </c>
      <c r="H234" s="59"/>
      <c r="I234" s="60">
        <f t="shared" si="15"/>
        <v>0</v>
      </c>
      <c r="K234" s="61">
        <f t="shared" si="13"/>
        <v>0</v>
      </c>
    </row>
    <row r="235" spans="4:11" ht="15" hidden="1" customHeight="1" outlineLevel="1">
      <c r="D235" s="55">
        <v>2030</v>
      </c>
      <c r="E235" s="56"/>
      <c r="F235" s="57"/>
      <c r="G235" s="58" t="str">
        <f t="shared" si="14"/>
        <v/>
      </c>
      <c r="H235" s="59"/>
      <c r="I235" s="60">
        <f t="shared" si="15"/>
        <v>0</v>
      </c>
      <c r="K235" s="61">
        <f t="shared" si="13"/>
        <v>0</v>
      </c>
    </row>
    <row r="236" spans="4:11" ht="15" hidden="1" customHeight="1" outlineLevel="1">
      <c r="D236" s="55">
        <v>2031</v>
      </c>
      <c r="E236" s="56"/>
      <c r="F236" s="57"/>
      <c r="G236" s="58" t="str">
        <f t="shared" si="14"/>
        <v/>
      </c>
      <c r="H236" s="59"/>
      <c r="I236" s="60">
        <f t="shared" si="15"/>
        <v>0</v>
      </c>
      <c r="K236" s="61">
        <f t="shared" si="13"/>
        <v>0</v>
      </c>
    </row>
    <row r="237" spans="4:11" ht="15" hidden="1" customHeight="1" outlineLevel="1">
      <c r="D237" s="55">
        <v>2032</v>
      </c>
      <c r="E237" s="56"/>
      <c r="F237" s="57"/>
      <c r="G237" s="58" t="str">
        <f t="shared" si="14"/>
        <v/>
      </c>
      <c r="H237" s="59"/>
      <c r="I237" s="60">
        <f t="shared" si="15"/>
        <v>0</v>
      </c>
      <c r="K237" s="61">
        <f t="shared" si="13"/>
        <v>0</v>
      </c>
    </row>
    <row r="238" spans="4:11" ht="15" hidden="1" customHeight="1" outlineLevel="1">
      <c r="D238" s="55">
        <v>2033</v>
      </c>
      <c r="E238" s="56"/>
      <c r="F238" s="57"/>
      <c r="G238" s="58" t="str">
        <f t="shared" si="14"/>
        <v/>
      </c>
      <c r="H238" s="59"/>
      <c r="I238" s="60">
        <f t="shared" si="15"/>
        <v>0</v>
      </c>
      <c r="K238" s="61">
        <f t="shared" si="13"/>
        <v>0</v>
      </c>
    </row>
    <row r="239" spans="4:11" ht="15" hidden="1" customHeight="1" outlineLevel="1">
      <c r="D239" s="55">
        <v>2034</v>
      </c>
      <c r="E239" s="56"/>
      <c r="F239" s="57"/>
      <c r="G239" s="58" t="str">
        <f t="shared" si="14"/>
        <v/>
      </c>
      <c r="H239" s="59"/>
      <c r="I239" s="60">
        <f t="shared" si="15"/>
        <v>0</v>
      </c>
      <c r="K239" s="61">
        <f t="shared" si="13"/>
        <v>0</v>
      </c>
    </row>
    <row r="240" spans="4:11" ht="15" hidden="1" customHeight="1" outlineLevel="1">
      <c r="D240" s="55">
        <v>2035</v>
      </c>
      <c r="E240" s="56"/>
      <c r="F240" s="57"/>
      <c r="G240" s="58" t="str">
        <f t="shared" si="14"/>
        <v/>
      </c>
      <c r="H240" s="59"/>
      <c r="I240" s="60">
        <f t="shared" si="15"/>
        <v>0</v>
      </c>
      <c r="K240" s="61">
        <f t="shared" si="13"/>
        <v>0</v>
      </c>
    </row>
    <row r="241" spans="2:11" ht="15" hidden="1" customHeight="1" outlineLevel="1">
      <c r="D241" s="55">
        <v>2036</v>
      </c>
      <c r="E241" s="56"/>
      <c r="F241" s="57"/>
      <c r="G241" s="58" t="str">
        <f t="shared" si="14"/>
        <v/>
      </c>
      <c r="H241" s="59"/>
      <c r="I241" s="60">
        <f t="shared" si="15"/>
        <v>0</v>
      </c>
      <c r="K241" s="61">
        <f t="shared" si="13"/>
        <v>0</v>
      </c>
    </row>
    <row r="242" spans="2:11" ht="15" hidden="1" customHeight="1" outlineLevel="1">
      <c r="D242" s="55">
        <v>2037</v>
      </c>
      <c r="E242" s="56"/>
      <c r="F242" s="57"/>
      <c r="G242" s="58" t="str">
        <f t="shared" si="14"/>
        <v/>
      </c>
      <c r="H242" s="59"/>
      <c r="I242" s="60">
        <f t="shared" si="15"/>
        <v>0</v>
      </c>
      <c r="K242" s="61">
        <f t="shared" si="13"/>
        <v>0</v>
      </c>
    </row>
    <row r="243" spans="2:11" ht="15" hidden="1" customHeight="1" outlineLevel="1">
      <c r="D243" s="55">
        <v>2038</v>
      </c>
      <c r="E243" s="56"/>
      <c r="F243" s="57"/>
      <c r="G243" s="58" t="str">
        <f t="shared" si="14"/>
        <v/>
      </c>
      <c r="H243" s="59"/>
      <c r="I243" s="60">
        <f t="shared" si="15"/>
        <v>0</v>
      </c>
      <c r="K243" s="61">
        <f t="shared" si="13"/>
        <v>0</v>
      </c>
    </row>
    <row r="244" spans="2:11" ht="15" hidden="1" customHeight="1" outlineLevel="1">
      <c r="D244" s="55">
        <v>2039</v>
      </c>
      <c r="E244" s="56"/>
      <c r="F244" s="57"/>
      <c r="G244" s="58" t="str">
        <f t="shared" si="14"/>
        <v/>
      </c>
      <c r="H244" s="59"/>
      <c r="I244" s="60">
        <f t="shared" si="15"/>
        <v>0</v>
      </c>
      <c r="K244" s="61">
        <f t="shared" si="13"/>
        <v>0</v>
      </c>
    </row>
    <row r="245" spans="2:11" ht="15" hidden="1" customHeight="1" outlineLevel="1" thickBot="1">
      <c r="D245" s="55">
        <v>2040</v>
      </c>
      <c r="E245" s="62"/>
      <c r="F245" s="63"/>
      <c r="G245" s="64" t="str">
        <f t="shared" si="14"/>
        <v/>
      </c>
      <c r="H245" s="65"/>
      <c r="I245" s="66">
        <f>I244+F245-H245</f>
        <v>0</v>
      </c>
      <c r="K245" s="67">
        <f t="shared" si="13"/>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6">IF(E291="","0",F291/E291)</f>
        <v>0</v>
      </c>
      <c r="H291" s="115"/>
      <c r="I291" s="116">
        <f>I290+F291-H291</f>
        <v>0</v>
      </c>
      <c r="J291" s="94"/>
      <c r="K291" s="111">
        <f t="shared" ref="K291:K306" si="17">I291*$F$277/10000</f>
        <v>0</v>
      </c>
      <c r="N291" s="91"/>
    </row>
    <row r="292" spans="4:14" s="87" customFormat="1" ht="15" hidden="1" customHeight="1" outlineLevel="1">
      <c r="D292" s="105">
        <v>2026</v>
      </c>
      <c r="E292" s="112"/>
      <c r="F292" s="113"/>
      <c r="G292" s="114" t="str">
        <f t="shared" si="16"/>
        <v>0</v>
      </c>
      <c r="H292" s="115"/>
      <c r="I292" s="116">
        <f>I291+F292-H292</f>
        <v>0</v>
      </c>
      <c r="J292" s="94"/>
      <c r="K292" s="111">
        <f t="shared" si="17"/>
        <v>0</v>
      </c>
      <c r="N292" s="91"/>
    </row>
    <row r="293" spans="4:14" s="87" customFormat="1" ht="15" hidden="1" customHeight="1" outlineLevel="1">
      <c r="D293" s="105">
        <v>2027</v>
      </c>
      <c r="E293" s="112"/>
      <c r="F293" s="113"/>
      <c r="G293" s="114" t="str">
        <f t="shared" si="16"/>
        <v>0</v>
      </c>
      <c r="H293" s="115"/>
      <c r="I293" s="116">
        <f>I292+F293-H293</f>
        <v>0</v>
      </c>
      <c r="J293" s="94"/>
      <c r="K293" s="111">
        <f t="shared" si="17"/>
        <v>0</v>
      </c>
      <c r="N293" s="91"/>
    </row>
    <row r="294" spans="4:14" s="87" customFormat="1" ht="15" hidden="1" customHeight="1" outlineLevel="1">
      <c r="D294" s="105">
        <v>2028</v>
      </c>
      <c r="E294" s="112"/>
      <c r="F294" s="113"/>
      <c r="G294" s="114" t="str">
        <f t="shared" si="16"/>
        <v>0</v>
      </c>
      <c r="H294" s="115"/>
      <c r="I294" s="116">
        <f>I293+F294-H294</f>
        <v>0</v>
      </c>
      <c r="J294" s="94"/>
      <c r="K294" s="111">
        <f t="shared" si="17"/>
        <v>0</v>
      </c>
      <c r="N294" s="91"/>
    </row>
    <row r="295" spans="4:14" s="87" customFormat="1" ht="15" hidden="1" customHeight="1" outlineLevel="1">
      <c r="D295" s="105">
        <v>2029</v>
      </c>
      <c r="E295" s="112"/>
      <c r="F295" s="113"/>
      <c r="G295" s="114" t="str">
        <f t="shared" si="16"/>
        <v>0</v>
      </c>
      <c r="H295" s="115"/>
      <c r="I295" s="116">
        <f>I294+F295-H295</f>
        <v>0</v>
      </c>
      <c r="J295" s="94"/>
      <c r="K295" s="111">
        <f t="shared" si="17"/>
        <v>0</v>
      </c>
      <c r="N295" s="91"/>
    </row>
    <row r="296" spans="4:14" s="87" customFormat="1" ht="15" hidden="1" customHeight="1" outlineLevel="1">
      <c r="D296" s="105">
        <v>2030</v>
      </c>
      <c r="E296" s="112"/>
      <c r="F296" s="113"/>
      <c r="G296" s="114" t="str">
        <f t="shared" si="16"/>
        <v>0</v>
      </c>
      <c r="H296" s="115"/>
      <c r="I296" s="116">
        <f t="shared" ref="I296:I306" si="18">I295+F296-H296</f>
        <v>0</v>
      </c>
      <c r="J296" s="94"/>
      <c r="K296" s="111">
        <f t="shared" si="17"/>
        <v>0</v>
      </c>
      <c r="N296" s="91"/>
    </row>
    <row r="297" spans="4:14" s="87" customFormat="1" ht="15" hidden="1" customHeight="1" outlineLevel="1">
      <c r="D297" s="105">
        <v>2031</v>
      </c>
      <c r="E297" s="112"/>
      <c r="F297" s="113"/>
      <c r="G297" s="114" t="str">
        <f t="shared" si="16"/>
        <v>0</v>
      </c>
      <c r="H297" s="115"/>
      <c r="I297" s="116">
        <f t="shared" si="18"/>
        <v>0</v>
      </c>
      <c r="J297" s="94"/>
      <c r="K297" s="111">
        <f t="shared" si="17"/>
        <v>0</v>
      </c>
      <c r="N297" s="91"/>
    </row>
    <row r="298" spans="4:14" s="87" customFormat="1" ht="15" hidden="1" customHeight="1" outlineLevel="1">
      <c r="D298" s="105">
        <v>2032</v>
      </c>
      <c r="E298" s="112"/>
      <c r="F298" s="113"/>
      <c r="G298" s="114" t="str">
        <f t="shared" si="16"/>
        <v>0</v>
      </c>
      <c r="H298" s="115"/>
      <c r="I298" s="116">
        <f t="shared" si="18"/>
        <v>0</v>
      </c>
      <c r="J298" s="94"/>
      <c r="K298" s="111">
        <f t="shared" si="17"/>
        <v>0</v>
      </c>
      <c r="N298" s="91"/>
    </row>
    <row r="299" spans="4:14" s="87" customFormat="1" ht="15" hidden="1" customHeight="1" outlineLevel="1">
      <c r="D299" s="105">
        <v>2033</v>
      </c>
      <c r="E299" s="112"/>
      <c r="F299" s="113"/>
      <c r="G299" s="114" t="str">
        <f t="shared" si="16"/>
        <v>0</v>
      </c>
      <c r="H299" s="115"/>
      <c r="I299" s="116">
        <f t="shared" si="18"/>
        <v>0</v>
      </c>
      <c r="J299" s="94"/>
      <c r="K299" s="111">
        <f t="shared" si="17"/>
        <v>0</v>
      </c>
      <c r="N299" s="91"/>
    </row>
    <row r="300" spans="4:14" s="87" customFormat="1" ht="15" hidden="1" customHeight="1" outlineLevel="1">
      <c r="D300" s="105">
        <v>2034</v>
      </c>
      <c r="E300" s="112"/>
      <c r="F300" s="113"/>
      <c r="G300" s="114" t="str">
        <f t="shared" si="16"/>
        <v>0</v>
      </c>
      <c r="H300" s="115"/>
      <c r="I300" s="116">
        <f t="shared" si="18"/>
        <v>0</v>
      </c>
      <c r="J300" s="94"/>
      <c r="K300" s="111">
        <f t="shared" si="17"/>
        <v>0</v>
      </c>
      <c r="N300" s="91"/>
    </row>
    <row r="301" spans="4:14" s="87" customFormat="1" ht="15" hidden="1" customHeight="1" outlineLevel="1">
      <c r="D301" s="105">
        <v>2035</v>
      </c>
      <c r="E301" s="112"/>
      <c r="F301" s="113"/>
      <c r="G301" s="114" t="str">
        <f t="shared" si="16"/>
        <v>0</v>
      </c>
      <c r="H301" s="115"/>
      <c r="I301" s="116">
        <f t="shared" si="18"/>
        <v>0</v>
      </c>
      <c r="J301" s="94"/>
      <c r="K301" s="111">
        <f t="shared" si="17"/>
        <v>0</v>
      </c>
      <c r="N301" s="91"/>
    </row>
    <row r="302" spans="4:14" s="87" customFormat="1" ht="15" hidden="1" customHeight="1" outlineLevel="1">
      <c r="D302" s="105">
        <v>2036</v>
      </c>
      <c r="E302" s="112"/>
      <c r="F302" s="113"/>
      <c r="G302" s="114" t="str">
        <f t="shared" si="16"/>
        <v>0</v>
      </c>
      <c r="H302" s="115"/>
      <c r="I302" s="116">
        <f t="shared" si="18"/>
        <v>0</v>
      </c>
      <c r="J302" s="94"/>
      <c r="K302" s="111">
        <f t="shared" si="17"/>
        <v>0</v>
      </c>
      <c r="N302" s="91"/>
    </row>
    <row r="303" spans="4:14" s="87" customFormat="1" ht="15" hidden="1" customHeight="1" outlineLevel="1">
      <c r="D303" s="105">
        <v>2037</v>
      </c>
      <c r="E303" s="112"/>
      <c r="F303" s="113"/>
      <c r="G303" s="114" t="str">
        <f t="shared" si="16"/>
        <v>0</v>
      </c>
      <c r="H303" s="115"/>
      <c r="I303" s="116">
        <f t="shared" si="18"/>
        <v>0</v>
      </c>
      <c r="J303" s="94"/>
      <c r="K303" s="111">
        <f t="shared" si="17"/>
        <v>0</v>
      </c>
      <c r="N303" s="91"/>
    </row>
    <row r="304" spans="4:14" s="87" customFormat="1" ht="15" hidden="1" customHeight="1" outlineLevel="1">
      <c r="D304" s="105">
        <v>2038</v>
      </c>
      <c r="E304" s="112"/>
      <c r="F304" s="113"/>
      <c r="G304" s="114" t="str">
        <f t="shared" si="16"/>
        <v>0</v>
      </c>
      <c r="H304" s="115"/>
      <c r="I304" s="116">
        <f t="shared" si="18"/>
        <v>0</v>
      </c>
      <c r="J304" s="94"/>
      <c r="K304" s="111">
        <f t="shared" si="17"/>
        <v>0</v>
      </c>
      <c r="N304" s="91"/>
    </row>
    <row r="305" spans="4:14" s="87" customFormat="1" ht="15" hidden="1" customHeight="1" outlineLevel="1">
      <c r="D305" s="105">
        <v>2039</v>
      </c>
      <c r="E305" s="112"/>
      <c r="F305" s="113"/>
      <c r="G305" s="114" t="str">
        <f t="shared" si="16"/>
        <v>0</v>
      </c>
      <c r="H305" s="115"/>
      <c r="I305" s="116">
        <f t="shared" si="18"/>
        <v>0</v>
      </c>
      <c r="J305" s="94"/>
      <c r="K305" s="111">
        <f t="shared" si="17"/>
        <v>0</v>
      </c>
      <c r="N305" s="91"/>
    </row>
    <row r="306" spans="4:14" s="87" customFormat="1" ht="15" hidden="1" customHeight="1" outlineLevel="1" thickBot="1">
      <c r="D306" s="105">
        <v>2040</v>
      </c>
      <c r="E306" s="117"/>
      <c r="F306" s="118"/>
      <c r="G306" s="119" t="str">
        <f t="shared" si="16"/>
        <v>0</v>
      </c>
      <c r="H306" s="120"/>
      <c r="I306" s="121">
        <f t="shared" si="18"/>
        <v>0</v>
      </c>
      <c r="J306" s="94"/>
      <c r="K306" s="122">
        <f t="shared" si="17"/>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918C39B9-58EB-4089-B76E-B8DF0DBB316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A09C5-6BBD-441E-B1B9-0FA052779117}">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146</v>
      </c>
      <c r="L3" s="1"/>
      <c r="M3" s="1"/>
      <c r="N3" s="10"/>
    </row>
    <row r="4" spans="2:14" s="5" customFormat="1" ht="15" customHeight="1">
      <c r="B4" s="11" t="s">
        <v>1</v>
      </c>
      <c r="C4" s="6"/>
      <c r="D4" s="6"/>
      <c r="E4" s="10"/>
      <c r="F4" s="6"/>
      <c r="G4" s="6"/>
      <c r="J4" s="12"/>
      <c r="K4" s="6"/>
      <c r="L4" s="6"/>
      <c r="M4" s="13"/>
      <c r="N4" s="3"/>
    </row>
    <row r="5" spans="2:14" ht="20.100000000000001" customHeight="1">
      <c r="B5" s="211" t="s">
        <v>2</v>
      </c>
      <c r="C5" s="211"/>
      <c r="D5" s="211"/>
      <c r="E5" s="211"/>
      <c r="F5" s="211"/>
      <c r="G5" s="211"/>
      <c r="H5" s="211"/>
      <c r="I5" s="211"/>
      <c r="J5" s="211"/>
      <c r="K5" s="211"/>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101</v>
      </c>
      <c r="H9" s="6"/>
      <c r="I9" s="6"/>
      <c r="J9" s="19"/>
      <c r="N9" s="9"/>
    </row>
    <row r="10" spans="2:14" s="5" customFormat="1" ht="15" customHeight="1" thickBot="1">
      <c r="C10" s="5" t="s">
        <v>11</v>
      </c>
      <c r="J10" s="19"/>
      <c r="N10" s="9"/>
    </row>
    <row r="11" spans="2:14" ht="30" customHeight="1" thickTop="1" thickBot="1">
      <c r="D11" s="5" t="s">
        <v>12</v>
      </c>
      <c r="E11" s="5"/>
      <c r="F11" s="212">
        <f>F26+F102+F178+K306</f>
        <v>17.181495810000037</v>
      </c>
      <c r="G11" s="213"/>
      <c r="H11" s="214"/>
      <c r="I11" s="4" t="s">
        <v>13</v>
      </c>
    </row>
    <row r="12" spans="2:14" ht="15" customHeight="1" thickTop="1" thickBot="1">
      <c r="C12" s="5" t="s">
        <v>14</v>
      </c>
      <c r="D12" s="5"/>
      <c r="E12" s="5"/>
      <c r="F12" s="5"/>
      <c r="G12" s="5"/>
      <c r="H12" s="5"/>
    </row>
    <row r="13" spans="2:14" ht="20.100000000000001" customHeight="1" thickTop="1" thickBot="1">
      <c r="D13" s="5" t="s">
        <v>12</v>
      </c>
      <c r="E13" s="5"/>
      <c r="F13" s="215">
        <f>IF(F36+F112+F188+F260=0,"-",F36+F112+F188+F260)</f>
        <v>7.4453599999999991</v>
      </c>
      <c r="G13" s="216"/>
      <c r="H13" s="217"/>
      <c r="I13" s="4" t="s">
        <v>13</v>
      </c>
    </row>
    <row r="14" spans="2:14" ht="15" customHeight="1" thickTop="1">
      <c r="C14" s="20"/>
      <c r="D14" s="5"/>
      <c r="E14" s="5"/>
      <c r="F14" s="21" t="str">
        <f>IF(F11&gt;=100,"エラー：過大の可能性がある値が記載されておりますので今一度ご確認ください。","")</f>
        <v/>
      </c>
      <c r="G14" s="22"/>
    </row>
    <row r="15" spans="2:14" ht="399.95" customHeight="1">
      <c r="D15" s="23"/>
    </row>
    <row r="16" spans="2:14" s="5" customFormat="1" ht="15" customHeight="1" thickBot="1">
      <c r="C16" s="218" t="s">
        <v>15</v>
      </c>
      <c r="D16" s="218"/>
      <c r="E16" s="218"/>
      <c r="F16" s="218"/>
      <c r="G16" s="218"/>
      <c r="H16" s="218"/>
      <c r="I16" s="218"/>
      <c r="J16" s="218"/>
      <c r="K16" s="218"/>
      <c r="M16" s="9"/>
      <c r="N16" s="9"/>
    </row>
    <row r="17" spans="2:21" s="5" customFormat="1" ht="150" customHeight="1">
      <c r="C17" s="253" t="s">
        <v>147</v>
      </c>
      <c r="D17" s="254"/>
      <c r="E17" s="254"/>
      <c r="F17" s="254"/>
      <c r="G17" s="254"/>
      <c r="H17" s="254"/>
      <c r="I17" s="254"/>
      <c r="J17" s="254"/>
      <c r="K17" s="255"/>
      <c r="M17" s="146"/>
      <c r="N17" s="146"/>
      <c r="O17" s="146"/>
      <c r="P17" s="146"/>
      <c r="Q17" s="146"/>
      <c r="R17" s="146"/>
      <c r="S17" s="24"/>
    </row>
    <row r="18" spans="2:21" s="5" customFormat="1" ht="150" customHeight="1" thickBot="1">
      <c r="C18" s="256"/>
      <c r="D18" s="257"/>
      <c r="E18" s="257"/>
      <c r="F18" s="257"/>
      <c r="G18" s="257"/>
      <c r="H18" s="257"/>
      <c r="I18" s="257"/>
      <c r="J18" s="257"/>
      <c r="K18" s="258"/>
      <c r="M18" s="146"/>
      <c r="N18" s="146"/>
      <c r="O18" s="146"/>
      <c r="P18" s="146"/>
      <c r="Q18" s="146"/>
      <c r="R18" s="146"/>
    </row>
    <row r="19" spans="2:21" s="5" customFormat="1" ht="6" customHeight="1">
      <c r="D19" s="25"/>
      <c r="J19" s="19"/>
      <c r="M19" s="136"/>
      <c r="N19" s="137"/>
      <c r="O19" s="136"/>
      <c r="P19" s="136"/>
      <c r="Q19" s="136"/>
      <c r="R19" s="136"/>
      <c r="S19" s="136"/>
      <c r="T19" s="136"/>
      <c r="U19" s="136"/>
    </row>
    <row r="20" spans="2:21" s="5" customFormat="1" ht="6" customHeight="1" outlineLevel="1">
      <c r="D20" s="25"/>
      <c r="J20" s="19"/>
      <c r="M20" s="136"/>
      <c r="N20" s="137"/>
      <c r="O20" s="138"/>
      <c r="P20" s="138"/>
      <c r="Q20" s="138"/>
      <c r="R20" s="138"/>
      <c r="S20" s="138"/>
      <c r="T20" s="138"/>
      <c r="U20" s="139"/>
    </row>
    <row r="21" spans="2:21" ht="20.100000000000001" customHeight="1" outlineLevel="1">
      <c r="B21" s="26" t="s">
        <v>16</v>
      </c>
      <c r="C21" s="20"/>
      <c r="D21" s="27"/>
      <c r="K21" s="7"/>
      <c r="M21" s="140"/>
      <c r="N21" s="137" t="s">
        <v>138</v>
      </c>
      <c r="O21" s="138"/>
      <c r="P21" s="138"/>
      <c r="Q21" s="138"/>
      <c r="R21" s="138"/>
      <c r="S21" s="138"/>
      <c r="T21" s="138"/>
      <c r="U21" s="136"/>
    </row>
    <row r="22" spans="2:21" ht="20.100000000000001" customHeight="1" outlineLevel="1" thickBot="1">
      <c r="B22" s="28" t="s">
        <v>17</v>
      </c>
      <c r="H22" s="1"/>
      <c r="K22" s="7" t="s">
        <v>146</v>
      </c>
      <c r="M22" s="140"/>
      <c r="N22" s="137"/>
      <c r="O22" s="137"/>
      <c r="P22" s="140" t="s">
        <v>139</v>
      </c>
      <c r="Q22" s="140" t="s">
        <v>140</v>
      </c>
      <c r="R22" s="140" t="s">
        <v>141</v>
      </c>
      <c r="S22" s="140" t="s">
        <v>142</v>
      </c>
      <c r="T22" s="140"/>
      <c r="U22" s="140"/>
    </row>
    <row r="23" spans="2:21" ht="15" customHeight="1" outlineLevel="1" thickBot="1">
      <c r="B23" s="28"/>
      <c r="C23" s="5" t="s">
        <v>18</v>
      </c>
      <c r="D23" s="5"/>
      <c r="E23" s="5"/>
      <c r="F23" s="182" t="s">
        <v>116</v>
      </c>
      <c r="G23" s="183"/>
      <c r="H23" s="184"/>
      <c r="I23" s="1"/>
      <c r="M23" s="140"/>
      <c r="N23" s="137"/>
      <c r="O23" s="141"/>
      <c r="P23" s="142" t="str">
        <f>IF(F23="","",F23)</f>
        <v>高効率ガスタービン</v>
      </c>
      <c r="Q23" s="142" t="str">
        <f>IF(F99="","",F99)</f>
        <v/>
      </c>
      <c r="R23" s="142" t="str">
        <f>IF(F175="","",F175)</f>
        <v/>
      </c>
      <c r="S23" s="142" t="str">
        <f>IF(F251="","",F251)</f>
        <v/>
      </c>
      <c r="T23" s="143" t="s">
        <v>143</v>
      </c>
      <c r="U23" s="140"/>
    </row>
    <row r="24" spans="2:21" ht="15" customHeight="1" outlineLevel="1">
      <c r="B24" s="28"/>
      <c r="C24" s="5"/>
      <c r="D24" s="5"/>
      <c r="E24" s="6"/>
      <c r="F24" s="6"/>
      <c r="G24" s="6"/>
      <c r="H24" s="6"/>
      <c r="I24" s="1"/>
      <c r="M24" s="140"/>
      <c r="N24" s="137"/>
      <c r="O24" s="144">
        <v>2024</v>
      </c>
      <c r="P24" s="145">
        <f t="shared" ref="P24:P40" si="0">K77</f>
        <v>0</v>
      </c>
      <c r="Q24" s="145">
        <f t="shared" ref="Q24:Q40" si="1">K153</f>
        <v>0</v>
      </c>
      <c r="R24" s="145">
        <f t="shared" ref="R24:R40" si="2">K229</f>
        <v>0</v>
      </c>
      <c r="S24" s="145">
        <f t="shared" ref="S24:S40" si="3">K290</f>
        <v>0</v>
      </c>
      <c r="T24" s="143">
        <f>SUM(P24:S24)</f>
        <v>0</v>
      </c>
      <c r="U24" s="140"/>
    </row>
    <row r="25" spans="2:21" ht="15" customHeight="1" outlineLevel="1" thickBot="1">
      <c r="C25" s="5" t="s">
        <v>11</v>
      </c>
      <c r="D25" s="5"/>
      <c r="E25" s="5"/>
      <c r="F25" s="5"/>
      <c r="G25" s="5"/>
      <c r="H25" s="5"/>
      <c r="I25" s="1"/>
      <c r="M25" s="140"/>
      <c r="N25" s="137"/>
      <c r="O25" s="144">
        <v>2025</v>
      </c>
      <c r="P25" s="145">
        <f t="shared" si="0"/>
        <v>0</v>
      </c>
      <c r="Q25" s="145">
        <f t="shared" si="1"/>
        <v>0</v>
      </c>
      <c r="R25" s="145">
        <f t="shared" si="2"/>
        <v>0</v>
      </c>
      <c r="S25" s="145">
        <f t="shared" si="3"/>
        <v>0</v>
      </c>
      <c r="T25" s="143">
        <f t="shared" ref="T25:T40" si="4">SUM(P25:S25)</f>
        <v>0</v>
      </c>
      <c r="U25" s="140"/>
    </row>
    <row r="26" spans="2:21" ht="20.100000000000001" customHeight="1" outlineLevel="1" thickBot="1">
      <c r="C26" s="5"/>
      <c r="D26" s="5" t="s">
        <v>12</v>
      </c>
      <c r="E26" s="5"/>
      <c r="F26" s="203">
        <f>F63*I93/10000</f>
        <v>17.181495810000037</v>
      </c>
      <c r="G26" s="204"/>
      <c r="H26" s="29" t="s">
        <v>13</v>
      </c>
      <c r="I26" s="1"/>
      <c r="M26" s="140"/>
      <c r="N26" s="137"/>
      <c r="O26" s="144">
        <v>2026</v>
      </c>
      <c r="P26" s="145">
        <f t="shared" si="0"/>
        <v>0</v>
      </c>
      <c r="Q26" s="145">
        <f t="shared" si="1"/>
        <v>0</v>
      </c>
      <c r="R26" s="145">
        <f t="shared" si="2"/>
        <v>0</v>
      </c>
      <c r="S26" s="145">
        <f t="shared" si="3"/>
        <v>0</v>
      </c>
      <c r="T26" s="143">
        <f t="shared" si="4"/>
        <v>0</v>
      </c>
      <c r="U26" s="140"/>
    </row>
    <row r="27" spans="2:21" ht="15" customHeight="1" outlineLevel="1">
      <c r="C27" s="5"/>
      <c r="D27" s="5"/>
      <c r="E27" s="5" t="s">
        <v>20</v>
      </c>
      <c r="F27" s="30"/>
      <c r="G27" s="30"/>
      <c r="H27" s="5"/>
      <c r="I27" s="1"/>
      <c r="M27" s="140"/>
      <c r="N27" s="137"/>
      <c r="O27" s="144">
        <v>2027</v>
      </c>
      <c r="P27" s="145">
        <f t="shared" si="0"/>
        <v>0.5727165270000012</v>
      </c>
      <c r="Q27" s="145">
        <f t="shared" si="1"/>
        <v>0</v>
      </c>
      <c r="R27" s="145">
        <f t="shared" si="2"/>
        <v>0</v>
      </c>
      <c r="S27" s="145">
        <f t="shared" si="3"/>
        <v>0</v>
      </c>
      <c r="T27" s="143">
        <f t="shared" si="4"/>
        <v>0.5727165270000012</v>
      </c>
      <c r="U27" s="140"/>
    </row>
    <row r="28" spans="2:21" ht="15" customHeight="1" outlineLevel="1">
      <c r="C28" s="5"/>
      <c r="D28" s="5"/>
      <c r="E28" s="31"/>
      <c r="F28" s="5" t="s">
        <v>12</v>
      </c>
      <c r="G28" s="32">
        <f>SUM(G51,G53)*I93/10000</f>
        <v>214.87936608000001</v>
      </c>
      <c r="H28" s="29" t="s">
        <v>13</v>
      </c>
      <c r="I28" s="1"/>
      <c r="M28" s="140"/>
      <c r="N28" s="137"/>
      <c r="O28" s="144">
        <v>2028</v>
      </c>
      <c r="P28" s="145">
        <f t="shared" si="0"/>
        <v>1.1454330540000024</v>
      </c>
      <c r="Q28" s="145">
        <f t="shared" si="1"/>
        <v>0</v>
      </c>
      <c r="R28" s="145">
        <f t="shared" si="2"/>
        <v>0</v>
      </c>
      <c r="S28" s="145">
        <f t="shared" si="3"/>
        <v>0</v>
      </c>
      <c r="T28" s="143">
        <f t="shared" si="4"/>
        <v>1.1454330540000024</v>
      </c>
      <c r="U28" s="140"/>
    </row>
    <row r="29" spans="2:21" ht="15" customHeight="1" outlineLevel="1">
      <c r="C29" s="5"/>
      <c r="D29" s="5"/>
      <c r="E29" s="5" t="s">
        <v>21</v>
      </c>
      <c r="F29" s="5"/>
      <c r="G29" s="30"/>
      <c r="H29" s="5"/>
      <c r="I29" s="1"/>
      <c r="M29" s="140"/>
      <c r="N29" s="137"/>
      <c r="O29" s="144">
        <v>2029</v>
      </c>
      <c r="P29" s="145">
        <f t="shared" si="0"/>
        <v>1.7181495810000036</v>
      </c>
      <c r="Q29" s="145">
        <f t="shared" si="1"/>
        <v>0</v>
      </c>
      <c r="R29" s="145">
        <f t="shared" si="2"/>
        <v>0</v>
      </c>
      <c r="S29" s="145">
        <f t="shared" si="3"/>
        <v>0</v>
      </c>
      <c r="T29" s="143">
        <f t="shared" si="4"/>
        <v>1.7181495810000036</v>
      </c>
      <c r="U29" s="140"/>
    </row>
    <row r="30" spans="2:21" ht="15" customHeight="1" outlineLevel="1">
      <c r="C30" s="5"/>
      <c r="D30" s="31"/>
      <c r="E30" s="5"/>
      <c r="F30" s="5" t="s">
        <v>12</v>
      </c>
      <c r="G30" s="32">
        <f>SUM(G59,G61)*I93/10000</f>
        <v>197.69787026999998</v>
      </c>
      <c r="H30" s="29" t="s">
        <v>13</v>
      </c>
      <c r="I30" s="1"/>
      <c r="M30" s="140"/>
      <c r="N30" s="137"/>
      <c r="O30" s="144">
        <v>2030</v>
      </c>
      <c r="P30" s="145">
        <f t="shared" si="0"/>
        <v>2.2908661080000048</v>
      </c>
      <c r="Q30" s="145">
        <f t="shared" si="1"/>
        <v>0</v>
      </c>
      <c r="R30" s="145">
        <f t="shared" si="2"/>
        <v>0</v>
      </c>
      <c r="S30" s="145">
        <f t="shared" si="3"/>
        <v>0</v>
      </c>
      <c r="T30" s="143">
        <f t="shared" si="4"/>
        <v>2.2908661080000048</v>
      </c>
      <c r="U30" s="140"/>
    </row>
    <row r="31" spans="2:21" ht="15" customHeight="1" outlineLevel="1" thickBot="1">
      <c r="C31" s="31"/>
      <c r="D31" s="5"/>
      <c r="E31" s="5"/>
      <c r="F31" s="30"/>
      <c r="G31" s="30"/>
      <c r="H31" s="5"/>
      <c r="I31" s="1"/>
      <c r="M31" s="140"/>
      <c r="N31" s="137"/>
      <c r="O31" s="144">
        <v>2031</v>
      </c>
      <c r="P31" s="145">
        <f t="shared" si="0"/>
        <v>2.863582635000006</v>
      </c>
      <c r="Q31" s="145">
        <f t="shared" si="1"/>
        <v>0</v>
      </c>
      <c r="R31" s="145">
        <f t="shared" si="2"/>
        <v>0</v>
      </c>
      <c r="S31" s="145">
        <f t="shared" si="3"/>
        <v>0</v>
      </c>
      <c r="T31" s="143">
        <f t="shared" si="4"/>
        <v>2.863582635000006</v>
      </c>
      <c r="U31" s="140"/>
    </row>
    <row r="32" spans="2:21" ht="15" customHeight="1" outlineLevel="1" thickBot="1">
      <c r="C32" s="33" t="s">
        <v>22</v>
      </c>
      <c r="D32" s="31"/>
      <c r="E32" s="5"/>
      <c r="F32" s="5"/>
      <c r="G32" s="33" t="s">
        <v>23</v>
      </c>
      <c r="H32" s="34">
        <v>2027</v>
      </c>
      <c r="I32" s="4" t="s">
        <v>24</v>
      </c>
      <c r="M32" s="140"/>
      <c r="N32" s="137"/>
      <c r="O32" s="144">
        <v>2032</v>
      </c>
      <c r="P32" s="145">
        <f t="shared" si="0"/>
        <v>4.0090156890000088</v>
      </c>
      <c r="Q32" s="145">
        <f t="shared" si="1"/>
        <v>0</v>
      </c>
      <c r="R32" s="145">
        <f t="shared" si="2"/>
        <v>0</v>
      </c>
      <c r="S32" s="145">
        <f t="shared" si="3"/>
        <v>0</v>
      </c>
      <c r="T32" s="143">
        <f t="shared" si="4"/>
        <v>4.0090156890000088</v>
      </c>
      <c r="U32" s="140"/>
    </row>
    <row r="33" spans="1:21" ht="20.100000000000001" customHeight="1" outlineLevel="1" thickBot="1">
      <c r="C33" s="31"/>
      <c r="D33" s="33" t="s">
        <v>12</v>
      </c>
      <c r="E33" s="5"/>
      <c r="F33" s="203">
        <f>F63*VLOOKUP(H32+3,D77:I93,6,FALSE)/10000</f>
        <v>2.2908661080000048</v>
      </c>
      <c r="G33" s="204"/>
      <c r="H33" s="29" t="s">
        <v>13</v>
      </c>
      <c r="M33" s="140"/>
      <c r="N33" s="137"/>
      <c r="O33" s="144">
        <v>2033</v>
      </c>
      <c r="P33" s="145">
        <f t="shared" si="0"/>
        <v>5.1544487430000112</v>
      </c>
      <c r="Q33" s="145">
        <f t="shared" si="1"/>
        <v>0</v>
      </c>
      <c r="R33" s="145">
        <f t="shared" si="2"/>
        <v>0</v>
      </c>
      <c r="S33" s="145">
        <f t="shared" si="3"/>
        <v>0</v>
      </c>
      <c r="T33" s="143">
        <f t="shared" si="4"/>
        <v>5.1544487430000112</v>
      </c>
      <c r="U33" s="140"/>
    </row>
    <row r="34" spans="1:21" ht="20.100000000000001" customHeight="1" outlineLevel="1">
      <c r="C34" s="31"/>
      <c r="D34" s="33"/>
      <c r="E34" s="5"/>
      <c r="F34" s="35"/>
      <c r="G34" s="35"/>
      <c r="H34" s="5"/>
      <c r="M34" s="140"/>
      <c r="N34" s="137"/>
      <c r="O34" s="144">
        <v>2034</v>
      </c>
      <c r="P34" s="145">
        <f t="shared" si="0"/>
        <v>6.2998817970000136</v>
      </c>
      <c r="Q34" s="145">
        <f t="shared" si="1"/>
        <v>0</v>
      </c>
      <c r="R34" s="145">
        <f t="shared" si="2"/>
        <v>0</v>
      </c>
      <c r="S34" s="145">
        <f t="shared" si="3"/>
        <v>0</v>
      </c>
      <c r="T34" s="143">
        <f t="shared" si="4"/>
        <v>6.2998817970000136</v>
      </c>
      <c r="U34" s="140"/>
    </row>
    <row r="35" spans="1:21" ht="20.100000000000001" customHeight="1" outlineLevel="1" thickBot="1">
      <c r="C35" s="5" t="s">
        <v>25</v>
      </c>
      <c r="D35" s="5"/>
      <c r="E35" s="5"/>
      <c r="F35" s="5"/>
      <c r="G35" s="5"/>
      <c r="H35" s="5"/>
      <c r="M35" s="140"/>
      <c r="N35" s="137"/>
      <c r="O35" s="144">
        <v>2035</v>
      </c>
      <c r="P35" s="145">
        <f t="shared" si="0"/>
        <v>7.445314851000016</v>
      </c>
      <c r="Q35" s="145">
        <f t="shared" si="1"/>
        <v>0</v>
      </c>
      <c r="R35" s="145">
        <f t="shared" si="2"/>
        <v>0</v>
      </c>
      <c r="S35" s="145">
        <f t="shared" si="3"/>
        <v>0</v>
      </c>
      <c r="T35" s="143">
        <f t="shared" si="4"/>
        <v>7.445314851000016</v>
      </c>
      <c r="U35" s="140"/>
    </row>
    <row r="36" spans="1:21" ht="20.100000000000001" customHeight="1" outlineLevel="1" thickBot="1">
      <c r="C36" s="5"/>
      <c r="D36" s="5" t="s">
        <v>12</v>
      </c>
      <c r="E36" s="5"/>
      <c r="F36" s="166">
        <f>5727.2*13/10000</f>
        <v>7.4453599999999991</v>
      </c>
      <c r="G36" s="167"/>
      <c r="H36" s="5" t="s">
        <v>13</v>
      </c>
      <c r="M36" s="140"/>
      <c r="N36" s="137"/>
      <c r="O36" s="144">
        <v>2036</v>
      </c>
      <c r="P36" s="145">
        <f t="shared" si="0"/>
        <v>9.1634644320000191</v>
      </c>
      <c r="Q36" s="145">
        <f t="shared" si="1"/>
        <v>0</v>
      </c>
      <c r="R36" s="145">
        <f t="shared" si="2"/>
        <v>0</v>
      </c>
      <c r="S36" s="145">
        <f t="shared" si="3"/>
        <v>0</v>
      </c>
      <c r="T36" s="143">
        <f t="shared" si="4"/>
        <v>9.1634644320000191</v>
      </c>
      <c r="U36" s="140"/>
    </row>
    <row r="37" spans="1:21" ht="9.9499999999999993" customHeight="1" outlineLevel="1" thickBot="1">
      <c r="C37" s="5"/>
      <c r="D37" s="5"/>
      <c r="E37" s="5"/>
      <c r="F37" s="5"/>
      <c r="G37" s="5"/>
      <c r="H37" s="5"/>
      <c r="M37" s="140"/>
      <c r="N37" s="137"/>
      <c r="O37" s="144">
        <v>2037</v>
      </c>
      <c r="P37" s="145">
        <f t="shared" si="0"/>
        <v>10.881614013000023</v>
      </c>
      <c r="Q37" s="145">
        <f t="shared" si="1"/>
        <v>0</v>
      </c>
      <c r="R37" s="145">
        <f t="shared" si="2"/>
        <v>0</v>
      </c>
      <c r="S37" s="145">
        <f t="shared" si="3"/>
        <v>0</v>
      </c>
      <c r="T37" s="143">
        <f t="shared" si="4"/>
        <v>10.881614013000023</v>
      </c>
      <c r="U37" s="140"/>
    </row>
    <row r="38" spans="1:21" ht="52.5" customHeight="1" outlineLevel="1" thickBot="1">
      <c r="C38" s="31"/>
      <c r="D38" s="33" t="s">
        <v>26</v>
      </c>
      <c r="E38" s="5"/>
      <c r="F38" s="168" t="s">
        <v>133</v>
      </c>
      <c r="G38" s="169"/>
      <c r="H38" s="169"/>
      <c r="I38" s="169"/>
      <c r="J38" s="169"/>
      <c r="K38" s="170"/>
      <c r="M38" s="140"/>
      <c r="N38" s="137"/>
      <c r="O38" s="144">
        <v>2038</v>
      </c>
      <c r="P38" s="145">
        <f t="shared" si="0"/>
        <v>12.599763594000027</v>
      </c>
      <c r="Q38" s="145">
        <f t="shared" si="1"/>
        <v>0</v>
      </c>
      <c r="R38" s="145">
        <f t="shared" si="2"/>
        <v>0</v>
      </c>
      <c r="S38" s="145">
        <f t="shared" si="3"/>
        <v>0</v>
      </c>
      <c r="T38" s="143">
        <f t="shared" si="4"/>
        <v>12.599763594000027</v>
      </c>
      <c r="U38" s="140"/>
    </row>
    <row r="39" spans="1:21" ht="15" customHeight="1" outlineLevel="1">
      <c r="D39" s="23"/>
      <c r="M39" s="140"/>
      <c r="N39" s="137"/>
      <c r="O39" s="144">
        <v>2039</v>
      </c>
      <c r="P39" s="145">
        <f t="shared" si="0"/>
        <v>14.890629702000032</v>
      </c>
      <c r="Q39" s="145">
        <f t="shared" si="1"/>
        <v>0</v>
      </c>
      <c r="R39" s="145">
        <f t="shared" si="2"/>
        <v>0</v>
      </c>
      <c r="S39" s="145">
        <f t="shared" si="3"/>
        <v>0</v>
      </c>
      <c r="T39" s="143">
        <f t="shared" si="4"/>
        <v>14.890629702000032</v>
      </c>
      <c r="U39" s="140"/>
    </row>
    <row r="40" spans="1:21" ht="20.100000000000001" customHeight="1" outlineLevel="1">
      <c r="B40" s="28" t="s">
        <v>27</v>
      </c>
      <c r="M40" s="140"/>
      <c r="N40" s="137"/>
      <c r="O40" s="144">
        <v>2040</v>
      </c>
      <c r="P40" s="145">
        <f t="shared" si="0"/>
        <v>17.181495810000037</v>
      </c>
      <c r="Q40" s="145">
        <f t="shared" si="1"/>
        <v>0</v>
      </c>
      <c r="R40" s="145">
        <f t="shared" si="2"/>
        <v>0</v>
      </c>
      <c r="S40" s="145">
        <f t="shared" si="3"/>
        <v>0</v>
      </c>
      <c r="T40" s="143">
        <f t="shared" si="4"/>
        <v>17.181495810000037</v>
      </c>
      <c r="U40" s="140"/>
    </row>
    <row r="41" spans="1:21" ht="30" customHeight="1" outlineLevel="1" thickBot="1">
      <c r="B41" s="28"/>
      <c r="D41" s="205" t="s">
        <v>28</v>
      </c>
      <c r="E41" s="205"/>
      <c r="F41" s="205"/>
      <c r="G41" s="205"/>
      <c r="H41" s="205"/>
      <c r="I41" s="205"/>
      <c r="J41" s="205"/>
      <c r="K41" s="205"/>
      <c r="M41" s="140"/>
      <c r="N41" s="137"/>
      <c r="O41" s="140"/>
      <c r="P41" s="140"/>
      <c r="Q41" s="140"/>
      <c r="R41" s="140"/>
      <c r="S41" s="140"/>
      <c r="T41" s="140"/>
      <c r="U41" s="140"/>
    </row>
    <row r="42" spans="1:21" ht="399.75" customHeight="1" outlineLevel="1" thickBot="1">
      <c r="D42" s="237" t="s">
        <v>134</v>
      </c>
      <c r="E42" s="238"/>
      <c r="F42" s="238"/>
      <c r="G42" s="238"/>
      <c r="H42" s="238"/>
      <c r="I42" s="238"/>
      <c r="J42" s="238"/>
      <c r="K42" s="239"/>
      <c r="M42" s="140"/>
      <c r="N42" s="137"/>
      <c r="O42" s="140"/>
      <c r="P42" s="140"/>
      <c r="Q42" s="140"/>
      <c r="R42" s="140"/>
      <c r="S42" s="140"/>
      <c r="T42" s="140"/>
      <c r="U42" s="140"/>
    </row>
    <row r="43" spans="1:21" s="5" customFormat="1" ht="15" customHeight="1" outlineLevel="1">
      <c r="A43" s="4"/>
      <c r="M43" s="136"/>
      <c r="N43" s="137"/>
      <c r="O43" s="136" t="s">
        <v>29</v>
      </c>
      <c r="P43" s="136"/>
      <c r="Q43" s="136"/>
      <c r="R43" s="136"/>
      <c r="S43" s="136"/>
      <c r="T43" s="136"/>
      <c r="U43" s="136"/>
    </row>
    <row r="44" spans="1:21" s="5" customFormat="1" ht="15" customHeight="1" outlineLevel="1">
      <c r="A44" s="4"/>
      <c r="E44" s="5" t="s">
        <v>29</v>
      </c>
      <c r="F44" s="5" t="s">
        <v>30</v>
      </c>
      <c r="H44" s="36">
        <f>$Q$44</f>
        <v>8.64</v>
      </c>
      <c r="I44" s="5" t="s">
        <v>31</v>
      </c>
      <c r="M44" s="136"/>
      <c r="N44" s="136"/>
      <c r="O44" s="136" t="s">
        <v>30</v>
      </c>
      <c r="P44" s="136"/>
      <c r="Q44" s="147">
        <v>8.64</v>
      </c>
      <c r="R44" s="136" t="s">
        <v>31</v>
      </c>
      <c r="S44" s="136"/>
      <c r="T44" s="136"/>
      <c r="U44" s="136"/>
    </row>
    <row r="45" spans="1:21" s="5" customFormat="1" ht="15" customHeight="1" outlineLevel="1">
      <c r="A45" s="4"/>
      <c r="F45" s="5" t="s">
        <v>32</v>
      </c>
      <c r="H45" s="36">
        <f>$Q$45</f>
        <v>2.58</v>
      </c>
      <c r="I45" s="5" t="s">
        <v>33</v>
      </c>
      <c r="M45" s="136"/>
      <c r="N45" s="136"/>
      <c r="O45" s="136" t="s">
        <v>32</v>
      </c>
      <c r="P45" s="136"/>
      <c r="Q45" s="148">
        <v>2.58</v>
      </c>
      <c r="R45" s="136" t="s">
        <v>33</v>
      </c>
      <c r="S45" s="136"/>
      <c r="T45" s="136"/>
      <c r="U45" s="136"/>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75" t="s">
        <v>135</v>
      </c>
      <c r="G48" s="176"/>
      <c r="H48" s="176"/>
      <c r="I48" s="176"/>
      <c r="J48" s="176"/>
      <c r="K48" s="177"/>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206">
        <f>+F50*H44*H45/100000</f>
        <v>0</v>
      </c>
      <c r="H51" s="207"/>
      <c r="I51" s="5" t="s">
        <v>39</v>
      </c>
      <c r="J51" s="41" t="s">
        <v>40</v>
      </c>
      <c r="K51" s="38"/>
      <c r="L51" s="38"/>
      <c r="N51" s="9"/>
    </row>
    <row r="52" spans="4:16" s="5" customFormat="1" ht="15" customHeight="1" outlineLevel="1" thickBot="1">
      <c r="D52" s="38"/>
      <c r="E52" s="5" t="s">
        <v>41</v>
      </c>
      <c r="F52" s="131">
        <v>2776219200</v>
      </c>
      <c r="G52" s="5" t="s">
        <v>42</v>
      </c>
      <c r="J52" s="41"/>
      <c r="K52" s="38"/>
      <c r="L52" s="38"/>
      <c r="N52" s="9"/>
    </row>
    <row r="53" spans="4:16" s="5" customFormat="1" ht="15" customHeight="1" outlineLevel="1">
      <c r="D53" s="40"/>
      <c r="G53" s="185">
        <f>+F52*H45/100000</f>
        <v>71626.455360000007</v>
      </c>
      <c r="H53" s="186"/>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75" t="s">
        <v>136</v>
      </c>
      <c r="G56" s="176"/>
      <c r="H56" s="176"/>
      <c r="I56" s="176"/>
      <c r="J56" s="176"/>
      <c r="K56" s="177"/>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85">
        <f>+F58*H44*H45/100000</f>
        <v>0</v>
      </c>
      <c r="H59" s="186"/>
      <c r="I59" s="5" t="s">
        <v>39</v>
      </c>
      <c r="J59" s="19" t="s">
        <v>46</v>
      </c>
      <c r="K59" s="40"/>
      <c r="L59" s="40"/>
      <c r="N59" s="9"/>
    </row>
    <row r="60" spans="4:16" s="5" customFormat="1" ht="15" customHeight="1" outlineLevel="1" thickBot="1">
      <c r="D60" s="38"/>
      <c r="E60" s="5" t="s">
        <v>41</v>
      </c>
      <c r="F60" s="135">
        <v>2554236050</v>
      </c>
      <c r="G60" s="5" t="s">
        <v>42</v>
      </c>
      <c r="J60" s="19"/>
      <c r="N60" s="9"/>
    </row>
    <row r="61" spans="4:16" s="5" customFormat="1" ht="15" customHeight="1" outlineLevel="1">
      <c r="D61" s="40"/>
      <c r="G61" s="185">
        <f>+F60*H45/100000</f>
        <v>65899.290089999995</v>
      </c>
      <c r="H61" s="186"/>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251">
        <f>SUM(G51,G53)-SUM(G59,G61)</f>
        <v>5727.1652700000122</v>
      </c>
      <c r="G63" s="252"/>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146</v>
      </c>
    </row>
    <row r="68" spans="2:11" ht="30" customHeight="1" outlineLevel="1" thickBot="1">
      <c r="B68" s="28"/>
      <c r="D68" s="189" t="s">
        <v>28</v>
      </c>
      <c r="E68" s="189"/>
      <c r="F68" s="189"/>
      <c r="G68" s="189"/>
      <c r="H68" s="189"/>
      <c r="I68" s="189"/>
      <c r="J68" s="189"/>
      <c r="K68" s="189"/>
    </row>
    <row r="69" spans="2:11" ht="399.95" customHeight="1" outlineLevel="1" thickBot="1">
      <c r="D69" s="237" t="s">
        <v>137</v>
      </c>
      <c r="E69" s="238"/>
      <c r="F69" s="238"/>
      <c r="G69" s="238"/>
      <c r="H69" s="238"/>
      <c r="I69" s="238"/>
      <c r="J69" s="238"/>
      <c r="K69" s="239"/>
    </row>
    <row r="70" spans="2:11" ht="15" customHeight="1" outlineLevel="1" thickBot="1">
      <c r="D70" s="48"/>
      <c r="E70" s="48"/>
      <c r="F70" s="48"/>
      <c r="G70" s="48"/>
      <c r="H70" s="48"/>
      <c r="I70" s="48"/>
    </row>
    <row r="71" spans="2:11" ht="45" customHeight="1" outlineLevel="1" thickBot="1">
      <c r="D71" s="193" t="s">
        <v>50</v>
      </c>
      <c r="E71" s="194"/>
      <c r="F71" s="195" t="s">
        <v>116</v>
      </c>
      <c r="G71" s="196"/>
      <c r="H71" s="196"/>
      <c r="I71" s="196"/>
      <c r="J71" s="196"/>
      <c r="K71" s="197"/>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50" t="s">
        <v>54</v>
      </c>
      <c r="E75" s="51" t="s">
        <v>55</v>
      </c>
      <c r="F75" s="198" t="s">
        <v>56</v>
      </c>
      <c r="G75" s="198"/>
      <c r="H75" s="199" t="s">
        <v>57</v>
      </c>
      <c r="I75" s="201" t="s">
        <v>58</v>
      </c>
      <c r="K75" s="157" t="s">
        <v>59</v>
      </c>
    </row>
    <row r="76" spans="2:11" ht="30" customHeight="1" outlineLevel="1">
      <c r="D76" s="151"/>
      <c r="E76" s="52" t="s">
        <v>60</v>
      </c>
      <c r="F76" s="53" t="s">
        <v>61</v>
      </c>
      <c r="G76" s="54" t="s">
        <v>62</v>
      </c>
      <c r="H76" s="200"/>
      <c r="I76" s="202"/>
      <c r="K76" s="210"/>
    </row>
    <row r="77" spans="2:11" ht="15" customHeight="1" outlineLevel="1">
      <c r="D77" s="55">
        <v>2024</v>
      </c>
      <c r="E77" s="56">
        <v>59</v>
      </c>
      <c r="F77" s="57"/>
      <c r="G77" s="58">
        <f>IF(E77="","",F77/E77)</f>
        <v>0</v>
      </c>
      <c r="H77" s="59"/>
      <c r="I77" s="60">
        <f>F77-H77</f>
        <v>0</v>
      </c>
      <c r="K77" s="61">
        <f t="shared" ref="K77:K93" si="5">I77*F$63/10000</f>
        <v>0</v>
      </c>
    </row>
    <row r="78" spans="2:11" ht="15" customHeight="1" outlineLevel="1">
      <c r="D78" s="55">
        <v>2025</v>
      </c>
      <c r="E78" s="56">
        <f t="shared" ref="E78:E93" si="6">E77+1</f>
        <v>60</v>
      </c>
      <c r="F78" s="57"/>
      <c r="G78" s="58">
        <f t="shared" ref="G78:G93" si="7">IF(E78="","",F78/E78)</f>
        <v>0</v>
      </c>
      <c r="H78" s="59"/>
      <c r="I78" s="60">
        <f>I77+F78-H78</f>
        <v>0</v>
      </c>
      <c r="K78" s="61">
        <f t="shared" si="5"/>
        <v>0</v>
      </c>
    </row>
    <row r="79" spans="2:11" ht="15" customHeight="1" outlineLevel="1">
      <c r="D79" s="55">
        <v>2026</v>
      </c>
      <c r="E79" s="56">
        <f t="shared" si="6"/>
        <v>61</v>
      </c>
      <c r="F79" s="57"/>
      <c r="G79" s="58">
        <f t="shared" si="7"/>
        <v>0</v>
      </c>
      <c r="H79" s="59"/>
      <c r="I79" s="60">
        <f t="shared" ref="I79:I92" si="8">I78+F79-H79</f>
        <v>0</v>
      </c>
      <c r="K79" s="61">
        <f t="shared" si="5"/>
        <v>0</v>
      </c>
    </row>
    <row r="80" spans="2:11" ht="15" customHeight="1" outlineLevel="1">
      <c r="D80" s="55">
        <v>2027</v>
      </c>
      <c r="E80" s="56">
        <f t="shared" si="6"/>
        <v>62</v>
      </c>
      <c r="F80" s="56">
        <v>1</v>
      </c>
      <c r="G80" s="58">
        <f t="shared" si="7"/>
        <v>1.6129032258064516E-2</v>
      </c>
      <c r="H80" s="59"/>
      <c r="I80" s="60">
        <f t="shared" si="8"/>
        <v>1</v>
      </c>
      <c r="K80" s="61">
        <f t="shared" si="5"/>
        <v>0.5727165270000012</v>
      </c>
    </row>
    <row r="81" spans="4:14" ht="15" customHeight="1" outlineLevel="1">
      <c r="D81" s="55">
        <v>2028</v>
      </c>
      <c r="E81" s="56">
        <f t="shared" si="6"/>
        <v>63</v>
      </c>
      <c r="F81" s="56">
        <v>1</v>
      </c>
      <c r="G81" s="58">
        <f t="shared" si="7"/>
        <v>1.5873015873015872E-2</v>
      </c>
      <c r="H81" s="59"/>
      <c r="I81" s="60">
        <f t="shared" si="8"/>
        <v>2</v>
      </c>
      <c r="K81" s="61">
        <f t="shared" si="5"/>
        <v>1.1454330540000024</v>
      </c>
    </row>
    <row r="82" spans="4:14" ht="15" customHeight="1" outlineLevel="1">
      <c r="D82" s="55">
        <v>2029</v>
      </c>
      <c r="E82" s="56">
        <f t="shared" si="6"/>
        <v>64</v>
      </c>
      <c r="F82" s="56">
        <v>1</v>
      </c>
      <c r="G82" s="58">
        <f t="shared" si="7"/>
        <v>1.5625E-2</v>
      </c>
      <c r="H82" s="59"/>
      <c r="I82" s="60">
        <f t="shared" si="8"/>
        <v>3</v>
      </c>
      <c r="K82" s="61">
        <f t="shared" si="5"/>
        <v>1.7181495810000036</v>
      </c>
    </row>
    <row r="83" spans="4:14" ht="15" customHeight="1" outlineLevel="1">
      <c r="D83" s="55">
        <v>2030</v>
      </c>
      <c r="E83" s="56">
        <f t="shared" si="6"/>
        <v>65</v>
      </c>
      <c r="F83" s="56">
        <v>1</v>
      </c>
      <c r="G83" s="58">
        <f t="shared" si="7"/>
        <v>1.5384615384615385E-2</v>
      </c>
      <c r="H83" s="59"/>
      <c r="I83" s="60">
        <f t="shared" si="8"/>
        <v>4</v>
      </c>
      <c r="K83" s="61">
        <f t="shared" si="5"/>
        <v>2.2908661080000048</v>
      </c>
    </row>
    <row r="84" spans="4:14" ht="15" customHeight="1" outlineLevel="1">
      <c r="D84" s="55">
        <v>2031</v>
      </c>
      <c r="E84" s="56">
        <f t="shared" si="6"/>
        <v>66</v>
      </c>
      <c r="F84" s="56">
        <v>1</v>
      </c>
      <c r="G84" s="58">
        <f t="shared" si="7"/>
        <v>1.5151515151515152E-2</v>
      </c>
      <c r="H84" s="59"/>
      <c r="I84" s="60">
        <f t="shared" si="8"/>
        <v>5</v>
      </c>
      <c r="K84" s="61">
        <f t="shared" si="5"/>
        <v>2.863582635000006</v>
      </c>
    </row>
    <row r="85" spans="4:14" ht="15" customHeight="1" outlineLevel="1">
      <c r="D85" s="55">
        <v>2032</v>
      </c>
      <c r="E85" s="56">
        <f t="shared" si="6"/>
        <v>67</v>
      </c>
      <c r="F85" s="56">
        <v>2</v>
      </c>
      <c r="G85" s="58">
        <f t="shared" si="7"/>
        <v>2.9850746268656716E-2</v>
      </c>
      <c r="H85" s="59"/>
      <c r="I85" s="60">
        <f t="shared" si="8"/>
        <v>7</v>
      </c>
      <c r="K85" s="61">
        <f t="shared" si="5"/>
        <v>4.0090156890000088</v>
      </c>
    </row>
    <row r="86" spans="4:14" ht="15" customHeight="1" outlineLevel="1">
      <c r="D86" s="55">
        <v>2033</v>
      </c>
      <c r="E86" s="56">
        <f t="shared" si="6"/>
        <v>68</v>
      </c>
      <c r="F86" s="56">
        <v>2</v>
      </c>
      <c r="G86" s="58">
        <f t="shared" si="7"/>
        <v>2.9411764705882353E-2</v>
      </c>
      <c r="H86" s="59"/>
      <c r="I86" s="60">
        <f t="shared" si="8"/>
        <v>9</v>
      </c>
      <c r="K86" s="61">
        <f t="shared" si="5"/>
        <v>5.1544487430000112</v>
      </c>
    </row>
    <row r="87" spans="4:14" ht="15" customHeight="1" outlineLevel="1">
      <c r="D87" s="55">
        <v>2034</v>
      </c>
      <c r="E87" s="56">
        <f t="shared" si="6"/>
        <v>69</v>
      </c>
      <c r="F87" s="56">
        <v>2</v>
      </c>
      <c r="G87" s="58">
        <f t="shared" si="7"/>
        <v>2.8985507246376812E-2</v>
      </c>
      <c r="H87" s="59"/>
      <c r="I87" s="60">
        <f t="shared" si="8"/>
        <v>11</v>
      </c>
      <c r="K87" s="61">
        <f t="shared" si="5"/>
        <v>6.2998817970000136</v>
      </c>
    </row>
    <row r="88" spans="4:14" ht="15" customHeight="1" outlineLevel="1">
      <c r="D88" s="55">
        <v>2035</v>
      </c>
      <c r="E88" s="56">
        <f t="shared" si="6"/>
        <v>70</v>
      </c>
      <c r="F88" s="56">
        <v>2</v>
      </c>
      <c r="G88" s="58">
        <f t="shared" si="7"/>
        <v>2.8571428571428571E-2</v>
      </c>
      <c r="H88" s="59"/>
      <c r="I88" s="60">
        <f t="shared" si="8"/>
        <v>13</v>
      </c>
      <c r="K88" s="61">
        <f t="shared" si="5"/>
        <v>7.445314851000016</v>
      </c>
    </row>
    <row r="89" spans="4:14" ht="15" customHeight="1" outlineLevel="1">
      <c r="D89" s="55">
        <v>2036</v>
      </c>
      <c r="E89" s="56">
        <f t="shared" si="6"/>
        <v>71</v>
      </c>
      <c r="F89" s="56">
        <v>3</v>
      </c>
      <c r="G89" s="58">
        <f t="shared" si="7"/>
        <v>4.2253521126760563E-2</v>
      </c>
      <c r="H89" s="59"/>
      <c r="I89" s="60">
        <f t="shared" si="8"/>
        <v>16</v>
      </c>
      <c r="K89" s="61">
        <f t="shared" si="5"/>
        <v>9.1634644320000191</v>
      </c>
    </row>
    <row r="90" spans="4:14" ht="15" customHeight="1" outlineLevel="1">
      <c r="D90" s="55">
        <v>2037</v>
      </c>
      <c r="E90" s="56">
        <f t="shared" si="6"/>
        <v>72</v>
      </c>
      <c r="F90" s="56">
        <v>3</v>
      </c>
      <c r="G90" s="58">
        <f t="shared" si="7"/>
        <v>4.1666666666666664E-2</v>
      </c>
      <c r="H90" s="59"/>
      <c r="I90" s="60">
        <f t="shared" si="8"/>
        <v>19</v>
      </c>
      <c r="K90" s="61">
        <f t="shared" si="5"/>
        <v>10.881614013000023</v>
      </c>
    </row>
    <row r="91" spans="4:14" ht="15" customHeight="1" outlineLevel="1">
      <c r="D91" s="55">
        <v>2038</v>
      </c>
      <c r="E91" s="56">
        <f t="shared" si="6"/>
        <v>73</v>
      </c>
      <c r="F91" s="56">
        <v>3</v>
      </c>
      <c r="G91" s="58">
        <f t="shared" si="7"/>
        <v>4.1095890410958902E-2</v>
      </c>
      <c r="H91" s="59"/>
      <c r="I91" s="60">
        <f t="shared" si="8"/>
        <v>22</v>
      </c>
      <c r="K91" s="61">
        <f t="shared" si="5"/>
        <v>12.599763594000027</v>
      </c>
    </row>
    <row r="92" spans="4:14" ht="15" customHeight="1" outlineLevel="1">
      <c r="D92" s="55">
        <v>2039</v>
      </c>
      <c r="E92" s="56">
        <f t="shared" si="6"/>
        <v>74</v>
      </c>
      <c r="F92" s="56">
        <v>4</v>
      </c>
      <c r="G92" s="58">
        <f t="shared" si="7"/>
        <v>5.4054054054054057E-2</v>
      </c>
      <c r="H92" s="59"/>
      <c r="I92" s="60">
        <f t="shared" si="8"/>
        <v>26</v>
      </c>
      <c r="K92" s="61">
        <f t="shared" si="5"/>
        <v>14.890629702000032</v>
      </c>
    </row>
    <row r="93" spans="4:14" ht="15" customHeight="1" outlineLevel="1" thickBot="1">
      <c r="D93" s="55">
        <v>2040</v>
      </c>
      <c r="E93" s="62">
        <f t="shared" si="6"/>
        <v>75</v>
      </c>
      <c r="F93" s="62">
        <v>4</v>
      </c>
      <c r="G93" s="64">
        <f t="shared" si="7"/>
        <v>5.3333333333333337E-2</v>
      </c>
      <c r="H93" s="65"/>
      <c r="I93" s="66">
        <f>I92+F93-H93</f>
        <v>30</v>
      </c>
      <c r="K93" s="67">
        <f t="shared" si="5"/>
        <v>17.181495810000037</v>
      </c>
    </row>
    <row r="94" spans="4:14" ht="15" customHeight="1" outlineLevel="1">
      <c r="D94" s="68"/>
      <c r="E94" s="69"/>
      <c r="F94" s="70"/>
      <c r="G94" s="69"/>
      <c r="H94" s="69"/>
      <c r="I94" s="71" t="s">
        <v>63</v>
      </c>
      <c r="K94" s="72" t="s">
        <v>64</v>
      </c>
    </row>
    <row r="95" spans="4:14" ht="15" customHeight="1"/>
    <row r="96" spans="4:14" s="5" customFormat="1" ht="6" hidden="1" customHeight="1" outlineLevel="1">
      <c r="D96" s="25"/>
      <c r="J96" s="19"/>
      <c r="N96" s="9"/>
    </row>
    <row r="97" spans="2:20" ht="20.100000000000001" hidden="1" customHeight="1" outlineLevel="1">
      <c r="B97" s="26" t="s">
        <v>65</v>
      </c>
      <c r="C97" s="20"/>
      <c r="D97" s="27"/>
      <c r="K97" s="7"/>
      <c r="O97" s="68"/>
    </row>
    <row r="98" spans="2:20" ht="20.100000000000001" hidden="1" customHeight="1" outlineLevel="1" thickBot="1">
      <c r="B98" s="28" t="s">
        <v>66</v>
      </c>
      <c r="H98" s="1"/>
      <c r="K98" s="7" t="s">
        <v>146</v>
      </c>
      <c r="O98" s="68"/>
      <c r="P98" s="73"/>
      <c r="Q98" s="73"/>
      <c r="R98" s="73"/>
      <c r="S98" s="73"/>
      <c r="T98" s="73"/>
    </row>
    <row r="99" spans="2:20" ht="15" hidden="1" customHeight="1" outlineLevel="1" thickBot="1">
      <c r="B99" s="28"/>
      <c r="C99" s="5" t="s">
        <v>18</v>
      </c>
      <c r="D99" s="5"/>
      <c r="E99" s="5"/>
      <c r="F99" s="182"/>
      <c r="G99" s="183"/>
      <c r="H99" s="184"/>
      <c r="I99" s="1"/>
      <c r="O99" s="68"/>
      <c r="P99" s="73"/>
      <c r="Q99" s="73"/>
      <c r="R99" s="73"/>
      <c r="S99" s="73"/>
      <c r="T99" s="73"/>
    </row>
    <row r="100" spans="2:20" ht="15" hidden="1" customHeight="1" outlineLevel="1">
      <c r="B100" s="28"/>
      <c r="C100" s="5"/>
      <c r="D100" s="5"/>
      <c r="E100" s="6"/>
      <c r="F100" s="6"/>
      <c r="G100" s="6"/>
      <c r="H100" s="6"/>
      <c r="I100" s="1"/>
      <c r="O100" s="68"/>
      <c r="P100" s="73"/>
      <c r="Q100" s="73"/>
      <c r="R100" s="73"/>
      <c r="S100" s="73"/>
      <c r="T100" s="73"/>
    </row>
    <row r="101" spans="2:20" ht="15" hidden="1" customHeight="1" outlineLevel="1" thickBot="1">
      <c r="C101" s="5" t="s">
        <v>67</v>
      </c>
      <c r="D101" s="5"/>
      <c r="E101" s="5"/>
      <c r="F101" s="5"/>
      <c r="G101" s="5"/>
      <c r="H101" s="5"/>
      <c r="I101" s="1"/>
      <c r="O101" s="68"/>
      <c r="P101" s="73"/>
      <c r="Q101" s="73"/>
      <c r="R101" s="73"/>
      <c r="S101" s="73"/>
      <c r="T101" s="73"/>
    </row>
    <row r="102" spans="2:20" ht="20.100000000000001" hidden="1" customHeight="1" outlineLevel="1" thickBot="1">
      <c r="C102" s="5"/>
      <c r="D102" s="5" t="s">
        <v>12</v>
      </c>
      <c r="E102" s="5"/>
      <c r="F102" s="203">
        <f>F139*I169/10000</f>
        <v>0</v>
      </c>
      <c r="G102" s="204"/>
      <c r="H102" s="29" t="s">
        <v>13</v>
      </c>
      <c r="I102" s="1"/>
      <c r="O102" s="68"/>
      <c r="P102" s="73"/>
      <c r="Q102" s="73"/>
      <c r="R102" s="73"/>
      <c r="S102" s="73"/>
      <c r="T102" s="73"/>
    </row>
    <row r="103" spans="2:20" ht="15" hidden="1" customHeight="1" outlineLevel="1">
      <c r="C103" s="5"/>
      <c r="D103" s="5"/>
      <c r="E103" s="5" t="s">
        <v>20</v>
      </c>
      <c r="F103" s="30"/>
      <c r="G103" s="30"/>
      <c r="H103" s="5"/>
      <c r="I103" s="1"/>
      <c r="O103" s="68"/>
      <c r="P103" s="73"/>
      <c r="Q103" s="73"/>
      <c r="R103" s="73"/>
      <c r="S103" s="73"/>
      <c r="T103" s="73"/>
    </row>
    <row r="104" spans="2:20" ht="15" hidden="1" customHeight="1" outlineLevel="1">
      <c r="C104" s="5"/>
      <c r="D104" s="5"/>
      <c r="E104" s="31"/>
      <c r="F104" s="5" t="s">
        <v>12</v>
      </c>
      <c r="G104" s="32">
        <f>SUM(G127,G129)*I169/10000</f>
        <v>0</v>
      </c>
      <c r="H104" s="29" t="s">
        <v>13</v>
      </c>
      <c r="I104" s="1"/>
      <c r="O104" s="68"/>
      <c r="P104" s="73"/>
      <c r="Q104" s="73"/>
      <c r="R104" s="73"/>
      <c r="S104" s="73"/>
      <c r="T104" s="73"/>
    </row>
    <row r="105" spans="2:20" ht="15" hidden="1" customHeight="1" outlineLevel="1">
      <c r="C105" s="5"/>
      <c r="D105" s="5"/>
      <c r="E105" s="5" t="s">
        <v>21</v>
      </c>
      <c r="F105" s="5"/>
      <c r="G105" s="30"/>
      <c r="H105" s="5"/>
      <c r="I105" s="1"/>
      <c r="O105" s="68"/>
      <c r="P105" s="73"/>
      <c r="Q105" s="73"/>
      <c r="R105" s="73"/>
      <c r="S105" s="73"/>
      <c r="T105" s="73"/>
    </row>
    <row r="106" spans="2:20" ht="15" hidden="1" customHeight="1" outlineLevel="1">
      <c r="C106" s="5"/>
      <c r="D106" s="31"/>
      <c r="E106" s="5"/>
      <c r="F106" s="5" t="s">
        <v>12</v>
      </c>
      <c r="G106" s="32">
        <f>SUM(G135,G137)*I169/10000</f>
        <v>0</v>
      </c>
      <c r="H106" s="29" t="s">
        <v>13</v>
      </c>
      <c r="I106" s="1"/>
      <c r="O106" s="68"/>
      <c r="P106" s="73"/>
      <c r="Q106" s="73"/>
      <c r="R106" s="73"/>
      <c r="S106" s="73"/>
      <c r="T106" s="73"/>
    </row>
    <row r="107" spans="2:20" ht="15" hidden="1" customHeight="1" outlineLevel="1" thickBot="1">
      <c r="C107" s="31"/>
      <c r="D107" s="5"/>
      <c r="E107" s="5"/>
      <c r="F107" s="30"/>
      <c r="G107" s="30"/>
      <c r="H107" s="5"/>
      <c r="I107" s="1"/>
      <c r="O107" s="68"/>
      <c r="P107" s="73"/>
      <c r="Q107" s="73"/>
      <c r="R107" s="73"/>
      <c r="S107" s="73"/>
      <c r="T107" s="73"/>
    </row>
    <row r="108" spans="2:20" ht="15" hidden="1" customHeight="1" outlineLevel="1" thickBot="1">
      <c r="C108" s="33" t="s">
        <v>22</v>
      </c>
      <c r="D108" s="31"/>
      <c r="E108" s="5"/>
      <c r="F108" s="5"/>
      <c r="G108" s="33" t="s">
        <v>23</v>
      </c>
      <c r="H108" s="34"/>
      <c r="I108" s="4" t="s">
        <v>24</v>
      </c>
      <c r="O108" s="68"/>
      <c r="P108" s="73"/>
      <c r="Q108" s="73"/>
      <c r="R108" s="73"/>
      <c r="S108" s="73"/>
      <c r="T108" s="73"/>
    </row>
    <row r="109" spans="2:20" ht="20.100000000000001" hidden="1" customHeight="1" outlineLevel="1" thickBot="1">
      <c r="C109" s="31"/>
      <c r="D109" s="33" t="s">
        <v>12</v>
      </c>
      <c r="E109" s="5"/>
      <c r="F109" s="203" t="e">
        <f>F139*VLOOKUP(H108+3,D153:I169,6,FALSE)/10000</f>
        <v>#N/A</v>
      </c>
      <c r="G109" s="204"/>
      <c r="H109" s="29" t="s">
        <v>13</v>
      </c>
      <c r="O109" s="68"/>
      <c r="P109" s="73"/>
      <c r="Q109" s="73"/>
      <c r="R109" s="73"/>
      <c r="S109" s="73"/>
      <c r="T109" s="73"/>
    </row>
    <row r="110" spans="2:20" ht="20.100000000000001" hidden="1" customHeight="1" outlineLevel="1">
      <c r="C110" s="31"/>
      <c r="D110" s="33"/>
      <c r="E110" s="5"/>
      <c r="F110" s="35"/>
      <c r="G110" s="35"/>
      <c r="H110" s="5"/>
    </row>
    <row r="111" spans="2:20" ht="20.100000000000001" hidden="1" customHeight="1" outlineLevel="1" thickBot="1">
      <c r="C111" s="5" t="s">
        <v>25</v>
      </c>
      <c r="D111" s="5"/>
      <c r="E111" s="5"/>
      <c r="F111" s="5"/>
      <c r="G111" s="5"/>
      <c r="H111" s="5"/>
    </row>
    <row r="112" spans="2:20" ht="20.100000000000001" hidden="1" customHeight="1" outlineLevel="1" thickBot="1">
      <c r="C112" s="5"/>
      <c r="D112" s="5" t="s">
        <v>12</v>
      </c>
      <c r="E112" s="5"/>
      <c r="F112" s="166"/>
      <c r="G112" s="167"/>
      <c r="H112" s="5" t="s">
        <v>13</v>
      </c>
    </row>
    <row r="113" spans="1:20" ht="9.9499999999999993" hidden="1" customHeight="1" outlineLevel="1" thickBot="1">
      <c r="C113" s="5"/>
      <c r="D113" s="5"/>
      <c r="E113" s="5"/>
      <c r="F113" s="5"/>
      <c r="G113" s="5"/>
      <c r="H113" s="5"/>
    </row>
    <row r="114" spans="1:20" ht="52.5" hidden="1" customHeight="1" outlineLevel="1" thickBot="1">
      <c r="C114" s="31"/>
      <c r="D114" s="33" t="s">
        <v>26</v>
      </c>
      <c r="E114" s="5"/>
      <c r="F114" s="168"/>
      <c r="G114" s="169"/>
      <c r="H114" s="169"/>
      <c r="I114" s="169"/>
      <c r="J114" s="169"/>
      <c r="K114" s="170"/>
    </row>
    <row r="115" spans="1:20" ht="15" hidden="1" customHeight="1" outlineLevel="1">
      <c r="D115" s="23"/>
      <c r="O115" s="68"/>
      <c r="P115" s="73"/>
      <c r="Q115" s="73"/>
      <c r="R115" s="73"/>
      <c r="S115" s="73"/>
      <c r="T115" s="73"/>
    </row>
    <row r="116" spans="1:20" ht="20.100000000000001" hidden="1" customHeight="1" outlineLevel="1">
      <c r="B116" s="28" t="s">
        <v>68</v>
      </c>
      <c r="O116" s="68"/>
      <c r="P116" s="73"/>
      <c r="Q116" s="73"/>
      <c r="R116" s="73"/>
      <c r="S116" s="73"/>
      <c r="T116" s="73"/>
    </row>
    <row r="117" spans="1:20" ht="30" hidden="1" customHeight="1" outlineLevel="1" thickBot="1">
      <c r="B117" s="28"/>
      <c r="D117" s="205" t="s">
        <v>28</v>
      </c>
      <c r="E117" s="205"/>
      <c r="F117" s="205"/>
      <c r="G117" s="205"/>
      <c r="H117" s="205"/>
      <c r="I117" s="205"/>
      <c r="J117" s="205"/>
      <c r="K117" s="205"/>
      <c r="O117" s="68"/>
      <c r="P117" s="73"/>
      <c r="Q117" s="73"/>
      <c r="R117" s="73"/>
      <c r="S117" s="73"/>
      <c r="T117" s="73"/>
    </row>
    <row r="118" spans="1:20" ht="399.95" hidden="1" customHeight="1" outlineLevel="1" thickBot="1">
      <c r="D118" s="190"/>
      <c r="E118" s="191"/>
      <c r="F118" s="191"/>
      <c r="G118" s="191"/>
      <c r="H118" s="191"/>
      <c r="I118" s="191"/>
      <c r="J118" s="191"/>
      <c r="K118" s="192"/>
      <c r="O118" s="68"/>
      <c r="P118" s="73"/>
      <c r="Q118" s="73"/>
      <c r="R118" s="73"/>
      <c r="S118" s="73"/>
      <c r="T118" s="73"/>
    </row>
    <row r="119" spans="1:20" s="5" customFormat="1" ht="15" hidden="1" customHeight="1" outlineLevel="1">
      <c r="A119" s="4"/>
      <c r="J119" s="19"/>
      <c r="N119" s="9"/>
      <c r="O119" s="74"/>
      <c r="P119" s="75"/>
      <c r="Q119" s="75"/>
      <c r="R119" s="75"/>
      <c r="S119" s="75"/>
      <c r="T119" s="75"/>
    </row>
    <row r="120" spans="1:20" s="5" customFormat="1" ht="15" hidden="1" customHeight="1" outlineLevel="1">
      <c r="A120" s="4"/>
      <c r="E120" s="5" t="s">
        <v>29</v>
      </c>
      <c r="F120" s="5" t="s">
        <v>30</v>
      </c>
      <c r="H120" s="36">
        <f>$Q$44</f>
        <v>8.64</v>
      </c>
      <c r="I120" s="5" t="s">
        <v>31</v>
      </c>
      <c r="J120" s="19"/>
      <c r="N120" s="9"/>
    </row>
    <row r="121" spans="1:20" s="5" customFormat="1" ht="15" hidden="1" customHeight="1" outlineLevel="1">
      <c r="A121" s="4"/>
      <c r="F121" s="5" t="s">
        <v>32</v>
      </c>
      <c r="H121" s="36">
        <f>$Q$45</f>
        <v>2.58</v>
      </c>
      <c r="I121" s="5" t="s">
        <v>33</v>
      </c>
      <c r="J121" s="19"/>
      <c r="N121" s="9"/>
    </row>
    <row r="122" spans="1:20" s="5" customFormat="1" ht="15" hidden="1" customHeight="1" outlineLevel="1">
      <c r="A122" s="4"/>
      <c r="G122" s="19"/>
      <c r="H122" s="19"/>
      <c r="J122" s="19"/>
      <c r="N122" s="9"/>
    </row>
    <row r="123" spans="1:20" s="5" customFormat="1" ht="15" hidden="1" customHeight="1" outlineLevel="1" thickBot="1">
      <c r="D123" s="5" t="s">
        <v>34</v>
      </c>
      <c r="J123" s="19"/>
      <c r="N123" s="9"/>
    </row>
    <row r="124" spans="1:20" s="5" customFormat="1" ht="45" hidden="1" customHeight="1" outlineLevel="1" thickBot="1">
      <c r="E124" s="37" t="s">
        <v>35</v>
      </c>
      <c r="F124" s="175"/>
      <c r="G124" s="176"/>
      <c r="H124" s="176"/>
      <c r="I124" s="176"/>
      <c r="J124" s="176"/>
      <c r="K124" s="177"/>
      <c r="N124" s="9"/>
    </row>
    <row r="125" spans="1:20" s="5" customFormat="1" ht="15" hidden="1" customHeight="1" outlineLevel="1" thickBot="1">
      <c r="J125" s="19"/>
      <c r="N125" s="9"/>
    </row>
    <row r="126" spans="1:20" s="5" customFormat="1" ht="15" hidden="1" customHeight="1" outlineLevel="1" thickBot="1">
      <c r="D126" s="38"/>
      <c r="E126" s="5" t="s">
        <v>37</v>
      </c>
      <c r="F126" s="42"/>
      <c r="G126" s="5" t="s">
        <v>38</v>
      </c>
      <c r="J126" s="19"/>
      <c r="N126" s="9"/>
    </row>
    <row r="127" spans="1:20" s="5" customFormat="1" ht="15" hidden="1" customHeight="1" outlineLevel="1" thickBot="1">
      <c r="D127" s="40"/>
      <c r="F127" s="9"/>
      <c r="G127" s="206">
        <f>+F126*H120*H121/100000</f>
        <v>0</v>
      </c>
      <c r="H127" s="207"/>
      <c r="I127" s="5" t="s">
        <v>39</v>
      </c>
      <c r="J127" s="41" t="s">
        <v>40</v>
      </c>
      <c r="K127" s="38"/>
      <c r="L127" s="38"/>
      <c r="N127" s="9"/>
    </row>
    <row r="128" spans="1:20" s="5" customFormat="1" ht="15" hidden="1" customHeight="1" outlineLevel="1" thickBot="1">
      <c r="D128" s="38"/>
      <c r="E128" s="5" t="s">
        <v>41</v>
      </c>
      <c r="F128" s="42"/>
      <c r="G128" s="5" t="s">
        <v>42</v>
      </c>
      <c r="J128" s="41"/>
      <c r="K128" s="38"/>
      <c r="L128" s="38"/>
      <c r="N128" s="9"/>
    </row>
    <row r="129" spans="2:14" s="5" customFormat="1" ht="15" hidden="1" customHeight="1" outlineLevel="1">
      <c r="D129" s="40"/>
      <c r="G129" s="185">
        <f>+F128*H121/100000</f>
        <v>0</v>
      </c>
      <c r="H129" s="186"/>
      <c r="I129" s="5" t="s">
        <v>39</v>
      </c>
      <c r="J129" s="41" t="s">
        <v>40</v>
      </c>
      <c r="K129" s="38"/>
      <c r="L129" s="38"/>
      <c r="N129" s="9"/>
    </row>
    <row r="130" spans="2:14" s="5" customFormat="1" ht="15" hidden="1" customHeight="1" outlineLevel="1">
      <c r="J130" s="19"/>
      <c r="N130" s="9"/>
    </row>
    <row r="131" spans="2:14" s="5" customFormat="1" ht="15" hidden="1" customHeight="1" outlineLevel="1" thickBot="1">
      <c r="D131" s="5" t="s">
        <v>43</v>
      </c>
      <c r="J131" s="19"/>
      <c r="N131" s="9"/>
    </row>
    <row r="132" spans="2:14" s="5" customFormat="1" ht="45" hidden="1" customHeight="1" outlineLevel="1" thickBot="1">
      <c r="E132" s="37" t="s">
        <v>44</v>
      </c>
      <c r="F132" s="175"/>
      <c r="G132" s="176"/>
      <c r="H132" s="176"/>
      <c r="I132" s="176"/>
      <c r="J132" s="176"/>
      <c r="K132" s="177"/>
      <c r="N132" s="9"/>
    </row>
    <row r="133" spans="2:14" s="5" customFormat="1" ht="15" hidden="1" customHeight="1" outlineLevel="1" thickBot="1">
      <c r="J133" s="19"/>
      <c r="N133" s="9"/>
    </row>
    <row r="134" spans="2:14" s="5" customFormat="1" ht="15" hidden="1" customHeight="1" outlineLevel="1" thickBot="1">
      <c r="D134" s="38"/>
      <c r="E134" s="5" t="s">
        <v>37</v>
      </c>
      <c r="F134" s="42"/>
      <c r="G134" s="43" t="s">
        <v>38</v>
      </c>
      <c r="H134" s="43"/>
      <c r="J134" s="19"/>
      <c r="N134" s="9"/>
    </row>
    <row r="135" spans="2:14" s="5" customFormat="1" ht="15" hidden="1" customHeight="1" outlineLevel="1" thickBot="1">
      <c r="D135" s="40"/>
      <c r="F135" s="9"/>
      <c r="G135" s="185">
        <f>+F134*H120*H121/100000</f>
        <v>0</v>
      </c>
      <c r="H135" s="186"/>
      <c r="I135" s="5" t="s">
        <v>39</v>
      </c>
      <c r="J135" s="19" t="s">
        <v>46</v>
      </c>
      <c r="K135" s="40"/>
      <c r="L135" s="40"/>
      <c r="N135" s="9"/>
    </row>
    <row r="136" spans="2:14" s="5" customFormat="1" ht="15" hidden="1" customHeight="1" outlineLevel="1" thickBot="1">
      <c r="D136" s="38"/>
      <c r="E136" s="5" t="s">
        <v>41</v>
      </c>
      <c r="F136" s="44"/>
      <c r="G136" s="5" t="s">
        <v>42</v>
      </c>
      <c r="J136" s="19"/>
      <c r="N136" s="9"/>
    </row>
    <row r="137" spans="2:14" s="5" customFormat="1" ht="15" hidden="1" customHeight="1" outlineLevel="1">
      <c r="D137" s="40"/>
      <c r="G137" s="185">
        <f>+F136*H121/100000</f>
        <v>0</v>
      </c>
      <c r="H137" s="186"/>
      <c r="I137" s="5" t="s">
        <v>39</v>
      </c>
      <c r="J137" s="19" t="s">
        <v>46</v>
      </c>
      <c r="K137" s="40"/>
      <c r="L137" s="40"/>
      <c r="N137" s="9"/>
    </row>
    <row r="138" spans="2:14" s="5" customFormat="1" ht="15" hidden="1" customHeight="1" outlineLevel="1" thickBot="1">
      <c r="J138" s="19"/>
      <c r="N138" s="9"/>
    </row>
    <row r="139" spans="2:14" s="5" customFormat="1" ht="15" hidden="1" customHeight="1" outlineLevel="1" thickBot="1">
      <c r="D139" s="5" t="s">
        <v>47</v>
      </c>
      <c r="E139" s="5" t="s">
        <v>48</v>
      </c>
      <c r="F139" s="187">
        <f>SUM(G127,G129)-SUM(G135,G137)</f>
        <v>0</v>
      </c>
      <c r="G139" s="188"/>
      <c r="H139" s="5" t="s">
        <v>39</v>
      </c>
      <c r="J139" s="19"/>
      <c r="N139" s="9"/>
    </row>
    <row r="140" spans="2:14" ht="6" hidden="1" customHeight="1" outlineLevel="1">
      <c r="F140" s="46"/>
      <c r="G140" s="46"/>
    </row>
    <row r="141" spans="2:14" ht="6" hidden="1" customHeight="1" outlineLevel="1">
      <c r="F141" s="46"/>
      <c r="G141" s="46"/>
    </row>
    <row r="142" spans="2:14" ht="20.100000000000001" hidden="1" customHeight="1" outlineLevel="1">
      <c r="F142" s="46"/>
      <c r="G142" s="46"/>
      <c r="K142" s="7"/>
    </row>
    <row r="143" spans="2:14" ht="20.100000000000001" hidden="1" customHeight="1" outlineLevel="1">
      <c r="B143" s="47" t="s">
        <v>69</v>
      </c>
      <c r="K143" s="7" t="s">
        <v>146</v>
      </c>
    </row>
    <row r="144" spans="2:14" ht="30" hidden="1" customHeight="1" outlineLevel="1" thickBot="1">
      <c r="B144" s="28"/>
      <c r="D144" s="189" t="s">
        <v>28</v>
      </c>
      <c r="E144" s="189"/>
      <c r="F144" s="189"/>
      <c r="G144" s="189"/>
      <c r="H144" s="189"/>
      <c r="I144" s="189"/>
      <c r="J144" s="189"/>
      <c r="K144" s="189"/>
    </row>
    <row r="145" spans="4:11" ht="399.95" hidden="1" customHeight="1" outlineLevel="1" thickBot="1">
      <c r="D145" s="190"/>
      <c r="E145" s="191"/>
      <c r="F145" s="191"/>
      <c r="G145" s="191"/>
      <c r="H145" s="191"/>
      <c r="I145" s="191"/>
      <c r="J145" s="191"/>
      <c r="K145" s="192"/>
    </row>
    <row r="146" spans="4:11" ht="15" hidden="1" customHeight="1" outlineLevel="1" thickBot="1">
      <c r="D146" s="48"/>
      <c r="E146" s="48"/>
      <c r="F146" s="48"/>
      <c r="G146" s="48"/>
      <c r="H146" s="48"/>
      <c r="I146" s="48"/>
    </row>
    <row r="147" spans="4:11" ht="45" hidden="1" customHeight="1" outlineLevel="1" thickBot="1">
      <c r="D147" s="193" t="s">
        <v>70</v>
      </c>
      <c r="E147" s="194"/>
      <c r="F147" s="195"/>
      <c r="G147" s="196"/>
      <c r="H147" s="196"/>
      <c r="I147" s="196"/>
      <c r="J147" s="196"/>
      <c r="K147" s="197"/>
    </row>
    <row r="148" spans="4:11" ht="15" hidden="1" customHeight="1" outlineLevel="1">
      <c r="D148" s="48"/>
      <c r="E148" s="48"/>
      <c r="F148" s="48"/>
      <c r="G148" s="48"/>
      <c r="H148" s="48"/>
      <c r="I148" s="48"/>
    </row>
    <row r="149" spans="4:11" ht="20.100000000000001" hidden="1" customHeight="1" outlineLevel="1">
      <c r="D149" s="48"/>
      <c r="E149" s="48"/>
      <c r="F149" s="48"/>
      <c r="G149" s="48"/>
      <c r="H149" s="48"/>
      <c r="I149" s="48"/>
      <c r="J149" s="49" t="s">
        <v>71</v>
      </c>
    </row>
    <row r="150" spans="4:11" ht="20.100000000000001" hidden="1" customHeight="1" outlineLevel="1" thickBot="1">
      <c r="D150" s="4" t="s">
        <v>53</v>
      </c>
      <c r="K150" s="50" t="s">
        <v>2</v>
      </c>
    </row>
    <row r="151" spans="4:11" ht="33" hidden="1" customHeight="1" outlineLevel="1" thickBot="1">
      <c r="D151" s="150" t="s">
        <v>54</v>
      </c>
      <c r="E151" s="51" t="s">
        <v>55</v>
      </c>
      <c r="F151" s="198" t="s">
        <v>56</v>
      </c>
      <c r="G151" s="198"/>
      <c r="H151" s="199" t="s">
        <v>57</v>
      </c>
      <c r="I151" s="201" t="s">
        <v>58</v>
      </c>
      <c r="K151" s="157" t="s">
        <v>59</v>
      </c>
    </row>
    <row r="152" spans="4:11" ht="30" hidden="1" customHeight="1" outlineLevel="1" thickBot="1">
      <c r="D152" s="151"/>
      <c r="E152" s="52" t="s">
        <v>60</v>
      </c>
      <c r="F152" s="53" t="s">
        <v>61</v>
      </c>
      <c r="G152" s="54" t="s">
        <v>62</v>
      </c>
      <c r="H152" s="200"/>
      <c r="I152" s="202"/>
      <c r="K152" s="158"/>
    </row>
    <row r="153" spans="4:11" ht="15" hidden="1" customHeight="1" outlineLevel="1">
      <c r="D153" s="55">
        <v>2024</v>
      </c>
      <c r="E153" s="56"/>
      <c r="F153" s="57"/>
      <c r="G153" s="58" t="str">
        <f>IF(E153="","",F153/E153)</f>
        <v/>
      </c>
      <c r="H153" s="59"/>
      <c r="I153" s="60">
        <f>F153-H153</f>
        <v>0</v>
      </c>
      <c r="K153" s="76">
        <f t="shared" ref="K153:K169" si="9">I153*F$139/10000</f>
        <v>0</v>
      </c>
    </row>
    <row r="154" spans="4:11" ht="15" hidden="1" customHeight="1" outlineLevel="1">
      <c r="D154" s="55">
        <v>2025</v>
      </c>
      <c r="E154" s="56"/>
      <c r="F154" s="57"/>
      <c r="G154" s="58" t="str">
        <f t="shared" ref="G154:G169" si="10">IF(E154="","",F154/E154)</f>
        <v/>
      </c>
      <c r="H154" s="59"/>
      <c r="I154" s="60">
        <f>I153+F154-H154</f>
        <v>0</v>
      </c>
      <c r="K154" s="61">
        <f t="shared" si="9"/>
        <v>0</v>
      </c>
    </row>
    <row r="155" spans="4:11" ht="15" hidden="1" customHeight="1" outlineLevel="1">
      <c r="D155" s="55">
        <v>2026</v>
      </c>
      <c r="E155" s="56"/>
      <c r="F155" s="57"/>
      <c r="G155" s="58" t="str">
        <f t="shared" si="10"/>
        <v/>
      </c>
      <c r="H155" s="59"/>
      <c r="I155" s="60">
        <f t="shared" ref="I155:I168" si="11">I154+F155-H155</f>
        <v>0</v>
      </c>
      <c r="K155" s="61">
        <f t="shared" si="9"/>
        <v>0</v>
      </c>
    </row>
    <row r="156" spans="4:11" ht="15" hidden="1" customHeight="1" outlineLevel="1">
      <c r="D156" s="55">
        <v>2027</v>
      </c>
      <c r="E156" s="56"/>
      <c r="F156" s="57"/>
      <c r="G156" s="58" t="str">
        <f t="shared" si="10"/>
        <v/>
      </c>
      <c r="H156" s="59"/>
      <c r="I156" s="60">
        <f t="shared" si="11"/>
        <v>0</v>
      </c>
      <c r="K156" s="61">
        <f t="shared" si="9"/>
        <v>0</v>
      </c>
    </row>
    <row r="157" spans="4:11" ht="15" hidden="1" customHeight="1" outlineLevel="1">
      <c r="D157" s="55">
        <v>2028</v>
      </c>
      <c r="E157" s="56"/>
      <c r="F157" s="57"/>
      <c r="G157" s="58" t="str">
        <f t="shared" si="10"/>
        <v/>
      </c>
      <c r="H157" s="59"/>
      <c r="I157" s="60">
        <f t="shared" si="11"/>
        <v>0</v>
      </c>
      <c r="K157" s="61">
        <f t="shared" si="9"/>
        <v>0</v>
      </c>
    </row>
    <row r="158" spans="4:11" ht="15" hidden="1" customHeight="1" outlineLevel="1">
      <c r="D158" s="55">
        <v>2029</v>
      </c>
      <c r="E158" s="56"/>
      <c r="F158" s="57"/>
      <c r="G158" s="58" t="str">
        <f t="shared" si="10"/>
        <v/>
      </c>
      <c r="H158" s="59"/>
      <c r="I158" s="60">
        <f t="shared" si="11"/>
        <v>0</v>
      </c>
      <c r="K158" s="61">
        <f t="shared" si="9"/>
        <v>0</v>
      </c>
    </row>
    <row r="159" spans="4:11" ht="15" hidden="1" customHeight="1" outlineLevel="1">
      <c r="D159" s="55">
        <v>2030</v>
      </c>
      <c r="E159" s="56"/>
      <c r="F159" s="57"/>
      <c r="G159" s="58" t="str">
        <f t="shared" si="10"/>
        <v/>
      </c>
      <c r="H159" s="59"/>
      <c r="I159" s="60">
        <f t="shared" si="11"/>
        <v>0</v>
      </c>
      <c r="K159" s="61">
        <f t="shared" si="9"/>
        <v>0</v>
      </c>
    </row>
    <row r="160" spans="4:11" ht="15" hidden="1" customHeight="1" outlineLevel="1">
      <c r="D160" s="55">
        <v>2031</v>
      </c>
      <c r="E160" s="56"/>
      <c r="F160" s="57"/>
      <c r="G160" s="58" t="str">
        <f t="shared" si="10"/>
        <v/>
      </c>
      <c r="H160" s="59"/>
      <c r="I160" s="60">
        <f t="shared" si="11"/>
        <v>0</v>
      </c>
      <c r="K160" s="61">
        <f t="shared" si="9"/>
        <v>0</v>
      </c>
    </row>
    <row r="161" spans="2:14" ht="15" hidden="1" customHeight="1" outlineLevel="1">
      <c r="D161" s="55">
        <v>2032</v>
      </c>
      <c r="E161" s="56"/>
      <c r="F161" s="57"/>
      <c r="G161" s="58" t="str">
        <f t="shared" si="10"/>
        <v/>
      </c>
      <c r="H161" s="59"/>
      <c r="I161" s="60">
        <f t="shared" si="11"/>
        <v>0</v>
      </c>
      <c r="K161" s="61">
        <f t="shared" si="9"/>
        <v>0</v>
      </c>
    </row>
    <row r="162" spans="2:14" ht="15" hidden="1" customHeight="1" outlineLevel="1">
      <c r="D162" s="55">
        <v>2033</v>
      </c>
      <c r="E162" s="56"/>
      <c r="F162" s="57"/>
      <c r="G162" s="58" t="str">
        <f t="shared" si="10"/>
        <v/>
      </c>
      <c r="H162" s="59"/>
      <c r="I162" s="60">
        <f t="shared" si="11"/>
        <v>0</v>
      </c>
      <c r="K162" s="61">
        <f t="shared" si="9"/>
        <v>0</v>
      </c>
    </row>
    <row r="163" spans="2:14" ht="15" hidden="1" customHeight="1" outlineLevel="1">
      <c r="D163" s="55">
        <v>2034</v>
      </c>
      <c r="E163" s="56"/>
      <c r="F163" s="57"/>
      <c r="G163" s="58" t="str">
        <f t="shared" si="10"/>
        <v/>
      </c>
      <c r="H163" s="59"/>
      <c r="I163" s="60">
        <f t="shared" si="11"/>
        <v>0</v>
      </c>
      <c r="K163" s="61">
        <f t="shared" si="9"/>
        <v>0</v>
      </c>
    </row>
    <row r="164" spans="2:14" ht="15" hidden="1" customHeight="1" outlineLevel="1">
      <c r="D164" s="55">
        <v>2035</v>
      </c>
      <c r="E164" s="56"/>
      <c r="F164" s="57"/>
      <c r="G164" s="58" t="str">
        <f t="shared" si="10"/>
        <v/>
      </c>
      <c r="H164" s="59"/>
      <c r="I164" s="60">
        <f t="shared" si="11"/>
        <v>0</v>
      </c>
      <c r="K164" s="61">
        <f t="shared" si="9"/>
        <v>0</v>
      </c>
    </row>
    <row r="165" spans="2:14" ht="15" hidden="1" customHeight="1" outlineLevel="1">
      <c r="D165" s="55">
        <v>2036</v>
      </c>
      <c r="E165" s="56"/>
      <c r="F165" s="57"/>
      <c r="G165" s="58" t="str">
        <f t="shared" si="10"/>
        <v/>
      </c>
      <c r="H165" s="59"/>
      <c r="I165" s="60">
        <f t="shared" si="11"/>
        <v>0</v>
      </c>
      <c r="K165" s="61">
        <f t="shared" si="9"/>
        <v>0</v>
      </c>
    </row>
    <row r="166" spans="2:14" ht="15" hidden="1" customHeight="1" outlineLevel="1">
      <c r="D166" s="55">
        <v>2037</v>
      </c>
      <c r="E166" s="56"/>
      <c r="F166" s="57"/>
      <c r="G166" s="58" t="str">
        <f t="shared" si="10"/>
        <v/>
      </c>
      <c r="H166" s="59"/>
      <c r="I166" s="60">
        <f t="shared" si="11"/>
        <v>0</v>
      </c>
      <c r="K166" s="61">
        <f t="shared" si="9"/>
        <v>0</v>
      </c>
    </row>
    <row r="167" spans="2:14" ht="15" hidden="1" customHeight="1" outlineLevel="1">
      <c r="D167" s="55">
        <v>2038</v>
      </c>
      <c r="E167" s="56"/>
      <c r="F167" s="57"/>
      <c r="G167" s="58" t="str">
        <f t="shared" si="10"/>
        <v/>
      </c>
      <c r="H167" s="59"/>
      <c r="I167" s="60">
        <f t="shared" si="11"/>
        <v>0</v>
      </c>
      <c r="K167" s="61">
        <f t="shared" si="9"/>
        <v>0</v>
      </c>
    </row>
    <row r="168" spans="2:14" ht="15" hidden="1" customHeight="1" outlineLevel="1">
      <c r="D168" s="55">
        <v>2039</v>
      </c>
      <c r="E168" s="56"/>
      <c r="F168" s="57"/>
      <c r="G168" s="58" t="str">
        <f t="shared" si="10"/>
        <v/>
      </c>
      <c r="H168" s="59"/>
      <c r="I168" s="60">
        <f t="shared" si="11"/>
        <v>0</v>
      </c>
      <c r="K168" s="61">
        <f t="shared" si="9"/>
        <v>0</v>
      </c>
    </row>
    <row r="169" spans="2:14" ht="15" hidden="1" customHeight="1" outlineLevel="1" thickBot="1">
      <c r="D169" s="55">
        <v>2040</v>
      </c>
      <c r="E169" s="62"/>
      <c r="F169" s="63"/>
      <c r="G169" s="64" t="str">
        <f t="shared" si="10"/>
        <v/>
      </c>
      <c r="H169" s="65"/>
      <c r="I169" s="66">
        <f>I168+F169-H169</f>
        <v>0</v>
      </c>
      <c r="K169" s="67">
        <f t="shared" si="9"/>
        <v>0</v>
      </c>
    </row>
    <row r="170" spans="2:14" ht="15" hidden="1" customHeight="1" outlineLevel="1">
      <c r="D170" s="68"/>
      <c r="E170" s="69"/>
      <c r="F170" s="70"/>
      <c r="G170" s="69"/>
      <c r="H170" s="69"/>
      <c r="I170" s="71" t="s">
        <v>63</v>
      </c>
      <c r="K170" s="72" t="s">
        <v>64</v>
      </c>
    </row>
    <row r="171" spans="2:14" ht="15" customHeight="1" collapsed="1"/>
    <row r="172" spans="2:14" s="5" customFormat="1" ht="6" hidden="1" customHeight="1" outlineLevel="1">
      <c r="D172" s="25"/>
      <c r="J172" s="19"/>
      <c r="N172" s="9"/>
    </row>
    <row r="173" spans="2:14" ht="20.100000000000001" hidden="1" customHeight="1" outlineLevel="1">
      <c r="B173" s="26" t="s">
        <v>72</v>
      </c>
      <c r="C173" s="20"/>
      <c r="D173" s="27"/>
      <c r="K173" s="7"/>
    </row>
    <row r="174" spans="2:14" ht="20.100000000000001" hidden="1" customHeight="1" outlineLevel="1" thickBot="1">
      <c r="B174" s="28" t="s">
        <v>73</v>
      </c>
      <c r="H174" s="1"/>
      <c r="K174" s="7" t="s">
        <v>146</v>
      </c>
    </row>
    <row r="175" spans="2:14" ht="15" hidden="1" customHeight="1" outlineLevel="1" thickBot="1">
      <c r="B175" s="28"/>
      <c r="C175" s="5" t="s">
        <v>18</v>
      </c>
      <c r="D175" s="5"/>
      <c r="E175" s="5"/>
      <c r="F175" s="182"/>
      <c r="G175" s="183"/>
      <c r="H175" s="184"/>
      <c r="I175" s="1"/>
    </row>
    <row r="176" spans="2:14" ht="15" hidden="1" customHeight="1" outlineLevel="1">
      <c r="B176" s="28"/>
      <c r="C176" s="5"/>
      <c r="D176" s="5"/>
      <c r="E176" s="6"/>
      <c r="F176" s="6"/>
      <c r="G176" s="6"/>
      <c r="H176" s="6"/>
      <c r="I176" s="1"/>
    </row>
    <row r="177" spans="2:11" ht="15" hidden="1" customHeight="1" outlineLevel="1" thickBot="1">
      <c r="C177" s="5" t="s">
        <v>67</v>
      </c>
      <c r="D177" s="5"/>
      <c r="E177" s="5"/>
      <c r="F177" s="5"/>
      <c r="G177" s="5"/>
      <c r="H177" s="5"/>
      <c r="I177" s="1"/>
    </row>
    <row r="178" spans="2:11" ht="20.100000000000001" hidden="1" customHeight="1" outlineLevel="1" thickBot="1">
      <c r="C178" s="5"/>
      <c r="D178" s="5" t="s">
        <v>12</v>
      </c>
      <c r="E178" s="5"/>
      <c r="F178" s="203">
        <f>F215*I245/10000</f>
        <v>0</v>
      </c>
      <c r="G178" s="204"/>
      <c r="H178" s="29" t="s">
        <v>13</v>
      </c>
      <c r="I178" s="1"/>
    </row>
    <row r="179" spans="2:11" ht="15" hidden="1" customHeight="1" outlineLevel="1">
      <c r="C179" s="5"/>
      <c r="D179" s="5"/>
      <c r="E179" s="5" t="s">
        <v>20</v>
      </c>
      <c r="F179" s="30"/>
      <c r="G179" s="30"/>
      <c r="H179" s="5"/>
      <c r="I179" s="1"/>
    </row>
    <row r="180" spans="2:11" ht="15" hidden="1" customHeight="1" outlineLevel="1">
      <c r="C180" s="5"/>
      <c r="D180" s="5"/>
      <c r="E180" s="31"/>
      <c r="F180" s="5" t="s">
        <v>12</v>
      </c>
      <c r="G180" s="32">
        <f>SUM(G203,G205)*I245/10000</f>
        <v>0</v>
      </c>
      <c r="H180" s="29" t="s">
        <v>13</v>
      </c>
      <c r="I180" s="1"/>
    </row>
    <row r="181" spans="2:11" ht="15" hidden="1" customHeight="1" outlineLevel="1">
      <c r="C181" s="5"/>
      <c r="D181" s="5"/>
      <c r="E181" s="5" t="s">
        <v>21</v>
      </c>
      <c r="F181" s="5"/>
      <c r="G181" s="30"/>
      <c r="H181" s="5"/>
      <c r="I181" s="1"/>
    </row>
    <row r="182" spans="2:11" ht="15" hidden="1" customHeight="1" outlineLevel="1">
      <c r="C182" s="5"/>
      <c r="D182" s="31"/>
      <c r="E182" s="5"/>
      <c r="F182" s="5" t="s">
        <v>12</v>
      </c>
      <c r="G182" s="32">
        <f>SUM(G211,G213)*I245/10000</f>
        <v>0</v>
      </c>
      <c r="H182" s="29" t="s">
        <v>13</v>
      </c>
      <c r="I182" s="1"/>
    </row>
    <row r="183" spans="2:11" ht="15" hidden="1" customHeight="1" outlineLevel="1" thickBot="1">
      <c r="C183" s="31"/>
      <c r="D183" s="5"/>
      <c r="E183" s="5"/>
      <c r="F183" s="30"/>
      <c r="G183" s="30"/>
      <c r="H183" s="5"/>
      <c r="I183" s="1"/>
    </row>
    <row r="184" spans="2:11" ht="15" hidden="1" customHeight="1" outlineLevel="1" thickBot="1">
      <c r="C184" s="33" t="s">
        <v>22</v>
      </c>
      <c r="D184" s="31"/>
      <c r="E184" s="5"/>
      <c r="F184" s="5"/>
      <c r="G184" s="33" t="s">
        <v>23</v>
      </c>
      <c r="H184" s="34"/>
      <c r="I184" s="4" t="s">
        <v>24</v>
      </c>
    </row>
    <row r="185" spans="2:11" ht="20.100000000000001" hidden="1" customHeight="1" outlineLevel="1" thickBot="1">
      <c r="C185" s="31"/>
      <c r="D185" s="33" t="s">
        <v>12</v>
      </c>
      <c r="E185" s="5"/>
      <c r="F185" s="203" t="e">
        <f>F215*VLOOKUP(H184+3,D229:I245,6,FALSE)/10000</f>
        <v>#N/A</v>
      </c>
      <c r="G185" s="204"/>
      <c r="H185" s="29" t="s">
        <v>13</v>
      </c>
    </row>
    <row r="186" spans="2:11" ht="12.75" hidden="1" customHeight="1" outlineLevel="1">
      <c r="C186" s="31"/>
      <c r="D186" s="33"/>
      <c r="E186" s="5"/>
      <c r="F186" s="35"/>
      <c r="G186" s="35"/>
      <c r="H186" s="5"/>
    </row>
    <row r="187" spans="2:11" ht="20.100000000000001" hidden="1" customHeight="1" outlineLevel="1" thickBot="1">
      <c r="C187" s="5" t="s">
        <v>25</v>
      </c>
      <c r="D187" s="5"/>
      <c r="E187" s="5"/>
      <c r="F187" s="5"/>
      <c r="G187" s="5"/>
      <c r="H187" s="5"/>
    </row>
    <row r="188" spans="2:11" ht="20.100000000000001" hidden="1" customHeight="1" outlineLevel="1" thickBot="1">
      <c r="C188" s="5"/>
      <c r="D188" s="5" t="s">
        <v>12</v>
      </c>
      <c r="E188" s="5"/>
      <c r="F188" s="166"/>
      <c r="G188" s="167"/>
      <c r="H188" s="5" t="s">
        <v>13</v>
      </c>
    </row>
    <row r="189" spans="2:11" ht="9.9499999999999993" hidden="1" customHeight="1" outlineLevel="1" thickBot="1">
      <c r="C189" s="5"/>
      <c r="D189" s="5"/>
      <c r="E189" s="5"/>
      <c r="F189" s="5"/>
      <c r="G189" s="5"/>
      <c r="H189" s="5"/>
    </row>
    <row r="190" spans="2:11" ht="52.5" hidden="1" customHeight="1" outlineLevel="1" thickBot="1">
      <c r="C190" s="31"/>
      <c r="D190" s="33" t="s">
        <v>26</v>
      </c>
      <c r="E190" s="5"/>
      <c r="F190" s="168"/>
      <c r="G190" s="169"/>
      <c r="H190" s="169"/>
      <c r="I190" s="169"/>
      <c r="J190" s="169"/>
      <c r="K190" s="170"/>
    </row>
    <row r="191" spans="2:11" ht="15" hidden="1" customHeight="1" outlineLevel="1">
      <c r="D191" s="23"/>
    </row>
    <row r="192" spans="2:11" ht="20.100000000000001" hidden="1" customHeight="1" outlineLevel="1">
      <c r="B192" s="28" t="s">
        <v>74</v>
      </c>
    </row>
    <row r="193" spans="1:14" ht="30" hidden="1" customHeight="1" outlineLevel="1" thickBot="1">
      <c r="B193" s="28"/>
      <c r="D193" s="205" t="s">
        <v>28</v>
      </c>
      <c r="E193" s="205"/>
      <c r="F193" s="205"/>
      <c r="G193" s="205"/>
      <c r="H193" s="205"/>
      <c r="I193" s="205"/>
      <c r="J193" s="205"/>
      <c r="K193" s="205"/>
    </row>
    <row r="194" spans="1:14" ht="399.95" hidden="1" customHeight="1" outlineLevel="1" thickBot="1">
      <c r="D194" s="190"/>
      <c r="E194" s="191"/>
      <c r="F194" s="191"/>
      <c r="G194" s="191"/>
      <c r="H194" s="191"/>
      <c r="I194" s="191"/>
      <c r="J194" s="191"/>
      <c r="K194" s="192"/>
    </row>
    <row r="195" spans="1:14" s="5" customFormat="1" ht="15" hidden="1" customHeight="1" outlineLevel="1">
      <c r="A195" s="4"/>
      <c r="J195" s="19"/>
      <c r="N195" s="9"/>
    </row>
    <row r="196" spans="1:14" s="5" customFormat="1" ht="15" hidden="1" customHeight="1" outlineLevel="1">
      <c r="A196" s="4"/>
      <c r="E196" s="5" t="s">
        <v>29</v>
      </c>
      <c r="F196" s="5" t="s">
        <v>30</v>
      </c>
      <c r="H196" s="36">
        <f>$Q$44</f>
        <v>8.64</v>
      </c>
      <c r="I196" s="5" t="s">
        <v>31</v>
      </c>
      <c r="J196" s="19"/>
      <c r="N196" s="9"/>
    </row>
    <row r="197" spans="1:14" s="5" customFormat="1" ht="15" hidden="1" customHeight="1" outlineLevel="1">
      <c r="A197" s="4"/>
      <c r="F197" s="5" t="s">
        <v>32</v>
      </c>
      <c r="H197" s="36">
        <f>$Q$45</f>
        <v>2.58</v>
      </c>
      <c r="I197" s="5" t="s">
        <v>33</v>
      </c>
      <c r="J197" s="19"/>
      <c r="N197" s="9"/>
    </row>
    <row r="198" spans="1:14" s="5" customFormat="1" ht="15" hidden="1" customHeight="1" outlineLevel="1">
      <c r="A198" s="4"/>
      <c r="G198" s="19"/>
      <c r="H198" s="19"/>
      <c r="J198" s="19"/>
      <c r="N198" s="9"/>
    </row>
    <row r="199" spans="1:14" s="5" customFormat="1" ht="15" hidden="1" customHeight="1" outlineLevel="1" thickBot="1">
      <c r="D199" s="5" t="s">
        <v>34</v>
      </c>
      <c r="J199" s="19"/>
      <c r="N199" s="9"/>
    </row>
    <row r="200" spans="1:14" s="5" customFormat="1" ht="45" hidden="1" customHeight="1" outlineLevel="1" thickBot="1">
      <c r="E200" s="37" t="s">
        <v>35</v>
      </c>
      <c r="F200" s="175"/>
      <c r="G200" s="176"/>
      <c r="H200" s="176"/>
      <c r="I200" s="176"/>
      <c r="J200" s="176"/>
      <c r="K200" s="177"/>
      <c r="N200" s="9"/>
    </row>
    <row r="201" spans="1:14" s="5" customFormat="1" ht="15" hidden="1" customHeight="1" outlineLevel="1" thickBot="1">
      <c r="J201" s="19"/>
      <c r="N201" s="9"/>
    </row>
    <row r="202" spans="1:14" s="5" customFormat="1" ht="15" hidden="1" customHeight="1" outlineLevel="1" thickBot="1">
      <c r="D202" s="38"/>
      <c r="E202" s="5" t="s">
        <v>37</v>
      </c>
      <c r="F202" s="42"/>
      <c r="G202" s="5" t="s">
        <v>38</v>
      </c>
      <c r="J202" s="19"/>
      <c r="N202" s="9"/>
    </row>
    <row r="203" spans="1:14" s="5" customFormat="1" ht="15" hidden="1" customHeight="1" outlineLevel="1" thickBot="1">
      <c r="D203" s="40"/>
      <c r="F203" s="9"/>
      <c r="G203" s="206">
        <f>+F202*H196*H197/100000</f>
        <v>0</v>
      </c>
      <c r="H203" s="207"/>
      <c r="I203" s="5" t="s">
        <v>39</v>
      </c>
      <c r="J203" s="41" t="s">
        <v>40</v>
      </c>
      <c r="K203" s="38"/>
      <c r="L203" s="38"/>
      <c r="N203" s="9"/>
    </row>
    <row r="204" spans="1:14" s="5" customFormat="1" ht="15" hidden="1" customHeight="1" outlineLevel="1" thickBot="1">
      <c r="D204" s="38"/>
      <c r="E204" s="5" t="s">
        <v>41</v>
      </c>
      <c r="F204" s="42"/>
      <c r="G204" s="5" t="s">
        <v>42</v>
      </c>
      <c r="J204" s="41"/>
      <c r="K204" s="38"/>
      <c r="L204" s="38"/>
      <c r="N204" s="9"/>
    </row>
    <row r="205" spans="1:14" s="5" customFormat="1" ht="15" hidden="1" customHeight="1" outlineLevel="1">
      <c r="D205" s="40"/>
      <c r="G205" s="185">
        <f>+F204*H197/100000</f>
        <v>0</v>
      </c>
      <c r="H205" s="186"/>
      <c r="I205" s="5" t="s">
        <v>39</v>
      </c>
      <c r="J205" s="41" t="s">
        <v>40</v>
      </c>
      <c r="K205" s="38"/>
      <c r="L205" s="38"/>
      <c r="N205" s="9"/>
    </row>
    <row r="206" spans="1:14" s="5" customFormat="1" ht="15" hidden="1" customHeight="1" outlineLevel="1">
      <c r="J206" s="19"/>
      <c r="N206" s="9"/>
    </row>
    <row r="207" spans="1:14" s="5" customFormat="1" ht="15" hidden="1" customHeight="1" outlineLevel="1" thickBot="1">
      <c r="D207" s="5" t="s">
        <v>43</v>
      </c>
      <c r="J207" s="19"/>
      <c r="N207" s="9"/>
    </row>
    <row r="208" spans="1:14" s="5" customFormat="1" ht="45" hidden="1" customHeight="1" outlineLevel="1" thickBot="1">
      <c r="E208" s="37" t="s">
        <v>44</v>
      </c>
      <c r="F208" s="175"/>
      <c r="G208" s="176"/>
      <c r="H208" s="176"/>
      <c r="I208" s="176"/>
      <c r="J208" s="176"/>
      <c r="K208" s="177"/>
      <c r="N208" s="9"/>
    </row>
    <row r="209" spans="2:14" s="5" customFormat="1" ht="15" hidden="1" customHeight="1" outlineLevel="1" thickBot="1">
      <c r="J209" s="19"/>
      <c r="N209" s="9"/>
    </row>
    <row r="210" spans="2:14" s="5" customFormat="1" ht="15" hidden="1" customHeight="1" outlineLevel="1" thickBot="1">
      <c r="D210" s="38"/>
      <c r="E210" s="5" t="s">
        <v>37</v>
      </c>
      <c r="F210" s="42"/>
      <c r="G210" s="43" t="s">
        <v>38</v>
      </c>
      <c r="H210" s="43"/>
      <c r="J210" s="19"/>
      <c r="N210" s="9"/>
    </row>
    <row r="211" spans="2:14" s="5" customFormat="1" ht="15" hidden="1" customHeight="1" outlineLevel="1" thickBot="1">
      <c r="D211" s="40"/>
      <c r="F211" s="9"/>
      <c r="G211" s="185">
        <f>+F210*H196*H197/100000</f>
        <v>0</v>
      </c>
      <c r="H211" s="186"/>
      <c r="I211" s="5" t="s">
        <v>39</v>
      </c>
      <c r="J211" s="19" t="s">
        <v>46</v>
      </c>
      <c r="K211" s="40"/>
      <c r="L211" s="40"/>
      <c r="N211" s="9"/>
    </row>
    <row r="212" spans="2:14" s="5" customFormat="1" ht="15" hidden="1" customHeight="1" outlineLevel="1" thickBot="1">
      <c r="D212" s="38"/>
      <c r="E212" s="5" t="s">
        <v>41</v>
      </c>
      <c r="F212" s="44"/>
      <c r="G212" s="5" t="s">
        <v>42</v>
      </c>
      <c r="J212" s="19"/>
      <c r="N212" s="9"/>
    </row>
    <row r="213" spans="2:14" s="5" customFormat="1" ht="15" hidden="1" customHeight="1" outlineLevel="1">
      <c r="D213" s="40"/>
      <c r="G213" s="185">
        <f>+F212*H197/100000</f>
        <v>0</v>
      </c>
      <c r="H213" s="186"/>
      <c r="I213" s="5" t="s">
        <v>39</v>
      </c>
      <c r="J213" s="19" t="s">
        <v>46</v>
      </c>
      <c r="K213" s="40"/>
      <c r="L213" s="40"/>
      <c r="N213" s="9"/>
    </row>
    <row r="214" spans="2:14" s="5" customFormat="1" ht="15" hidden="1" customHeight="1" outlineLevel="1" thickBot="1">
      <c r="J214" s="19"/>
      <c r="N214" s="9"/>
    </row>
    <row r="215" spans="2:14" s="5" customFormat="1" ht="15" hidden="1" customHeight="1" outlineLevel="1" thickBot="1">
      <c r="D215" s="5" t="s">
        <v>47</v>
      </c>
      <c r="E215" s="5" t="s">
        <v>48</v>
      </c>
      <c r="F215" s="187">
        <f>SUM(G203,G205)-SUM(G211,G213)</f>
        <v>0</v>
      </c>
      <c r="G215" s="188"/>
      <c r="H215" s="5" t="s">
        <v>39</v>
      </c>
      <c r="J215" s="19"/>
      <c r="N215" s="9"/>
    </row>
    <row r="216" spans="2:14" ht="6" hidden="1" customHeight="1" outlineLevel="1">
      <c r="F216" s="46"/>
      <c r="G216" s="46"/>
    </row>
    <row r="217" spans="2:14" ht="6" hidden="1" customHeight="1" outlineLevel="1">
      <c r="F217" s="46"/>
      <c r="G217" s="46"/>
    </row>
    <row r="218" spans="2:14" ht="20.100000000000001" hidden="1" customHeight="1" outlineLevel="1">
      <c r="F218" s="46"/>
      <c r="G218" s="46"/>
      <c r="K218" s="7"/>
    </row>
    <row r="219" spans="2:14" ht="20.100000000000001" hidden="1" customHeight="1" outlineLevel="1">
      <c r="B219" s="47" t="s">
        <v>75</v>
      </c>
      <c r="K219" s="7" t="s">
        <v>146</v>
      </c>
    </row>
    <row r="220" spans="2:14" ht="30" hidden="1" customHeight="1" outlineLevel="1" thickBot="1">
      <c r="B220" s="28"/>
      <c r="D220" s="189" t="s">
        <v>28</v>
      </c>
      <c r="E220" s="189"/>
      <c r="F220" s="189"/>
      <c r="G220" s="189"/>
      <c r="H220" s="189"/>
      <c r="I220" s="189"/>
      <c r="J220" s="189"/>
      <c r="K220" s="189"/>
    </row>
    <row r="221" spans="2:14" ht="399.95" hidden="1" customHeight="1" outlineLevel="1" thickBot="1">
      <c r="D221" s="190"/>
      <c r="E221" s="191"/>
      <c r="F221" s="191"/>
      <c r="G221" s="191"/>
      <c r="H221" s="191"/>
      <c r="I221" s="191"/>
      <c r="J221" s="191"/>
      <c r="K221" s="192"/>
    </row>
    <row r="222" spans="2:14" ht="15" hidden="1" customHeight="1" outlineLevel="1" thickBot="1">
      <c r="D222" s="48"/>
      <c r="E222" s="48"/>
      <c r="F222" s="48"/>
      <c r="G222" s="48"/>
      <c r="H222" s="48"/>
      <c r="I222" s="48"/>
    </row>
    <row r="223" spans="2:14" ht="45" hidden="1" customHeight="1" outlineLevel="1" thickBot="1">
      <c r="D223" s="193" t="s">
        <v>70</v>
      </c>
      <c r="E223" s="194"/>
      <c r="F223" s="195"/>
      <c r="G223" s="196"/>
      <c r="H223" s="196"/>
      <c r="I223" s="196"/>
      <c r="J223" s="196"/>
      <c r="K223" s="197"/>
    </row>
    <row r="224" spans="2:14" ht="15" hidden="1" customHeight="1" outlineLevel="1">
      <c r="D224" s="48"/>
      <c r="E224" s="48"/>
      <c r="F224" s="48"/>
      <c r="G224" s="48"/>
      <c r="H224" s="48"/>
      <c r="I224" s="48"/>
    </row>
    <row r="225" spans="4:11" ht="20.100000000000001" hidden="1" customHeight="1" outlineLevel="1">
      <c r="D225" s="48"/>
      <c r="E225" s="48"/>
      <c r="F225" s="48"/>
      <c r="G225" s="48"/>
      <c r="H225" s="48"/>
      <c r="I225" s="48"/>
      <c r="J225" s="50" t="s">
        <v>76</v>
      </c>
    </row>
    <row r="226" spans="4:11" ht="20.100000000000001" hidden="1" customHeight="1" outlineLevel="1" thickBot="1">
      <c r="D226" s="4" t="s">
        <v>53</v>
      </c>
      <c r="K226" s="50" t="s">
        <v>2</v>
      </c>
    </row>
    <row r="227" spans="4:11" ht="33" hidden="1" customHeight="1" outlineLevel="1" thickBot="1">
      <c r="D227" s="150" t="s">
        <v>54</v>
      </c>
      <c r="E227" s="51" t="s">
        <v>55</v>
      </c>
      <c r="F227" s="198" t="s">
        <v>56</v>
      </c>
      <c r="G227" s="198"/>
      <c r="H227" s="199" t="s">
        <v>57</v>
      </c>
      <c r="I227" s="201" t="s">
        <v>58</v>
      </c>
      <c r="K227" s="157" t="s">
        <v>59</v>
      </c>
    </row>
    <row r="228" spans="4:11" ht="30" hidden="1" customHeight="1" outlineLevel="1" thickBot="1">
      <c r="D228" s="151"/>
      <c r="E228" s="52" t="s">
        <v>60</v>
      </c>
      <c r="F228" s="53" t="s">
        <v>61</v>
      </c>
      <c r="G228" s="54" t="s">
        <v>62</v>
      </c>
      <c r="H228" s="200"/>
      <c r="I228" s="202"/>
      <c r="K228" s="158"/>
    </row>
    <row r="229" spans="4:11" ht="15" hidden="1" customHeight="1" outlineLevel="1">
      <c r="D229" s="55">
        <v>2024</v>
      </c>
      <c r="E229" s="56"/>
      <c r="F229" s="57"/>
      <c r="G229" s="58" t="str">
        <f>IF(E229="","",F229/E229)</f>
        <v/>
      </c>
      <c r="H229" s="59"/>
      <c r="I229" s="60">
        <f>F229-H229</f>
        <v>0</v>
      </c>
      <c r="K229" s="76">
        <f t="shared" ref="K229:K245" si="12">I229*F$215/10000</f>
        <v>0</v>
      </c>
    </row>
    <row r="230" spans="4:11" ht="15" hidden="1" customHeight="1" outlineLevel="1">
      <c r="D230" s="55">
        <v>2025</v>
      </c>
      <c r="E230" s="56"/>
      <c r="F230" s="57"/>
      <c r="G230" s="58" t="str">
        <f t="shared" ref="G230:G245" si="13">IF(E230="","",F230/E230)</f>
        <v/>
      </c>
      <c r="H230" s="59"/>
      <c r="I230" s="60">
        <f>I229+F230-H230</f>
        <v>0</v>
      </c>
      <c r="K230" s="61">
        <f t="shared" si="12"/>
        <v>0</v>
      </c>
    </row>
    <row r="231" spans="4:11" ht="15" hidden="1" customHeight="1" outlineLevel="1">
      <c r="D231" s="55">
        <v>2026</v>
      </c>
      <c r="E231" s="56"/>
      <c r="F231" s="57"/>
      <c r="G231" s="58" t="str">
        <f t="shared" si="13"/>
        <v/>
      </c>
      <c r="H231" s="59"/>
      <c r="I231" s="60">
        <f t="shared" ref="I231:I244" si="14">I230+F231-H231</f>
        <v>0</v>
      </c>
      <c r="K231" s="61">
        <f t="shared" si="12"/>
        <v>0</v>
      </c>
    </row>
    <row r="232" spans="4:11" ht="15" hidden="1" customHeight="1" outlineLevel="1">
      <c r="D232" s="55">
        <v>2027</v>
      </c>
      <c r="E232" s="56"/>
      <c r="F232" s="57"/>
      <c r="G232" s="58" t="str">
        <f t="shared" si="13"/>
        <v/>
      </c>
      <c r="H232" s="59"/>
      <c r="I232" s="60">
        <f t="shared" si="14"/>
        <v>0</v>
      </c>
      <c r="K232" s="61">
        <f t="shared" si="12"/>
        <v>0</v>
      </c>
    </row>
    <row r="233" spans="4:11" ht="15" hidden="1" customHeight="1" outlineLevel="1">
      <c r="D233" s="55">
        <v>2028</v>
      </c>
      <c r="E233" s="56"/>
      <c r="F233" s="57"/>
      <c r="G233" s="58" t="str">
        <f t="shared" si="13"/>
        <v/>
      </c>
      <c r="H233" s="59"/>
      <c r="I233" s="60">
        <f t="shared" si="14"/>
        <v>0</v>
      </c>
      <c r="K233" s="61">
        <f t="shared" si="12"/>
        <v>0</v>
      </c>
    </row>
    <row r="234" spans="4:11" ht="15" hidden="1" customHeight="1" outlineLevel="1">
      <c r="D234" s="55">
        <v>2029</v>
      </c>
      <c r="E234" s="56"/>
      <c r="F234" s="57"/>
      <c r="G234" s="58" t="str">
        <f t="shared" si="13"/>
        <v/>
      </c>
      <c r="H234" s="59"/>
      <c r="I234" s="60">
        <f t="shared" si="14"/>
        <v>0</v>
      </c>
      <c r="K234" s="61">
        <f t="shared" si="12"/>
        <v>0</v>
      </c>
    </row>
    <row r="235" spans="4:11" ht="15" hidden="1" customHeight="1" outlineLevel="1">
      <c r="D235" s="55">
        <v>2030</v>
      </c>
      <c r="E235" s="56"/>
      <c r="F235" s="57"/>
      <c r="G235" s="58" t="str">
        <f t="shared" si="13"/>
        <v/>
      </c>
      <c r="H235" s="59"/>
      <c r="I235" s="60">
        <f t="shared" si="14"/>
        <v>0</v>
      </c>
      <c r="K235" s="61">
        <f t="shared" si="12"/>
        <v>0</v>
      </c>
    </row>
    <row r="236" spans="4:11" ht="15" hidden="1" customHeight="1" outlineLevel="1">
      <c r="D236" s="55">
        <v>2031</v>
      </c>
      <c r="E236" s="56"/>
      <c r="F236" s="57"/>
      <c r="G236" s="58" t="str">
        <f t="shared" si="13"/>
        <v/>
      </c>
      <c r="H236" s="59"/>
      <c r="I236" s="60">
        <f t="shared" si="14"/>
        <v>0</v>
      </c>
      <c r="K236" s="61">
        <f t="shared" si="12"/>
        <v>0</v>
      </c>
    </row>
    <row r="237" spans="4:11" ht="15" hidden="1" customHeight="1" outlineLevel="1">
      <c r="D237" s="55">
        <v>2032</v>
      </c>
      <c r="E237" s="56"/>
      <c r="F237" s="57"/>
      <c r="G237" s="58" t="str">
        <f t="shared" si="13"/>
        <v/>
      </c>
      <c r="H237" s="59"/>
      <c r="I237" s="60">
        <f t="shared" si="14"/>
        <v>0</v>
      </c>
      <c r="K237" s="61">
        <f t="shared" si="12"/>
        <v>0</v>
      </c>
    </row>
    <row r="238" spans="4:11" ht="15" hidden="1" customHeight="1" outlineLevel="1">
      <c r="D238" s="55">
        <v>2033</v>
      </c>
      <c r="E238" s="56"/>
      <c r="F238" s="57"/>
      <c r="G238" s="58" t="str">
        <f t="shared" si="13"/>
        <v/>
      </c>
      <c r="H238" s="59"/>
      <c r="I238" s="60">
        <f t="shared" si="14"/>
        <v>0</v>
      </c>
      <c r="K238" s="61">
        <f t="shared" si="12"/>
        <v>0</v>
      </c>
    </row>
    <row r="239" spans="4:11" ht="15" hidden="1" customHeight="1" outlineLevel="1">
      <c r="D239" s="55">
        <v>2034</v>
      </c>
      <c r="E239" s="56"/>
      <c r="F239" s="57"/>
      <c r="G239" s="58" t="str">
        <f t="shared" si="13"/>
        <v/>
      </c>
      <c r="H239" s="59"/>
      <c r="I239" s="60">
        <f t="shared" si="14"/>
        <v>0</v>
      </c>
      <c r="K239" s="61">
        <f t="shared" si="12"/>
        <v>0</v>
      </c>
    </row>
    <row r="240" spans="4:11" ht="15" hidden="1" customHeight="1" outlineLevel="1">
      <c r="D240" s="55">
        <v>2035</v>
      </c>
      <c r="E240" s="56"/>
      <c r="F240" s="57"/>
      <c r="G240" s="58" t="str">
        <f t="shared" si="13"/>
        <v/>
      </c>
      <c r="H240" s="59"/>
      <c r="I240" s="60">
        <f t="shared" si="14"/>
        <v>0</v>
      </c>
      <c r="K240" s="61">
        <f t="shared" si="12"/>
        <v>0</v>
      </c>
    </row>
    <row r="241" spans="2:11" ht="15" hidden="1" customHeight="1" outlineLevel="1">
      <c r="D241" s="55">
        <v>2036</v>
      </c>
      <c r="E241" s="56"/>
      <c r="F241" s="57"/>
      <c r="G241" s="58" t="str">
        <f t="shared" si="13"/>
        <v/>
      </c>
      <c r="H241" s="59"/>
      <c r="I241" s="60">
        <f t="shared" si="14"/>
        <v>0</v>
      </c>
      <c r="K241" s="61">
        <f t="shared" si="12"/>
        <v>0</v>
      </c>
    </row>
    <row r="242" spans="2:11" ht="15" hidden="1" customHeight="1" outlineLevel="1">
      <c r="D242" s="55">
        <v>2037</v>
      </c>
      <c r="E242" s="56"/>
      <c r="F242" s="57"/>
      <c r="G242" s="58" t="str">
        <f t="shared" si="13"/>
        <v/>
      </c>
      <c r="H242" s="59"/>
      <c r="I242" s="60">
        <f t="shared" si="14"/>
        <v>0</v>
      </c>
      <c r="K242" s="61">
        <f t="shared" si="12"/>
        <v>0</v>
      </c>
    </row>
    <row r="243" spans="2:11" ht="15" hidden="1" customHeight="1" outlineLevel="1">
      <c r="D243" s="55">
        <v>2038</v>
      </c>
      <c r="E243" s="56"/>
      <c r="F243" s="57"/>
      <c r="G243" s="58" t="str">
        <f t="shared" si="13"/>
        <v/>
      </c>
      <c r="H243" s="59"/>
      <c r="I243" s="60">
        <f t="shared" si="14"/>
        <v>0</v>
      </c>
      <c r="K243" s="61">
        <f t="shared" si="12"/>
        <v>0</v>
      </c>
    </row>
    <row r="244" spans="2:11" ht="15" hidden="1" customHeight="1" outlineLevel="1">
      <c r="D244" s="55">
        <v>2039</v>
      </c>
      <c r="E244" s="56"/>
      <c r="F244" s="57"/>
      <c r="G244" s="58" t="str">
        <f t="shared" si="13"/>
        <v/>
      </c>
      <c r="H244" s="59"/>
      <c r="I244" s="60">
        <f t="shared" si="14"/>
        <v>0</v>
      </c>
      <c r="K244" s="61">
        <f t="shared" si="12"/>
        <v>0</v>
      </c>
    </row>
    <row r="245" spans="2:11" ht="15" hidden="1" customHeight="1" outlineLevel="1" thickBot="1">
      <c r="D245" s="55">
        <v>2040</v>
      </c>
      <c r="E245" s="62"/>
      <c r="F245" s="63"/>
      <c r="G245" s="64" t="str">
        <f t="shared" si="13"/>
        <v/>
      </c>
      <c r="H245" s="65"/>
      <c r="I245" s="66">
        <f>I244+F245-H245</f>
        <v>0</v>
      </c>
      <c r="K245" s="67">
        <f t="shared" si="12"/>
        <v>0</v>
      </c>
    </row>
    <row r="246" spans="2:11" ht="15" hidden="1" customHeight="1" outlineLevel="1">
      <c r="D246" s="68"/>
      <c r="E246" s="69"/>
      <c r="F246" s="70"/>
      <c r="G246" s="69"/>
      <c r="H246" s="69"/>
      <c r="I246" s="71" t="s">
        <v>63</v>
      </c>
      <c r="K246" s="72" t="s">
        <v>64</v>
      </c>
    </row>
    <row r="247" spans="2:11" ht="15" customHeight="1" collapsed="1"/>
    <row r="248" spans="2:11" ht="6" hidden="1" customHeight="1" outlineLevel="1"/>
    <row r="249" spans="2:11" ht="20.100000000000001" hidden="1" customHeight="1" outlineLevel="1">
      <c r="B249" s="47" t="s">
        <v>77</v>
      </c>
      <c r="C249" s="20"/>
      <c r="D249" s="27"/>
      <c r="K249" s="7"/>
    </row>
    <row r="250" spans="2:11" ht="20.100000000000001" hidden="1" customHeight="1" outlineLevel="1" thickBot="1">
      <c r="B250" s="28" t="s">
        <v>78</v>
      </c>
      <c r="H250" s="1"/>
      <c r="K250" s="7" t="s">
        <v>146</v>
      </c>
    </row>
    <row r="251" spans="2:11" ht="15" hidden="1" customHeight="1" outlineLevel="1" thickBot="1">
      <c r="B251" s="28"/>
      <c r="C251" s="77" t="s">
        <v>79</v>
      </c>
      <c r="D251" s="77"/>
      <c r="E251" s="77"/>
      <c r="F251" s="182"/>
      <c r="G251" s="183"/>
      <c r="H251" s="184"/>
      <c r="I251" s="78"/>
    </row>
    <row r="252" spans="2:11" ht="15" hidden="1" customHeight="1" outlineLevel="1">
      <c r="B252" s="28"/>
      <c r="C252" s="77"/>
      <c r="D252" s="77"/>
      <c r="E252" s="78"/>
      <c r="F252" s="78"/>
      <c r="G252" s="78"/>
      <c r="H252" s="78"/>
      <c r="I252" s="78"/>
    </row>
    <row r="253" spans="2:11" ht="15" hidden="1" customHeight="1" outlineLevel="1" thickBot="1">
      <c r="C253" s="77" t="s">
        <v>67</v>
      </c>
      <c r="D253" s="77"/>
      <c r="E253" s="77"/>
      <c r="F253" s="77"/>
      <c r="G253" s="77"/>
      <c r="H253" s="77"/>
      <c r="I253" s="77"/>
    </row>
    <row r="254" spans="2:11" ht="20.100000000000001" hidden="1" customHeight="1" outlineLevel="1" thickBot="1">
      <c r="C254" s="77"/>
      <c r="D254" s="77" t="s">
        <v>12</v>
      </c>
      <c r="E254" s="77"/>
      <c r="F254" s="164">
        <f>F277*I306/10000</f>
        <v>0</v>
      </c>
      <c r="G254" s="165"/>
      <c r="H254" s="79" t="s">
        <v>13</v>
      </c>
      <c r="I254" s="77"/>
    </row>
    <row r="255" spans="2:11" ht="15" hidden="1" customHeight="1" outlineLevel="1" thickBot="1">
      <c r="C255" s="80"/>
      <c r="D255" s="77"/>
      <c r="E255" s="77"/>
      <c r="F255" s="81"/>
      <c r="G255" s="81"/>
      <c r="H255" s="77"/>
      <c r="I255" s="77"/>
    </row>
    <row r="256" spans="2:11" ht="15" hidden="1" customHeight="1" outlineLevel="1" thickBot="1">
      <c r="C256" s="82" t="s">
        <v>22</v>
      </c>
      <c r="D256" s="82"/>
      <c r="E256" s="82"/>
      <c r="F256" s="82"/>
      <c r="G256" s="82" t="s">
        <v>23</v>
      </c>
      <c r="H256" s="83"/>
      <c r="I256" s="77" t="s">
        <v>24</v>
      </c>
    </row>
    <row r="257" spans="2:14" ht="20.100000000000001" hidden="1" customHeight="1" outlineLevel="1" thickBot="1">
      <c r="C257" s="80"/>
      <c r="D257" s="82" t="s">
        <v>12</v>
      </c>
      <c r="E257" s="77"/>
      <c r="F257" s="164" t="e">
        <f>F277*VLOOKUP(H256+3,D290:I306,6,FALSE)/10000</f>
        <v>#N/A</v>
      </c>
      <c r="G257" s="165"/>
      <c r="H257" s="79" t="s">
        <v>13</v>
      </c>
      <c r="I257" s="77"/>
    </row>
    <row r="258" spans="2:14" ht="20.100000000000001" hidden="1" customHeight="1" outlineLevel="1">
      <c r="C258" s="31"/>
      <c r="D258" s="33"/>
      <c r="E258" s="5"/>
      <c r="F258" s="35"/>
      <c r="G258" s="35"/>
      <c r="H258" s="5"/>
    </row>
    <row r="259" spans="2:14" ht="20.100000000000001" hidden="1" customHeight="1" outlineLevel="1" thickBot="1">
      <c r="C259" s="5" t="s">
        <v>25</v>
      </c>
      <c r="D259" s="5"/>
      <c r="E259" s="5"/>
      <c r="F259" s="5"/>
      <c r="G259" s="5"/>
      <c r="H259" s="5"/>
    </row>
    <row r="260" spans="2:14" ht="20.100000000000001" hidden="1" customHeight="1" outlineLevel="1" thickBot="1">
      <c r="C260" s="5"/>
      <c r="D260" s="5" t="s">
        <v>12</v>
      </c>
      <c r="E260" s="5"/>
      <c r="F260" s="166"/>
      <c r="G260" s="167"/>
      <c r="H260" s="5" t="s">
        <v>13</v>
      </c>
    </row>
    <row r="261" spans="2:14" ht="9.9499999999999993" hidden="1" customHeight="1" outlineLevel="1" thickBot="1">
      <c r="C261" s="5"/>
      <c r="D261" s="5"/>
      <c r="E261" s="5"/>
      <c r="F261" s="5"/>
      <c r="G261" s="5"/>
      <c r="H261" s="5"/>
    </row>
    <row r="262" spans="2:14" ht="52.5" hidden="1" customHeight="1" outlineLevel="1" thickBot="1">
      <c r="C262" s="31"/>
      <c r="D262" s="33" t="s">
        <v>26</v>
      </c>
      <c r="E262" s="5"/>
      <c r="F262" s="168"/>
      <c r="G262" s="169"/>
      <c r="H262" s="169"/>
      <c r="I262" s="169"/>
      <c r="J262" s="169"/>
      <c r="K262" s="170"/>
    </row>
    <row r="263" spans="2:14" ht="15" hidden="1" customHeight="1" outlineLevel="1">
      <c r="C263" s="77"/>
      <c r="D263" s="84"/>
      <c r="E263" s="77"/>
      <c r="F263" s="77"/>
      <c r="G263" s="77"/>
      <c r="H263" s="77"/>
      <c r="I263" s="77"/>
    </row>
    <row r="264" spans="2:14" ht="20.100000000000001" hidden="1" customHeight="1" outlineLevel="1">
      <c r="B264" s="47" t="s">
        <v>80</v>
      </c>
      <c r="C264" s="85"/>
      <c r="D264" s="85"/>
    </row>
    <row r="265" spans="2:14" s="87" customFormat="1" ht="30" hidden="1" customHeight="1" outlineLevel="1" thickBot="1">
      <c r="B265" s="86"/>
      <c r="D265" s="171" t="s">
        <v>28</v>
      </c>
      <c r="E265" s="171"/>
      <c r="F265" s="171"/>
      <c r="G265" s="171"/>
      <c r="H265" s="171"/>
      <c r="I265" s="171"/>
      <c r="J265" s="171"/>
      <c r="K265" s="171"/>
      <c r="L265" s="77"/>
      <c r="N265" s="88"/>
    </row>
    <row r="266" spans="2:14" s="87" customFormat="1" ht="399.95" hidden="1" customHeight="1" outlineLevel="1" thickBot="1">
      <c r="D266" s="172"/>
      <c r="E266" s="173"/>
      <c r="F266" s="173"/>
      <c r="G266" s="173"/>
      <c r="H266" s="173"/>
      <c r="I266" s="173"/>
      <c r="J266" s="173"/>
      <c r="K266" s="174"/>
      <c r="L266" s="77"/>
      <c r="N266" s="88"/>
    </row>
    <row r="267" spans="2:14" s="87" customFormat="1" ht="13.5" hidden="1" outlineLevel="1">
      <c r="D267" s="77"/>
      <c r="J267" s="89"/>
      <c r="K267" s="77"/>
      <c r="L267" s="77"/>
      <c r="N267" s="88"/>
    </row>
    <row r="268" spans="2:14" s="87" customFormat="1" ht="17.25" hidden="1" outlineLevel="1">
      <c r="D268" s="77"/>
      <c r="E268" s="77" t="s">
        <v>29</v>
      </c>
      <c r="F268" s="5" t="s">
        <v>30</v>
      </c>
      <c r="G268" s="5"/>
      <c r="H268" s="36">
        <f>$Q$44</f>
        <v>8.64</v>
      </c>
      <c r="I268" s="5" t="s">
        <v>31</v>
      </c>
      <c r="J268" s="89"/>
      <c r="K268" s="77"/>
      <c r="L268" s="77"/>
      <c r="N268" s="88"/>
    </row>
    <row r="269" spans="2:14" s="87" customFormat="1" hidden="1" outlineLevel="1">
      <c r="D269" s="77"/>
      <c r="E269" s="77"/>
      <c r="F269" s="5" t="s">
        <v>32</v>
      </c>
      <c r="G269" s="5"/>
      <c r="H269" s="36">
        <f>$Q$45</f>
        <v>2.58</v>
      </c>
      <c r="I269" s="5" t="s">
        <v>33</v>
      </c>
      <c r="J269" s="89"/>
      <c r="K269" s="77"/>
      <c r="L269" s="77"/>
      <c r="N269" s="88"/>
    </row>
    <row r="270" spans="2:14" s="87" customFormat="1" ht="13.5" hidden="1" outlineLevel="1">
      <c r="D270" s="77"/>
      <c r="E270" s="77"/>
      <c r="F270" s="77" t="s">
        <v>81</v>
      </c>
      <c r="G270" s="89"/>
      <c r="H270" s="89"/>
      <c r="I270" s="77"/>
      <c r="J270" s="89"/>
      <c r="K270" s="77"/>
      <c r="L270" s="77"/>
      <c r="N270" s="88"/>
    </row>
    <row r="271" spans="2:14" s="87" customFormat="1" ht="14.25" hidden="1" outlineLevel="1" thickBot="1">
      <c r="D271" s="77" t="s">
        <v>82</v>
      </c>
      <c r="E271" s="77"/>
      <c r="F271" s="77"/>
      <c r="G271" s="77"/>
      <c r="H271" s="77"/>
      <c r="I271" s="77"/>
      <c r="J271" s="89"/>
      <c r="K271" s="77"/>
      <c r="L271" s="77"/>
      <c r="N271" s="88"/>
    </row>
    <row r="272" spans="2:14" s="87" customFormat="1" ht="90" hidden="1" customHeight="1" outlineLevel="1" thickBot="1">
      <c r="D272" s="77"/>
      <c r="E272" s="90" t="s">
        <v>35</v>
      </c>
      <c r="F272" s="175"/>
      <c r="G272" s="176"/>
      <c r="H272" s="176"/>
      <c r="I272" s="176"/>
      <c r="J272" s="176"/>
      <c r="K272" s="177"/>
      <c r="L272" s="77"/>
      <c r="N272" s="88"/>
    </row>
    <row r="273" spans="2:14" s="87" customFormat="1" ht="13.5" hidden="1" outlineLevel="1">
      <c r="D273" s="77"/>
      <c r="E273" s="82"/>
      <c r="F273" s="77"/>
      <c r="G273" s="77"/>
      <c r="H273" s="77"/>
      <c r="I273" s="77"/>
      <c r="J273" s="89"/>
      <c r="K273" s="77"/>
      <c r="L273" s="77"/>
      <c r="N273" s="88"/>
    </row>
    <row r="274" spans="2:14" s="87" customFormat="1" ht="14.25" hidden="1" outlineLevel="1" thickBot="1">
      <c r="C274" s="91"/>
      <c r="D274" s="77" t="s">
        <v>83</v>
      </c>
      <c r="E274" s="82"/>
      <c r="F274" s="77"/>
      <c r="G274" s="77"/>
      <c r="H274" s="77"/>
      <c r="I274" s="77"/>
      <c r="J274" s="89"/>
      <c r="K274" s="77"/>
      <c r="L274" s="77"/>
      <c r="N274" s="88"/>
    </row>
    <row r="275" spans="2:14" s="87" customFormat="1" ht="90" hidden="1" customHeight="1" outlineLevel="1" thickBot="1">
      <c r="C275" s="91"/>
      <c r="D275" s="77"/>
      <c r="E275" s="90" t="s">
        <v>44</v>
      </c>
      <c r="F275" s="175"/>
      <c r="G275" s="176"/>
      <c r="H275" s="176"/>
      <c r="I275" s="176"/>
      <c r="J275" s="176"/>
      <c r="K275" s="177"/>
      <c r="L275" s="77"/>
      <c r="N275" s="88"/>
    </row>
    <row r="276" spans="2:14" s="87" customFormat="1" ht="14.25" hidden="1" outlineLevel="1" thickBot="1">
      <c r="C276" s="91"/>
      <c r="D276" s="77"/>
      <c r="E276" s="77"/>
      <c r="F276" s="77"/>
      <c r="G276" s="77"/>
      <c r="H276" s="77"/>
      <c r="I276" s="77"/>
      <c r="J276" s="89"/>
      <c r="K276" s="77"/>
      <c r="L276" s="77"/>
      <c r="N276" s="88"/>
    </row>
    <row r="277" spans="2:14" s="87" customFormat="1" ht="14.25" hidden="1" outlineLevel="1" thickBot="1">
      <c r="C277" s="91"/>
      <c r="D277" s="77" t="s">
        <v>47</v>
      </c>
      <c r="E277" s="77"/>
      <c r="F277" s="178"/>
      <c r="G277" s="179"/>
      <c r="H277" s="92" t="s">
        <v>84</v>
      </c>
      <c r="I277" s="77"/>
      <c r="J277" s="89"/>
      <c r="K277" s="77"/>
      <c r="L277" s="77"/>
      <c r="N277" s="88"/>
    </row>
    <row r="278" spans="2:14" s="87" customFormat="1" ht="13.5" hidden="1" outlineLevel="1">
      <c r="F278" s="93"/>
      <c r="G278" s="93"/>
      <c r="J278" s="94"/>
      <c r="N278" s="88"/>
    </row>
    <row r="279" spans="2:14" s="87" customFormat="1" ht="20.100000000000001" hidden="1" customHeight="1" outlineLevel="1">
      <c r="C279" s="91"/>
      <c r="F279" s="93"/>
      <c r="G279" s="93"/>
      <c r="J279" s="94"/>
      <c r="K279" s="95"/>
      <c r="N279" s="88"/>
    </row>
    <row r="280" spans="2:14" s="87" customFormat="1" ht="20.100000000000001" hidden="1" customHeight="1" outlineLevel="1">
      <c r="B280" s="96" t="s">
        <v>85</v>
      </c>
      <c r="C280" s="97"/>
      <c r="D280" s="97"/>
      <c r="E280" s="97"/>
      <c r="F280" s="97"/>
      <c r="G280" s="97"/>
      <c r="H280" s="97"/>
      <c r="J280" s="94"/>
      <c r="K280" s="95" t="s">
        <v>146</v>
      </c>
      <c r="N280" s="88"/>
    </row>
    <row r="281" spans="2:14" s="87" customFormat="1" ht="30" hidden="1" customHeight="1" outlineLevel="1" thickBot="1">
      <c r="B281" s="96"/>
      <c r="C281" s="97"/>
      <c r="D281" s="180" t="s">
        <v>28</v>
      </c>
      <c r="E281" s="181"/>
      <c r="F281" s="181"/>
      <c r="G281" s="181"/>
      <c r="H281" s="181"/>
      <c r="I281" s="181"/>
      <c r="J281" s="181"/>
      <c r="K281" s="181"/>
      <c r="N281" s="88"/>
    </row>
    <row r="282" spans="2:14" s="87" customFormat="1" ht="399.95" hidden="1" customHeight="1" outlineLevel="1" thickBot="1">
      <c r="D282" s="172"/>
      <c r="E282" s="173"/>
      <c r="F282" s="173"/>
      <c r="G282" s="173"/>
      <c r="H282" s="173"/>
      <c r="I282" s="173"/>
      <c r="J282" s="173"/>
      <c r="K282" s="174"/>
      <c r="N282" s="88"/>
    </row>
    <row r="283" spans="2:14" s="87" customFormat="1" ht="15" hidden="1" customHeight="1" outlineLevel="1" thickBot="1">
      <c r="D283" s="98"/>
      <c r="E283" s="98"/>
      <c r="F283" s="98"/>
      <c r="G283" s="98"/>
      <c r="H283" s="98"/>
      <c r="I283" s="98"/>
      <c r="J283" s="94"/>
      <c r="N283" s="88"/>
    </row>
    <row r="284" spans="2:14" s="87" customFormat="1" ht="45" hidden="1" customHeight="1" outlineLevel="1" thickBot="1">
      <c r="D284" s="159" t="s">
        <v>70</v>
      </c>
      <c r="E284" s="160"/>
      <c r="F284" s="161"/>
      <c r="G284" s="162"/>
      <c r="H284" s="162"/>
      <c r="I284" s="162"/>
      <c r="J284" s="162"/>
      <c r="K284" s="163"/>
      <c r="N284" s="88"/>
    </row>
    <row r="285" spans="2:14" s="87" customFormat="1" ht="15" hidden="1" customHeight="1" outlineLevel="1">
      <c r="D285" s="99"/>
      <c r="E285" s="99"/>
      <c r="F285" s="99"/>
      <c r="G285" s="99"/>
      <c r="H285" s="99"/>
      <c r="I285" s="98"/>
      <c r="J285" s="94"/>
      <c r="N285" s="88"/>
    </row>
    <row r="286" spans="2:14" s="87" customFormat="1" ht="20.100000000000001" hidden="1" customHeight="1" outlineLevel="1">
      <c r="D286" s="99"/>
      <c r="E286" s="99"/>
      <c r="F286" s="99"/>
      <c r="G286" s="99"/>
      <c r="H286" s="99"/>
      <c r="I286" s="99"/>
      <c r="J286" s="50" t="s">
        <v>86</v>
      </c>
      <c r="N286" s="88"/>
    </row>
    <row r="287" spans="2:14" s="87" customFormat="1" ht="20.100000000000001" hidden="1" customHeight="1" outlineLevel="1" thickBot="1">
      <c r="D287" s="100" t="s">
        <v>53</v>
      </c>
      <c r="E287" s="97"/>
      <c r="F287" s="97"/>
      <c r="G287" s="97"/>
      <c r="H287" s="97"/>
      <c r="I287" s="91"/>
      <c r="J287" s="94"/>
      <c r="K287" s="50" t="s">
        <v>2</v>
      </c>
      <c r="N287" s="88"/>
    </row>
    <row r="288" spans="2:14" s="87" customFormat="1" ht="33" hidden="1" customHeight="1" outlineLevel="1">
      <c r="D288" s="150" t="s">
        <v>54</v>
      </c>
      <c r="E288" s="101" t="s">
        <v>55</v>
      </c>
      <c r="F288" s="152" t="s">
        <v>56</v>
      </c>
      <c r="G288" s="152"/>
      <c r="H288" s="153" t="s">
        <v>57</v>
      </c>
      <c r="I288" s="155" t="s">
        <v>58</v>
      </c>
      <c r="J288" s="16"/>
      <c r="K288" s="157" t="s">
        <v>59</v>
      </c>
      <c r="N288" s="88"/>
    </row>
    <row r="289" spans="4:14" s="87" customFormat="1" ht="30" hidden="1" customHeight="1" outlineLevel="1" thickBot="1">
      <c r="D289" s="151"/>
      <c r="E289" s="102" t="s">
        <v>60</v>
      </c>
      <c r="F289" s="103" t="s">
        <v>61</v>
      </c>
      <c r="G289" s="104" t="s">
        <v>62</v>
      </c>
      <c r="H289" s="154"/>
      <c r="I289" s="156"/>
      <c r="J289" s="16"/>
      <c r="K289" s="158"/>
      <c r="N289" s="91"/>
    </row>
    <row r="290" spans="4:14" s="87" customFormat="1" ht="15" hidden="1" customHeight="1" outlineLevel="1">
      <c r="D290" s="105">
        <v>2024</v>
      </c>
      <c r="E290" s="106"/>
      <c r="F290" s="107"/>
      <c r="G290" s="108" t="str">
        <f>IF(E290="","0",F290/E290)</f>
        <v>0</v>
      </c>
      <c r="H290" s="109"/>
      <c r="I290" s="110">
        <f>F290-H290</f>
        <v>0</v>
      </c>
      <c r="J290" s="94"/>
      <c r="K290" s="111">
        <f>I290*$F$277/10000</f>
        <v>0</v>
      </c>
      <c r="N290" s="91"/>
    </row>
    <row r="291" spans="4:14" s="87" customFormat="1" ht="15" hidden="1" customHeight="1" outlineLevel="1">
      <c r="D291" s="105">
        <v>2025</v>
      </c>
      <c r="E291" s="112"/>
      <c r="F291" s="113"/>
      <c r="G291" s="114" t="str">
        <f t="shared" ref="G291:G306" si="15">IF(E291="","0",F291/E291)</f>
        <v>0</v>
      </c>
      <c r="H291" s="115"/>
      <c r="I291" s="116">
        <f>I290+F291-H291</f>
        <v>0</v>
      </c>
      <c r="J291" s="94"/>
      <c r="K291" s="111">
        <f t="shared" ref="K291:K306" si="16">I291*$F$277/10000</f>
        <v>0</v>
      </c>
      <c r="N291" s="91"/>
    </row>
    <row r="292" spans="4:14" s="87" customFormat="1" ht="15" hidden="1" customHeight="1" outlineLevel="1">
      <c r="D292" s="105">
        <v>2026</v>
      </c>
      <c r="E292" s="112"/>
      <c r="F292" s="113"/>
      <c r="G292" s="114" t="str">
        <f t="shared" si="15"/>
        <v>0</v>
      </c>
      <c r="H292" s="115"/>
      <c r="I292" s="116">
        <f>I291+F292-H292</f>
        <v>0</v>
      </c>
      <c r="J292" s="94"/>
      <c r="K292" s="111">
        <f t="shared" si="16"/>
        <v>0</v>
      </c>
      <c r="N292" s="91"/>
    </row>
    <row r="293" spans="4:14" s="87" customFormat="1" ht="15" hidden="1" customHeight="1" outlineLevel="1">
      <c r="D293" s="105">
        <v>2027</v>
      </c>
      <c r="E293" s="112"/>
      <c r="F293" s="113"/>
      <c r="G293" s="114" t="str">
        <f t="shared" si="15"/>
        <v>0</v>
      </c>
      <c r="H293" s="115"/>
      <c r="I293" s="116">
        <f>I292+F293-H293</f>
        <v>0</v>
      </c>
      <c r="J293" s="94"/>
      <c r="K293" s="111">
        <f t="shared" si="16"/>
        <v>0</v>
      </c>
      <c r="N293" s="91"/>
    </row>
    <row r="294" spans="4:14" s="87" customFormat="1" ht="15" hidden="1" customHeight="1" outlineLevel="1">
      <c r="D294" s="105">
        <v>2028</v>
      </c>
      <c r="E294" s="112"/>
      <c r="F294" s="113"/>
      <c r="G294" s="114" t="str">
        <f t="shared" si="15"/>
        <v>0</v>
      </c>
      <c r="H294" s="115"/>
      <c r="I294" s="116">
        <f>I293+F294-H294</f>
        <v>0</v>
      </c>
      <c r="J294" s="94"/>
      <c r="K294" s="111">
        <f t="shared" si="16"/>
        <v>0</v>
      </c>
      <c r="N294" s="91"/>
    </row>
    <row r="295" spans="4:14" s="87" customFormat="1" ht="15" hidden="1" customHeight="1" outlineLevel="1">
      <c r="D295" s="105">
        <v>2029</v>
      </c>
      <c r="E295" s="112"/>
      <c r="F295" s="113"/>
      <c r="G295" s="114" t="str">
        <f t="shared" si="15"/>
        <v>0</v>
      </c>
      <c r="H295" s="115"/>
      <c r="I295" s="116">
        <f>I294+F295-H295</f>
        <v>0</v>
      </c>
      <c r="J295" s="94"/>
      <c r="K295" s="111">
        <f t="shared" si="16"/>
        <v>0</v>
      </c>
      <c r="N295" s="91"/>
    </row>
    <row r="296" spans="4:14" s="87" customFormat="1" ht="15" hidden="1" customHeight="1" outlineLevel="1">
      <c r="D296" s="105">
        <v>2030</v>
      </c>
      <c r="E296" s="112"/>
      <c r="F296" s="113"/>
      <c r="G296" s="114" t="str">
        <f t="shared" si="15"/>
        <v>0</v>
      </c>
      <c r="H296" s="115"/>
      <c r="I296" s="116">
        <f t="shared" ref="I296:I306" si="17">I295+F296-H296</f>
        <v>0</v>
      </c>
      <c r="J296" s="94"/>
      <c r="K296" s="111">
        <f t="shared" si="16"/>
        <v>0</v>
      </c>
      <c r="N296" s="91"/>
    </row>
    <row r="297" spans="4:14" s="87" customFormat="1" ht="15" hidden="1" customHeight="1" outlineLevel="1">
      <c r="D297" s="105">
        <v>2031</v>
      </c>
      <c r="E297" s="112"/>
      <c r="F297" s="113"/>
      <c r="G297" s="114" t="str">
        <f t="shared" si="15"/>
        <v>0</v>
      </c>
      <c r="H297" s="115"/>
      <c r="I297" s="116">
        <f t="shared" si="17"/>
        <v>0</v>
      </c>
      <c r="J297" s="94"/>
      <c r="K297" s="111">
        <f t="shared" si="16"/>
        <v>0</v>
      </c>
      <c r="N297" s="91"/>
    </row>
    <row r="298" spans="4:14" s="87" customFormat="1" ht="15" hidden="1" customHeight="1" outlineLevel="1">
      <c r="D298" s="105">
        <v>2032</v>
      </c>
      <c r="E298" s="112"/>
      <c r="F298" s="113"/>
      <c r="G298" s="114" t="str">
        <f t="shared" si="15"/>
        <v>0</v>
      </c>
      <c r="H298" s="115"/>
      <c r="I298" s="116">
        <f t="shared" si="17"/>
        <v>0</v>
      </c>
      <c r="J298" s="94"/>
      <c r="K298" s="111">
        <f t="shared" si="16"/>
        <v>0</v>
      </c>
      <c r="N298" s="91"/>
    </row>
    <row r="299" spans="4:14" s="87" customFormat="1" ht="15" hidden="1" customHeight="1" outlineLevel="1">
      <c r="D299" s="105">
        <v>2033</v>
      </c>
      <c r="E299" s="112"/>
      <c r="F299" s="113"/>
      <c r="G299" s="114" t="str">
        <f t="shared" si="15"/>
        <v>0</v>
      </c>
      <c r="H299" s="115"/>
      <c r="I299" s="116">
        <f t="shared" si="17"/>
        <v>0</v>
      </c>
      <c r="J299" s="94"/>
      <c r="K299" s="111">
        <f t="shared" si="16"/>
        <v>0</v>
      </c>
      <c r="N299" s="91"/>
    </row>
    <row r="300" spans="4:14" s="87" customFormat="1" ht="15" hidden="1" customHeight="1" outlineLevel="1">
      <c r="D300" s="105">
        <v>2034</v>
      </c>
      <c r="E300" s="112"/>
      <c r="F300" s="113"/>
      <c r="G300" s="114" t="str">
        <f t="shared" si="15"/>
        <v>0</v>
      </c>
      <c r="H300" s="115"/>
      <c r="I300" s="116">
        <f t="shared" si="17"/>
        <v>0</v>
      </c>
      <c r="J300" s="94"/>
      <c r="K300" s="111">
        <f t="shared" si="16"/>
        <v>0</v>
      </c>
      <c r="N300" s="91"/>
    </row>
    <row r="301" spans="4:14" s="87" customFormat="1" ht="15" hidden="1" customHeight="1" outlineLevel="1">
      <c r="D301" s="105">
        <v>2035</v>
      </c>
      <c r="E301" s="112"/>
      <c r="F301" s="113"/>
      <c r="G301" s="114" t="str">
        <f t="shared" si="15"/>
        <v>0</v>
      </c>
      <c r="H301" s="115"/>
      <c r="I301" s="116">
        <f t="shared" si="17"/>
        <v>0</v>
      </c>
      <c r="J301" s="94"/>
      <c r="K301" s="111">
        <f t="shared" si="16"/>
        <v>0</v>
      </c>
      <c r="N301" s="91"/>
    </row>
    <row r="302" spans="4:14" s="87" customFormat="1" ht="15" hidden="1" customHeight="1" outlineLevel="1">
      <c r="D302" s="105">
        <v>2036</v>
      </c>
      <c r="E302" s="112"/>
      <c r="F302" s="113"/>
      <c r="G302" s="114" t="str">
        <f t="shared" si="15"/>
        <v>0</v>
      </c>
      <c r="H302" s="115"/>
      <c r="I302" s="116">
        <f t="shared" si="17"/>
        <v>0</v>
      </c>
      <c r="J302" s="94"/>
      <c r="K302" s="111">
        <f t="shared" si="16"/>
        <v>0</v>
      </c>
      <c r="N302" s="91"/>
    </row>
    <row r="303" spans="4:14" s="87" customFormat="1" ht="15" hidden="1" customHeight="1" outlineLevel="1">
      <c r="D303" s="105">
        <v>2037</v>
      </c>
      <c r="E303" s="112"/>
      <c r="F303" s="113"/>
      <c r="G303" s="114" t="str">
        <f t="shared" si="15"/>
        <v>0</v>
      </c>
      <c r="H303" s="115"/>
      <c r="I303" s="116">
        <f t="shared" si="17"/>
        <v>0</v>
      </c>
      <c r="J303" s="94"/>
      <c r="K303" s="111">
        <f t="shared" si="16"/>
        <v>0</v>
      </c>
      <c r="N303" s="91"/>
    </row>
    <row r="304" spans="4:14" s="87" customFormat="1" ht="15" hidden="1" customHeight="1" outlineLevel="1">
      <c r="D304" s="105">
        <v>2038</v>
      </c>
      <c r="E304" s="112"/>
      <c r="F304" s="113"/>
      <c r="G304" s="114" t="str">
        <f t="shared" si="15"/>
        <v>0</v>
      </c>
      <c r="H304" s="115"/>
      <c r="I304" s="116">
        <f t="shared" si="17"/>
        <v>0</v>
      </c>
      <c r="J304" s="94"/>
      <c r="K304" s="111">
        <f t="shared" si="16"/>
        <v>0</v>
      </c>
      <c r="N304" s="91"/>
    </row>
    <row r="305" spans="4:14" s="87" customFormat="1" ht="15" hidden="1" customHeight="1" outlineLevel="1">
      <c r="D305" s="105">
        <v>2039</v>
      </c>
      <c r="E305" s="112"/>
      <c r="F305" s="113"/>
      <c r="G305" s="114" t="str">
        <f t="shared" si="15"/>
        <v>0</v>
      </c>
      <c r="H305" s="115"/>
      <c r="I305" s="116">
        <f t="shared" si="17"/>
        <v>0</v>
      </c>
      <c r="J305" s="94"/>
      <c r="K305" s="111">
        <f t="shared" si="16"/>
        <v>0</v>
      </c>
      <c r="N305" s="91"/>
    </row>
    <row r="306" spans="4:14" s="87" customFormat="1" ht="15" hidden="1" customHeight="1" outlineLevel="1" thickBot="1">
      <c r="D306" s="105">
        <v>2040</v>
      </c>
      <c r="E306" s="117"/>
      <c r="F306" s="118"/>
      <c r="G306" s="119" t="str">
        <f t="shared" si="15"/>
        <v>0</v>
      </c>
      <c r="H306" s="120"/>
      <c r="I306" s="121">
        <f t="shared" si="17"/>
        <v>0</v>
      </c>
      <c r="J306" s="94"/>
      <c r="K306" s="122">
        <f t="shared" si="16"/>
        <v>0</v>
      </c>
      <c r="N306" s="91"/>
    </row>
    <row r="307" spans="4:14" s="87" customFormat="1" ht="15" hidden="1" customHeight="1" outlineLevel="1" thickBot="1">
      <c r="D307" s="123"/>
      <c r="E307" s="124"/>
      <c r="F307" s="125"/>
      <c r="G307" s="124"/>
      <c r="H307" s="124"/>
      <c r="I307" s="126" t="s">
        <v>87</v>
      </c>
      <c r="J307" s="94"/>
      <c r="K307" s="72" t="s">
        <v>64</v>
      </c>
      <c r="N307" s="91"/>
    </row>
    <row r="308" spans="4:14" ht="15" customHeight="1" collapsed="1"/>
  </sheetData>
  <mergeCells count="93">
    <mergeCell ref="B5:K5"/>
    <mergeCell ref="F11:H11"/>
    <mergeCell ref="F13:H13"/>
    <mergeCell ref="C16:K16"/>
    <mergeCell ref="C17:K18"/>
    <mergeCell ref="G59:H59"/>
    <mergeCell ref="F23:H23"/>
    <mergeCell ref="F26:G26"/>
    <mergeCell ref="F33:G33"/>
    <mergeCell ref="F36:G36"/>
    <mergeCell ref="F38:K38"/>
    <mergeCell ref="D41:K41"/>
    <mergeCell ref="D42:K42"/>
    <mergeCell ref="F48:K48"/>
    <mergeCell ref="G51:H51"/>
    <mergeCell ref="G53:H53"/>
    <mergeCell ref="F56:K56"/>
    <mergeCell ref="F99:H99"/>
    <mergeCell ref="G61:H61"/>
    <mergeCell ref="F63:G63"/>
    <mergeCell ref="D68:K68"/>
    <mergeCell ref="D69:K69"/>
    <mergeCell ref="D71:E71"/>
    <mergeCell ref="F71:K71"/>
    <mergeCell ref="D75:D76"/>
    <mergeCell ref="F75:G75"/>
    <mergeCell ref="H75:H76"/>
    <mergeCell ref="I75:I76"/>
    <mergeCell ref="K75:K76"/>
    <mergeCell ref="G137:H137"/>
    <mergeCell ref="F102:G102"/>
    <mergeCell ref="F109:G109"/>
    <mergeCell ref="F112:G112"/>
    <mergeCell ref="F114:K114"/>
    <mergeCell ref="D117:K117"/>
    <mergeCell ref="D118:K118"/>
    <mergeCell ref="F124:K124"/>
    <mergeCell ref="G127:H127"/>
    <mergeCell ref="G129:H129"/>
    <mergeCell ref="F132:K132"/>
    <mergeCell ref="G135:H135"/>
    <mergeCell ref="D151:D152"/>
    <mergeCell ref="F151:G151"/>
    <mergeCell ref="H151:H152"/>
    <mergeCell ref="I151:I152"/>
    <mergeCell ref="K151:K152"/>
    <mergeCell ref="F139:G139"/>
    <mergeCell ref="D144:K144"/>
    <mergeCell ref="D145:K145"/>
    <mergeCell ref="D147:E147"/>
    <mergeCell ref="F147:K147"/>
    <mergeCell ref="G211:H211"/>
    <mergeCell ref="F175:H175"/>
    <mergeCell ref="F178:G178"/>
    <mergeCell ref="F185:G185"/>
    <mergeCell ref="F188:G188"/>
    <mergeCell ref="F190:K190"/>
    <mergeCell ref="D193:K193"/>
    <mergeCell ref="D194:K194"/>
    <mergeCell ref="F200:K200"/>
    <mergeCell ref="G203:H203"/>
    <mergeCell ref="G205:H205"/>
    <mergeCell ref="F208:K208"/>
    <mergeCell ref="F251:H251"/>
    <mergeCell ref="G213:H213"/>
    <mergeCell ref="F215:G215"/>
    <mergeCell ref="D220:K220"/>
    <mergeCell ref="D221:K221"/>
    <mergeCell ref="D223:E223"/>
    <mergeCell ref="F223:K223"/>
    <mergeCell ref="D227:D228"/>
    <mergeCell ref="F227:G227"/>
    <mergeCell ref="H227:H228"/>
    <mergeCell ref="I227:I228"/>
    <mergeCell ref="K227:K228"/>
    <mergeCell ref="D284:E284"/>
    <mergeCell ref="F284:K284"/>
    <mergeCell ref="F254:G254"/>
    <mergeCell ref="F257:G257"/>
    <mergeCell ref="F260:G260"/>
    <mergeCell ref="F262:K262"/>
    <mergeCell ref="D265:K265"/>
    <mergeCell ref="D266:K266"/>
    <mergeCell ref="F272:K272"/>
    <mergeCell ref="F275:K275"/>
    <mergeCell ref="F277:G277"/>
    <mergeCell ref="D281:K281"/>
    <mergeCell ref="D282:K282"/>
    <mergeCell ref="D288:D289"/>
    <mergeCell ref="F288:G288"/>
    <mergeCell ref="H288:H289"/>
    <mergeCell ref="I288:I289"/>
    <mergeCell ref="K288:K289"/>
  </mergeCells>
  <phoneticPr fontId="2"/>
  <dataValidations count="1">
    <dataValidation type="list" allowBlank="1" showInputMessage="1" showErrorMessage="1" sqref="H32 H184 H108 H256" xr:uid="{D9C550BC-D215-4E53-859F-7569272ED24E}">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○目次</vt:lpstr>
      <vt:lpstr>例①</vt:lpstr>
      <vt:lpstr>例②</vt:lpstr>
      <vt:lpstr>例③</vt:lpstr>
      <vt:lpstr>例④</vt:lpstr>
      <vt:lpstr>(例⑤は欠番)</vt:lpstr>
      <vt:lpstr>例⑥</vt:lpstr>
      <vt:lpstr>例⑦</vt:lpstr>
      <vt:lpstr>例⑧</vt:lpstr>
      <vt:lpstr>例⑨</vt:lpstr>
      <vt:lpstr>例①!Print_Area</vt:lpstr>
      <vt:lpstr>例②!Print_Area</vt:lpstr>
      <vt:lpstr>例③!Print_Area</vt:lpstr>
      <vt:lpstr>例④!Print_Area</vt:lpstr>
      <vt:lpstr>例⑥!Print_Area</vt:lpstr>
      <vt:lpstr>例⑦!Print_Area</vt:lpstr>
      <vt:lpstr>例⑧!Print_Area</vt:lpstr>
      <vt:lpstr>例⑨!Print_Area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