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filterPrivacy="1" defaultThemeVersion="166925"/>
  <xr:revisionPtr revIDLastSave="0" documentId="8_{D7BE5BE8-C108-4F73-BC0E-D0BE4808779B}" xr6:coauthVersionLast="47" xr6:coauthVersionMax="47" xr10:uidLastSave="{00000000-0000-0000-0000-000000000000}"/>
  <bookViews>
    <workbookView xWindow="5100" yWindow="240" windowWidth="19380" windowHeight="14985" xr2:uid="{008AADFA-84AA-4533-8102-63E2E2AC837D}"/>
  </bookViews>
  <sheets>
    <sheet name="融資計画書 " sheetId="5" r:id="rId1"/>
    <sheet name="（計算シート）非表示にする" sheetId="9" state="hidden" r:id="rId2"/>
    <sheet name="実績報告 (据置期間)" sheetId="11" r:id="rId3"/>
    <sheet name="実績報告（据置期間以外）" sheetId="6" r:id="rId4"/>
  </sheets>
  <definedNames>
    <definedName name="_xlnm._FilterDatabase" localSheetId="2" hidden="1">'実績報告 (据置期間)'!$A$24:$M$167</definedName>
    <definedName name="_xlnm.Print_Area" localSheetId="2">'実績報告 (据置期間)'!$B$2:$M$174</definedName>
    <definedName name="_xlnm.Print_Area" localSheetId="3">'実績報告（据置期間以外）'!$B$3:$O$187</definedName>
    <definedName name="_xlnm.Print_Area" localSheetId="0">'融資計画書 '!$B$2:$O$211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8" i="11" l="1"/>
  <c r="B42" i="11" s="1"/>
  <c r="B56" i="11" s="1"/>
  <c r="B70" i="11" s="1"/>
  <c r="B84" i="11" s="1"/>
  <c r="B98" i="11" s="1"/>
  <c r="B112" i="11" s="1"/>
  <c r="B126" i="11" s="1"/>
  <c r="B140" i="11" s="1"/>
  <c r="B154" i="11" s="1"/>
  <c r="A27" i="11"/>
  <c r="N26" i="11"/>
  <c r="N25" i="11"/>
  <c r="A26" i="11"/>
  <c r="B172" i="11" s="1"/>
  <c r="C22" i="11"/>
  <c r="C21" i="11"/>
  <c r="C20" i="11"/>
  <c r="C19" i="11"/>
  <c r="C18" i="11"/>
  <c r="C16" i="11"/>
  <c r="C14" i="11"/>
  <c r="C13" i="11"/>
  <c r="C12" i="11"/>
  <c r="C11" i="11"/>
  <c r="C9" i="11"/>
  <c r="C7" i="11"/>
  <c r="C6" i="11"/>
  <c r="C19" i="6"/>
  <c r="C7" i="6"/>
  <c r="C8" i="6"/>
  <c r="C10" i="6"/>
  <c r="C12" i="6"/>
  <c r="C13" i="6"/>
  <c r="C14" i="6"/>
  <c r="C15" i="6"/>
  <c r="C17" i="6"/>
  <c r="C20" i="6"/>
  <c r="C21" i="6"/>
  <c r="C22" i="6"/>
  <c r="C23" i="6"/>
  <c r="G28" i="11" l="1"/>
  <c r="E28" i="11" s="1"/>
  <c r="E34" i="11" l="1" a="1"/>
  <c r="E34" i="11" s="1"/>
  <c r="F34" i="11" s="1"/>
  <c r="F28" i="11"/>
  <c r="G29" i="11"/>
  <c r="E29" i="11"/>
  <c r="F29" i="11" s="1"/>
  <c r="I28" i="11"/>
  <c r="I34" i="11" s="1"/>
  <c r="G34" i="11" a="1"/>
  <c r="G34" i="11" s="1"/>
  <c r="J28" i="11" a="1"/>
  <c r="J28" i="11" s="1"/>
  <c r="H28" i="11"/>
  <c r="G35" i="11" l="1"/>
  <c r="E35" i="11"/>
  <c r="H34" i="11"/>
  <c r="G30" i="11"/>
  <c r="E30" i="11"/>
  <c r="F30" i="11" s="1"/>
  <c r="K29" i="11"/>
  <c r="I29" i="11"/>
  <c r="J29" i="11"/>
  <c r="H29" i="11"/>
  <c r="L29" i="11" l="1" a="1"/>
  <c r="L29" i="11" s="1"/>
  <c r="M29" i="11"/>
  <c r="G31" i="11"/>
  <c r="E31" i="11"/>
  <c r="F31" i="11" s="1"/>
  <c r="K30" i="11"/>
  <c r="I30" i="11"/>
  <c r="J30" i="11"/>
  <c r="H30" i="11"/>
  <c r="E41" i="11" a="1"/>
  <c r="E41" i="11" s="1"/>
  <c r="F41" i="11" s="1"/>
  <c r="F35" i="11"/>
  <c r="G36" i="11"/>
  <c r="E36" i="11"/>
  <c r="F36" i="11" s="1"/>
  <c r="I35" i="11"/>
  <c r="I41" i="11" s="1"/>
  <c r="G41" i="11" a="1"/>
  <c r="G41" i="11" s="1"/>
  <c r="J35" i="11" a="1"/>
  <c r="J35" i="11" s="1"/>
  <c r="H35" i="11"/>
  <c r="L30" i="11" l="1" a="1"/>
  <c r="L30" i="11" s="1"/>
  <c r="G37" i="11"/>
  <c r="E37" i="11"/>
  <c r="F37" i="11" s="1"/>
  <c r="K36" i="11"/>
  <c r="I36" i="11"/>
  <c r="J36" i="11"/>
  <c r="H36" i="11"/>
  <c r="G42" i="11"/>
  <c r="E42" i="11"/>
  <c r="H41" i="11"/>
  <c r="M30" i="11"/>
  <c r="G32" i="11"/>
  <c r="E32" i="11"/>
  <c r="F32" i="11" s="1"/>
  <c r="K31" i="11"/>
  <c r="I31" i="11"/>
  <c r="J31" i="11"/>
  <c r="H31" i="11"/>
  <c r="L36" i="11" l="1" a="1"/>
  <c r="L36" i="11" s="1"/>
  <c r="L31" i="11" a="1"/>
  <c r="L31" i="11" s="1"/>
  <c r="G48" i="11" a="1"/>
  <c r="G48" i="11" s="1"/>
  <c r="J42" i="11" a="1"/>
  <c r="J42" i="11" s="1"/>
  <c r="H42" i="11"/>
  <c r="G43" i="11"/>
  <c r="E43" i="11"/>
  <c r="F43" i="11" s="1"/>
  <c r="I42" i="11"/>
  <c r="I48" i="11" s="1"/>
  <c r="M31" i="11"/>
  <c r="G33" i="11"/>
  <c r="E33" i="11"/>
  <c r="F33" i="11" s="1"/>
  <c r="K32" i="11"/>
  <c r="I32" i="11"/>
  <c r="J32" i="11"/>
  <c r="H32" i="11"/>
  <c r="F42" i="11"/>
  <c r="E48" i="11" a="1"/>
  <c r="E48" i="11" s="1"/>
  <c r="F48" i="11" s="1"/>
  <c r="M36" i="11"/>
  <c r="G38" i="11"/>
  <c r="E38" i="11"/>
  <c r="F38" i="11" s="1"/>
  <c r="K37" i="11"/>
  <c r="I37" i="11"/>
  <c r="J37" i="11"/>
  <c r="H37" i="11"/>
  <c r="L32" i="11" l="1" a="1"/>
  <c r="L32" i="11" s="1"/>
  <c r="L37" i="11" a="1"/>
  <c r="L37" i="11" s="1"/>
  <c r="M32" i="11"/>
  <c r="K33" i="11"/>
  <c r="I33" i="11"/>
  <c r="J33" i="11"/>
  <c r="H33" i="11"/>
  <c r="M37" i="11"/>
  <c r="G39" i="11"/>
  <c r="E39" i="11"/>
  <c r="F39" i="11" s="1"/>
  <c r="K38" i="11"/>
  <c r="I38" i="11"/>
  <c r="J38" i="11"/>
  <c r="H38" i="11"/>
  <c r="J43" i="11"/>
  <c r="H43" i="11"/>
  <c r="G44" i="11"/>
  <c r="E44" i="11"/>
  <c r="F44" i="11" s="1"/>
  <c r="K43" i="11"/>
  <c r="I43" i="11"/>
  <c r="H48" i="11"/>
  <c r="G49" i="11"/>
  <c r="E49" i="11"/>
  <c r="L33" i="11" l="1" a="1"/>
  <c r="L33" i="11" s="1"/>
  <c r="F49" i="11"/>
  <c r="E55" i="11" a="1"/>
  <c r="E55" i="11" s="1"/>
  <c r="F55" i="11" s="1"/>
  <c r="M43" i="11"/>
  <c r="J44" i="11"/>
  <c r="H44" i="11"/>
  <c r="G45" i="11"/>
  <c r="E45" i="11"/>
  <c r="F45" i="11" s="1"/>
  <c r="K44" i="11"/>
  <c r="I44" i="11"/>
  <c r="L43" i="11" a="1"/>
  <c r="L43" i="11" s="1"/>
  <c r="M38" i="11"/>
  <c r="G40" i="11"/>
  <c r="E40" i="11"/>
  <c r="F40" i="11" s="1"/>
  <c r="K39" i="11"/>
  <c r="I39" i="11"/>
  <c r="J39" i="11"/>
  <c r="H39" i="11"/>
  <c r="G55" i="11" a="1"/>
  <c r="G55" i="11" s="1"/>
  <c r="J49" i="11" a="1"/>
  <c r="J49" i="11" s="1"/>
  <c r="H49" i="11"/>
  <c r="G50" i="11"/>
  <c r="E50" i="11"/>
  <c r="F50" i="11" s="1"/>
  <c r="I49" i="11"/>
  <c r="I55" i="11" s="1"/>
  <c r="L38" i="11" a="1"/>
  <c r="L38" i="11" s="1"/>
  <c r="M33" i="11"/>
  <c r="L39" i="11" l="1" a="1"/>
  <c r="L39" i="11" s="1"/>
  <c r="M44" i="11"/>
  <c r="J45" i="11"/>
  <c r="H45" i="11"/>
  <c r="G46" i="11"/>
  <c r="E46" i="11"/>
  <c r="F46" i="11" s="1"/>
  <c r="K45" i="11"/>
  <c r="I45" i="11"/>
  <c r="L44" i="11" a="1"/>
  <c r="L44" i="11" s="1"/>
  <c r="J50" i="11"/>
  <c r="H50" i="11"/>
  <c r="G51" i="11"/>
  <c r="E51" i="11"/>
  <c r="F51" i="11" s="1"/>
  <c r="K50" i="11"/>
  <c r="I50" i="11"/>
  <c r="G56" i="11"/>
  <c r="E56" i="11"/>
  <c r="H55" i="11"/>
  <c r="M39" i="11"/>
  <c r="K40" i="11"/>
  <c r="I40" i="11"/>
  <c r="J40" i="11"/>
  <c r="H40" i="11"/>
  <c r="L40" i="11" l="1" a="1"/>
  <c r="L40" i="11" s="1"/>
  <c r="G57" i="11"/>
  <c r="E57" i="11"/>
  <c r="F57" i="11" s="1"/>
  <c r="I56" i="11"/>
  <c r="I62" i="11" s="1"/>
  <c r="G62" i="11" a="1"/>
  <c r="G62" i="11" s="1"/>
  <c r="J56" i="11" a="1"/>
  <c r="J56" i="11" s="1"/>
  <c r="H56" i="11"/>
  <c r="M50" i="11"/>
  <c r="J51" i="11"/>
  <c r="H51" i="11"/>
  <c r="G52" i="11"/>
  <c r="E52" i="11"/>
  <c r="F52" i="11" s="1"/>
  <c r="K51" i="11"/>
  <c r="I51" i="11"/>
  <c r="L50" i="11" a="1"/>
  <c r="L50" i="11" s="1"/>
  <c r="M45" i="11"/>
  <c r="J46" i="11"/>
  <c r="H46" i="11"/>
  <c r="G47" i="11"/>
  <c r="E47" i="11"/>
  <c r="F47" i="11" s="1"/>
  <c r="K46" i="11"/>
  <c r="I46" i="11"/>
  <c r="L45" i="11" a="1"/>
  <c r="L45" i="11" s="1"/>
  <c r="M40" i="11"/>
  <c r="E62" i="11" a="1"/>
  <c r="E62" i="11" s="1"/>
  <c r="F62" i="11" s="1"/>
  <c r="F56" i="11"/>
  <c r="G63" i="11" l="1"/>
  <c r="E63" i="11"/>
  <c r="H62" i="11"/>
  <c r="M46" i="11"/>
  <c r="J47" i="11"/>
  <c r="H47" i="11"/>
  <c r="K47" i="11"/>
  <c r="I47" i="11"/>
  <c r="L46" i="11" a="1"/>
  <c r="L46" i="11" s="1"/>
  <c r="M51" i="11"/>
  <c r="J52" i="11"/>
  <c r="H52" i="11"/>
  <c r="G53" i="11"/>
  <c r="E53" i="11"/>
  <c r="F53" i="11" s="1"/>
  <c r="K52" i="11"/>
  <c r="I52" i="11"/>
  <c r="L51" i="11" a="1"/>
  <c r="L51" i="11" s="1"/>
  <c r="G58" i="11"/>
  <c r="E58" i="11"/>
  <c r="F58" i="11" s="1"/>
  <c r="K57" i="11"/>
  <c r="I57" i="11"/>
  <c r="J57" i="11"/>
  <c r="H57" i="11"/>
  <c r="L57" i="11" l="1" a="1"/>
  <c r="L57" i="11" s="1"/>
  <c r="M52" i="11"/>
  <c r="J53" i="11"/>
  <c r="H53" i="11"/>
  <c r="G54" i="11"/>
  <c r="E54" i="11"/>
  <c r="F54" i="11" s="1"/>
  <c r="K53" i="11"/>
  <c r="I53" i="11"/>
  <c r="L52" i="11" a="1"/>
  <c r="L52" i="11" s="1"/>
  <c r="M47" i="11"/>
  <c r="L47" i="11" a="1"/>
  <c r="L47" i="11" s="1"/>
  <c r="G64" i="11"/>
  <c r="E64" i="11"/>
  <c r="F64" i="11" s="1"/>
  <c r="I63" i="11"/>
  <c r="I69" i="11" s="1"/>
  <c r="G69" i="11" a="1"/>
  <c r="G69" i="11" s="1"/>
  <c r="J63" i="11" a="1"/>
  <c r="J63" i="11" s="1"/>
  <c r="H63" i="11"/>
  <c r="M57" i="11"/>
  <c r="G59" i="11"/>
  <c r="E59" i="11"/>
  <c r="F59" i="11" s="1"/>
  <c r="K58" i="11"/>
  <c r="I58" i="11"/>
  <c r="J58" i="11"/>
  <c r="H58" i="11"/>
  <c r="E69" i="11" a="1"/>
  <c r="E69" i="11" s="1"/>
  <c r="F69" i="11" s="1"/>
  <c r="F63" i="11"/>
  <c r="L58" i="11" l="1" a="1"/>
  <c r="L58" i="11" s="1"/>
  <c r="M53" i="11"/>
  <c r="J54" i="11"/>
  <c r="H54" i="11"/>
  <c r="K54" i="11"/>
  <c r="I54" i="11"/>
  <c r="L53" i="11" a="1"/>
  <c r="L53" i="11" s="1"/>
  <c r="G65" i="11"/>
  <c r="E65" i="11"/>
  <c r="F65" i="11" s="1"/>
  <c r="K64" i="11"/>
  <c r="I64" i="11"/>
  <c r="J64" i="11"/>
  <c r="L64" i="11" s="1" a="1"/>
  <c r="L64" i="11" s="1"/>
  <c r="H64" i="11"/>
  <c r="M58" i="11"/>
  <c r="G60" i="11"/>
  <c r="E60" i="11"/>
  <c r="F60" i="11" s="1"/>
  <c r="K59" i="11"/>
  <c r="I59" i="11"/>
  <c r="J59" i="11"/>
  <c r="H59" i="11"/>
  <c r="G70" i="11"/>
  <c r="E70" i="11"/>
  <c r="H69" i="11"/>
  <c r="G76" i="11" l="1" a="1"/>
  <c r="G76" i="11" s="1"/>
  <c r="J70" i="11" a="1"/>
  <c r="J70" i="11" s="1"/>
  <c r="E71" i="11"/>
  <c r="F71" i="11" s="1"/>
  <c r="H70" i="11"/>
  <c r="G71" i="11"/>
  <c r="I70" i="11"/>
  <c r="I76" i="11" s="1"/>
  <c r="L59" i="11" a="1"/>
  <c r="L59" i="11" s="1"/>
  <c r="M64" i="11"/>
  <c r="G66" i="11"/>
  <c r="E66" i="11"/>
  <c r="F66" i="11" s="1"/>
  <c r="K65" i="11"/>
  <c r="I65" i="11"/>
  <c r="J65" i="11"/>
  <c r="H65" i="11"/>
  <c r="M54" i="11"/>
  <c r="L54" i="11" a="1"/>
  <c r="L54" i="11" s="1"/>
  <c r="E76" i="11" a="1"/>
  <c r="E76" i="11" s="1"/>
  <c r="F76" i="11" s="1"/>
  <c r="F70" i="11"/>
  <c r="M59" i="11"/>
  <c r="G61" i="11"/>
  <c r="E61" i="11"/>
  <c r="F61" i="11" s="1"/>
  <c r="K60" i="11"/>
  <c r="I60" i="11"/>
  <c r="J60" i="11"/>
  <c r="H60" i="11"/>
  <c r="L60" i="11" l="1" a="1"/>
  <c r="L60" i="11" s="1"/>
  <c r="L65" i="11" a="1"/>
  <c r="L65" i="11" s="1"/>
  <c r="J71" i="11"/>
  <c r="H71" i="11"/>
  <c r="E72" i="11"/>
  <c r="F72" i="11" s="1"/>
  <c r="I71" i="11"/>
  <c r="G72" i="11"/>
  <c r="K71" i="11"/>
  <c r="M60" i="11"/>
  <c r="K61" i="11"/>
  <c r="I61" i="11"/>
  <c r="J61" i="11"/>
  <c r="H61" i="11"/>
  <c r="M65" i="11"/>
  <c r="G67" i="11"/>
  <c r="E67" i="11"/>
  <c r="F67" i="11" s="1"/>
  <c r="K66" i="11"/>
  <c r="I66" i="11"/>
  <c r="J66" i="11"/>
  <c r="H66" i="11"/>
  <c r="H76" i="11"/>
  <c r="E77" i="11"/>
  <c r="G77" i="11"/>
  <c r="L61" i="11" l="1" a="1"/>
  <c r="L61" i="11" s="1"/>
  <c r="L71" i="11" a="1"/>
  <c r="L71" i="11" s="1"/>
  <c r="E83" i="11" a="1"/>
  <c r="E83" i="11" s="1"/>
  <c r="F83" i="11" s="1"/>
  <c r="F77" i="11"/>
  <c r="J72" i="11"/>
  <c r="H72" i="11"/>
  <c r="E73" i="11"/>
  <c r="F73" i="11" s="1"/>
  <c r="I72" i="11"/>
  <c r="G73" i="11"/>
  <c r="K72" i="11"/>
  <c r="M66" i="11"/>
  <c r="G68" i="11"/>
  <c r="E68" i="11"/>
  <c r="F68" i="11" s="1"/>
  <c r="K67" i="11"/>
  <c r="I67" i="11"/>
  <c r="J67" i="11"/>
  <c r="H67" i="11"/>
  <c r="J77" i="11" a="1"/>
  <c r="J77" i="11" s="1"/>
  <c r="H77" i="11"/>
  <c r="G78" i="11"/>
  <c r="I77" i="11"/>
  <c r="I83" i="11" s="1"/>
  <c r="G83" i="11" a="1"/>
  <c r="G83" i="11" s="1"/>
  <c r="E78" i="11"/>
  <c r="F78" i="11" s="1"/>
  <c r="L66" i="11" a="1"/>
  <c r="L66" i="11" s="1"/>
  <c r="M61" i="11"/>
  <c r="M71" i="11"/>
  <c r="L72" i="11" l="1" a="1"/>
  <c r="L72" i="11" s="1"/>
  <c r="K68" i="11"/>
  <c r="I68" i="11"/>
  <c r="J68" i="11"/>
  <c r="H68" i="11"/>
  <c r="J73" i="11"/>
  <c r="H73" i="11"/>
  <c r="E74" i="11"/>
  <c r="F74" i="11" s="1"/>
  <c r="I73" i="11"/>
  <c r="G74" i="11"/>
  <c r="K73" i="11"/>
  <c r="L67" i="11" a="1"/>
  <c r="L67" i="11" s="1"/>
  <c r="M72" i="11"/>
  <c r="E84" i="11"/>
  <c r="H83" i="11"/>
  <c r="G84" i="11"/>
  <c r="J78" i="11"/>
  <c r="H78" i="11"/>
  <c r="G79" i="11"/>
  <c r="K78" i="11"/>
  <c r="E79" i="11"/>
  <c r="F79" i="11" s="1"/>
  <c r="I78" i="11"/>
  <c r="M67" i="11"/>
  <c r="L68" i="11" l="1" a="1"/>
  <c r="L68" i="11" s="1"/>
  <c r="M78" i="11"/>
  <c r="M73" i="11"/>
  <c r="G80" i="11"/>
  <c r="J79" i="11"/>
  <c r="H79" i="11"/>
  <c r="K79" i="11"/>
  <c r="E80" i="11"/>
  <c r="F80" i="11" s="1"/>
  <c r="I79" i="11"/>
  <c r="L78" i="11" a="1"/>
  <c r="L78" i="11" s="1"/>
  <c r="G90" i="11" a="1"/>
  <c r="G90" i="11" s="1"/>
  <c r="J84" i="11" a="1"/>
  <c r="J84" i="11" s="1"/>
  <c r="H84" i="11"/>
  <c r="G85" i="11"/>
  <c r="I84" i="11"/>
  <c r="I90" i="11" s="1"/>
  <c r="E85" i="11"/>
  <c r="F85" i="11" s="1"/>
  <c r="F84" i="11"/>
  <c r="E90" i="11" a="1"/>
  <c r="E90" i="11" s="1"/>
  <c r="F90" i="11" s="1"/>
  <c r="J74" i="11"/>
  <c r="H74" i="11"/>
  <c r="E75" i="11"/>
  <c r="F75" i="11" s="1"/>
  <c r="I74" i="11"/>
  <c r="G75" i="11"/>
  <c r="K74" i="11"/>
  <c r="L73" i="11" a="1"/>
  <c r="L73" i="11" s="1"/>
  <c r="M68" i="11"/>
  <c r="L74" i="11" l="1" a="1"/>
  <c r="L74" i="11" s="1"/>
  <c r="J75" i="11"/>
  <c r="H75" i="11"/>
  <c r="I75" i="11"/>
  <c r="K75" i="11"/>
  <c r="M74" i="11"/>
  <c r="J85" i="11"/>
  <c r="H85" i="11"/>
  <c r="G86" i="11"/>
  <c r="K85" i="11"/>
  <c r="E86" i="11"/>
  <c r="F86" i="11" s="1"/>
  <c r="I85" i="11"/>
  <c r="H90" i="11"/>
  <c r="E91" i="11"/>
  <c r="G91" i="11"/>
  <c r="M79" i="11"/>
  <c r="L79" i="11" a="1"/>
  <c r="L79" i="11" s="1"/>
  <c r="G81" i="11"/>
  <c r="E81" i="11"/>
  <c r="F81" i="11" s="1"/>
  <c r="K80" i="11"/>
  <c r="I80" i="11"/>
  <c r="J80" i="11"/>
  <c r="H80" i="11"/>
  <c r="L85" i="11" l="1" a="1"/>
  <c r="L85" i="11" s="1"/>
  <c r="M80" i="11"/>
  <c r="J86" i="11"/>
  <c r="H86" i="11"/>
  <c r="G87" i="11"/>
  <c r="K86" i="11"/>
  <c r="E87" i="11"/>
  <c r="F87" i="11" s="1"/>
  <c r="I86" i="11"/>
  <c r="G82" i="11"/>
  <c r="E82" i="11"/>
  <c r="F82" i="11" s="1"/>
  <c r="K81" i="11"/>
  <c r="I81" i="11"/>
  <c r="J81" i="11"/>
  <c r="H81" i="11"/>
  <c r="G97" i="11" a="1"/>
  <c r="G97" i="11" s="1"/>
  <c r="J91" i="11" a="1"/>
  <c r="J91" i="11" s="1"/>
  <c r="H91" i="11"/>
  <c r="G92" i="11"/>
  <c r="I91" i="11"/>
  <c r="I97" i="11" s="1"/>
  <c r="E92" i="11"/>
  <c r="F92" i="11" s="1"/>
  <c r="M75" i="11"/>
  <c r="L80" i="11" a="1"/>
  <c r="L80" i="11" s="1"/>
  <c r="F91" i="11"/>
  <c r="E97" i="11" a="1"/>
  <c r="E97" i="11" s="1"/>
  <c r="F97" i="11" s="1"/>
  <c r="M85" i="11"/>
  <c r="L75" i="11" a="1"/>
  <c r="L75" i="11" s="1"/>
  <c r="L86" i="11" l="1" a="1"/>
  <c r="L86" i="11" s="1"/>
  <c r="M81" i="11"/>
  <c r="K82" i="11"/>
  <c r="I82" i="11"/>
  <c r="J82" i="11"/>
  <c r="H82" i="11"/>
  <c r="J87" i="11"/>
  <c r="H87" i="11"/>
  <c r="E88" i="11"/>
  <c r="F88" i="11" s="1"/>
  <c r="I87" i="11"/>
  <c r="G88" i="11"/>
  <c r="K87" i="11"/>
  <c r="J92" i="11"/>
  <c r="H92" i="11"/>
  <c r="G93" i="11"/>
  <c r="K92" i="11"/>
  <c r="E93" i="11"/>
  <c r="F93" i="11" s="1"/>
  <c r="I92" i="11"/>
  <c r="G98" i="11"/>
  <c r="E98" i="11"/>
  <c r="H97" i="11"/>
  <c r="L81" i="11" a="1"/>
  <c r="L81" i="11" s="1"/>
  <c r="M86" i="11"/>
  <c r="L87" i="11" l="1" a="1"/>
  <c r="L87" i="11" s="1"/>
  <c r="M92" i="11"/>
  <c r="J88" i="11"/>
  <c r="H88" i="11"/>
  <c r="E89" i="11"/>
  <c r="F89" i="11" s="1"/>
  <c r="I88" i="11"/>
  <c r="G89" i="11"/>
  <c r="K88" i="11"/>
  <c r="M82" i="11"/>
  <c r="E104" i="11" a="1"/>
  <c r="E104" i="11" s="1"/>
  <c r="F104" i="11" s="1"/>
  <c r="F98" i="11"/>
  <c r="G99" i="11"/>
  <c r="E99" i="11"/>
  <c r="F99" i="11" s="1"/>
  <c r="I98" i="11"/>
  <c r="I104" i="11" s="1"/>
  <c r="G104" i="11" a="1"/>
  <c r="G104" i="11" s="1"/>
  <c r="J98" i="11" a="1"/>
  <c r="J98" i="11" s="1"/>
  <c r="H98" i="11"/>
  <c r="J93" i="11"/>
  <c r="H93" i="11"/>
  <c r="G94" i="11"/>
  <c r="K93" i="11"/>
  <c r="E94" i="11"/>
  <c r="F94" i="11" s="1"/>
  <c r="I93" i="11"/>
  <c r="L92" i="11" a="1"/>
  <c r="L92" i="11" s="1"/>
  <c r="M87" i="11"/>
  <c r="L82" i="11" a="1"/>
  <c r="L82" i="11" s="1"/>
  <c r="L88" i="11" l="1" a="1"/>
  <c r="L88" i="11" s="1"/>
  <c r="L93" i="11" a="1"/>
  <c r="L93" i="11" s="1"/>
  <c r="J94" i="11"/>
  <c r="H94" i="11"/>
  <c r="G95" i="11"/>
  <c r="K94" i="11"/>
  <c r="E95" i="11"/>
  <c r="F95" i="11" s="1"/>
  <c r="I94" i="11"/>
  <c r="G100" i="11"/>
  <c r="E100" i="11"/>
  <c r="F100" i="11" s="1"/>
  <c r="K99" i="11"/>
  <c r="I99" i="11"/>
  <c r="H99" i="11"/>
  <c r="J99" i="11"/>
  <c r="J89" i="11"/>
  <c r="H89" i="11"/>
  <c r="I89" i="11"/>
  <c r="K89" i="11"/>
  <c r="M93" i="11"/>
  <c r="G105" i="11"/>
  <c r="E105" i="11"/>
  <c r="H104" i="11"/>
  <c r="M88" i="11"/>
  <c r="L99" i="11" l="1" a="1"/>
  <c r="L99" i="11" s="1"/>
  <c r="L89" i="11" a="1"/>
  <c r="L89" i="11" s="1"/>
  <c r="L94" i="11" a="1"/>
  <c r="L94" i="11" s="1"/>
  <c r="M99" i="11"/>
  <c r="G106" i="11"/>
  <c r="E106" i="11"/>
  <c r="F106" i="11" s="1"/>
  <c r="I105" i="11"/>
  <c r="I111" i="11" s="1"/>
  <c r="H105" i="11"/>
  <c r="G111" i="11" a="1"/>
  <c r="G111" i="11" s="1"/>
  <c r="J105" i="11" a="1"/>
  <c r="J105" i="11" s="1"/>
  <c r="G101" i="11"/>
  <c r="E101" i="11"/>
  <c r="F101" i="11" s="1"/>
  <c r="K100" i="11"/>
  <c r="I100" i="11"/>
  <c r="H100" i="11"/>
  <c r="J100" i="11"/>
  <c r="J95" i="11"/>
  <c r="H95" i="11"/>
  <c r="G96" i="11"/>
  <c r="K95" i="11"/>
  <c r="E96" i="11"/>
  <c r="F96" i="11" s="1"/>
  <c r="I95" i="11"/>
  <c r="E111" i="11" a="1"/>
  <c r="E111" i="11" s="1"/>
  <c r="F111" i="11" s="1"/>
  <c r="F105" i="11"/>
  <c r="M89" i="11"/>
  <c r="M94" i="11"/>
  <c r="L95" i="11" l="1" a="1"/>
  <c r="L95" i="11" s="1"/>
  <c r="L100" i="11" a="1"/>
  <c r="L100" i="11" s="1"/>
  <c r="M100" i="11"/>
  <c r="G102" i="11"/>
  <c r="E102" i="11"/>
  <c r="F102" i="11" s="1"/>
  <c r="K101" i="11"/>
  <c r="I101" i="11"/>
  <c r="H101" i="11"/>
  <c r="J101" i="11"/>
  <c r="E112" i="11"/>
  <c r="H111" i="11"/>
  <c r="G112" i="11"/>
  <c r="J96" i="11"/>
  <c r="H96" i="11"/>
  <c r="K96" i="11"/>
  <c r="I96" i="11"/>
  <c r="M95" i="11"/>
  <c r="G107" i="11"/>
  <c r="E107" i="11"/>
  <c r="F107" i="11" s="1"/>
  <c r="K106" i="11"/>
  <c r="I106" i="11"/>
  <c r="J106" i="11"/>
  <c r="H106" i="11"/>
  <c r="L101" i="11" l="1" a="1"/>
  <c r="L101" i="11" s="1"/>
  <c r="L106" i="11" a="1"/>
  <c r="L106" i="11" s="1"/>
  <c r="M106" i="11"/>
  <c r="G108" i="11"/>
  <c r="E108" i="11"/>
  <c r="F108" i="11" s="1"/>
  <c r="K107" i="11"/>
  <c r="I107" i="11"/>
  <c r="J107" i="11"/>
  <c r="L107" i="11" s="1" a="1"/>
  <c r="L107" i="11" s="1"/>
  <c r="H107" i="11"/>
  <c r="M96" i="11"/>
  <c r="L96" i="11" a="1"/>
  <c r="L96" i="11" s="1"/>
  <c r="G118" i="11" a="1"/>
  <c r="G118" i="11" s="1"/>
  <c r="J112" i="11" a="1"/>
  <c r="J112" i="11" s="1"/>
  <c r="H112" i="11"/>
  <c r="G113" i="11"/>
  <c r="I112" i="11"/>
  <c r="I118" i="11" s="1"/>
  <c r="E113" i="11"/>
  <c r="F113" i="11" s="1"/>
  <c r="F112" i="11"/>
  <c r="E118" i="11" a="1"/>
  <c r="E118" i="11" s="1"/>
  <c r="F118" i="11" s="1"/>
  <c r="M101" i="11"/>
  <c r="G103" i="11"/>
  <c r="E103" i="11"/>
  <c r="F103" i="11" s="1"/>
  <c r="K102" i="11"/>
  <c r="I102" i="11"/>
  <c r="H102" i="11"/>
  <c r="J102" i="11"/>
  <c r="L102" i="11" l="1" a="1"/>
  <c r="L102" i="11" s="1"/>
  <c r="J113" i="11"/>
  <c r="H113" i="11"/>
  <c r="G114" i="11"/>
  <c r="K113" i="11"/>
  <c r="E114" i="11"/>
  <c r="F114" i="11" s="1"/>
  <c r="I113" i="11"/>
  <c r="M102" i="11"/>
  <c r="K103" i="11"/>
  <c r="I103" i="11"/>
  <c r="H103" i="11"/>
  <c r="J103" i="11"/>
  <c r="H118" i="11"/>
  <c r="G119" i="11"/>
  <c r="E119" i="11"/>
  <c r="M107" i="11"/>
  <c r="G109" i="11"/>
  <c r="E109" i="11"/>
  <c r="F109" i="11" s="1"/>
  <c r="K108" i="11"/>
  <c r="I108" i="11"/>
  <c r="J108" i="11"/>
  <c r="H108" i="11"/>
  <c r="L103" i="11" l="1" a="1"/>
  <c r="L103" i="11" s="1"/>
  <c r="M108" i="11"/>
  <c r="G125" i="11" a="1"/>
  <c r="G125" i="11" s="1"/>
  <c r="J119" i="11" a="1"/>
  <c r="J119" i="11" s="1"/>
  <c r="H119" i="11"/>
  <c r="G120" i="11"/>
  <c r="E120" i="11"/>
  <c r="F120" i="11" s="1"/>
  <c r="I119" i="11"/>
  <c r="I125" i="11" s="1"/>
  <c r="M103" i="11"/>
  <c r="J114" i="11"/>
  <c r="H114" i="11"/>
  <c r="G115" i="11"/>
  <c r="K114" i="11"/>
  <c r="E115" i="11"/>
  <c r="F115" i="11" s="1"/>
  <c r="I114" i="11"/>
  <c r="L113" i="11" a="1"/>
  <c r="L113" i="11" s="1"/>
  <c r="G110" i="11"/>
  <c r="E110" i="11"/>
  <c r="F110" i="11" s="1"/>
  <c r="K109" i="11"/>
  <c r="I109" i="11"/>
  <c r="J109" i="11"/>
  <c r="H109" i="11"/>
  <c r="L108" i="11" a="1"/>
  <c r="L108" i="11" s="1"/>
  <c r="E125" i="11" a="1"/>
  <c r="E125" i="11" s="1"/>
  <c r="F125" i="11" s="1"/>
  <c r="F119" i="11"/>
  <c r="M113" i="11"/>
  <c r="L109" i="11" l="1" a="1"/>
  <c r="L109" i="11" s="1"/>
  <c r="L114" i="11" a="1"/>
  <c r="L114" i="11" s="1"/>
  <c r="J115" i="11"/>
  <c r="H115" i="11"/>
  <c r="G116" i="11"/>
  <c r="K115" i="11"/>
  <c r="E116" i="11"/>
  <c r="F116" i="11" s="1"/>
  <c r="I115" i="11"/>
  <c r="M109" i="11"/>
  <c r="K110" i="11"/>
  <c r="I110" i="11"/>
  <c r="J110" i="11"/>
  <c r="H110" i="11"/>
  <c r="M114" i="11"/>
  <c r="J120" i="11"/>
  <c r="H120" i="11"/>
  <c r="G121" i="11"/>
  <c r="E121" i="11"/>
  <c r="F121" i="11" s="1"/>
  <c r="K120" i="11"/>
  <c r="I120" i="11"/>
  <c r="G126" i="11"/>
  <c r="E126" i="11"/>
  <c r="H125" i="11"/>
  <c r="L110" i="11" l="1" a="1"/>
  <c r="L110" i="11" s="1"/>
  <c r="G127" i="11"/>
  <c r="E127" i="11"/>
  <c r="F127" i="11" s="1"/>
  <c r="I126" i="11"/>
  <c r="I132" i="11" s="1"/>
  <c r="H126" i="11"/>
  <c r="G132" i="11" a="1"/>
  <c r="G132" i="11" s="1"/>
  <c r="J126" i="11" a="1"/>
  <c r="J126" i="11" s="1"/>
  <c r="M120" i="11"/>
  <c r="J121" i="11"/>
  <c r="H121" i="11"/>
  <c r="G122" i="11"/>
  <c r="E122" i="11"/>
  <c r="F122" i="11" s="1"/>
  <c r="K121" i="11"/>
  <c r="I121" i="11"/>
  <c r="L120" i="11" a="1"/>
  <c r="L120" i="11" s="1"/>
  <c r="M110" i="11"/>
  <c r="J116" i="11"/>
  <c r="H116" i="11"/>
  <c r="G117" i="11"/>
  <c r="K116" i="11"/>
  <c r="E117" i="11"/>
  <c r="F117" i="11" s="1"/>
  <c r="I116" i="11"/>
  <c r="L115" i="11" a="1"/>
  <c r="L115" i="11" s="1"/>
  <c r="E132" i="11" a="1"/>
  <c r="E132" i="11" s="1"/>
  <c r="F132" i="11" s="1"/>
  <c r="F126" i="11"/>
  <c r="M115" i="11"/>
  <c r="M116" i="11" l="1"/>
  <c r="G133" i="11"/>
  <c r="E133" i="11"/>
  <c r="H132" i="11"/>
  <c r="J117" i="11"/>
  <c r="H117" i="11"/>
  <c r="K117" i="11"/>
  <c r="I117" i="11"/>
  <c r="L116" i="11" a="1"/>
  <c r="L116" i="11" s="1"/>
  <c r="M121" i="11"/>
  <c r="J122" i="11"/>
  <c r="H122" i="11"/>
  <c r="G123" i="11"/>
  <c r="E123" i="11"/>
  <c r="F123" i="11" s="1"/>
  <c r="K122" i="11"/>
  <c r="I122" i="11"/>
  <c r="L121" i="11" a="1"/>
  <c r="L121" i="11" s="1"/>
  <c r="G128" i="11"/>
  <c r="E128" i="11"/>
  <c r="F128" i="11" s="1"/>
  <c r="K127" i="11"/>
  <c r="I127" i="11"/>
  <c r="J127" i="11"/>
  <c r="H127" i="11"/>
  <c r="L127" i="11" l="1" a="1"/>
  <c r="L127" i="11" s="1"/>
  <c r="M122" i="11"/>
  <c r="M127" i="11"/>
  <c r="G129" i="11"/>
  <c r="E129" i="11"/>
  <c r="F129" i="11" s="1"/>
  <c r="K128" i="11"/>
  <c r="I128" i="11"/>
  <c r="J128" i="11"/>
  <c r="H128" i="11"/>
  <c r="E139" i="11" a="1"/>
  <c r="E139" i="11" s="1"/>
  <c r="F139" i="11" s="1"/>
  <c r="F133" i="11"/>
  <c r="E124" i="11"/>
  <c r="F124" i="11" s="1"/>
  <c r="J123" i="11"/>
  <c r="H123" i="11"/>
  <c r="G124" i="11"/>
  <c r="K123" i="11"/>
  <c r="I123" i="11"/>
  <c r="L122" i="11" a="1"/>
  <c r="L122" i="11" s="1"/>
  <c r="M117" i="11"/>
  <c r="L117" i="11" a="1"/>
  <c r="L117" i="11" s="1"/>
  <c r="G134" i="11"/>
  <c r="E134" i="11"/>
  <c r="F134" i="11" s="1"/>
  <c r="I133" i="11"/>
  <c r="I139" i="11" s="1"/>
  <c r="G139" i="11" a="1"/>
  <c r="G139" i="11" s="1"/>
  <c r="J133" i="11" a="1"/>
  <c r="J133" i="11" s="1"/>
  <c r="H133" i="11"/>
  <c r="L123" i="11" l="1" a="1"/>
  <c r="L123" i="11" s="1"/>
  <c r="G140" i="11"/>
  <c r="E140" i="11"/>
  <c r="H139" i="11"/>
  <c r="J124" i="11"/>
  <c r="H124" i="11"/>
  <c r="I124" i="11"/>
  <c r="K124" i="11"/>
  <c r="L128" i="11" a="1"/>
  <c r="L128" i="11" s="1"/>
  <c r="G135" i="11"/>
  <c r="E135" i="11"/>
  <c r="F135" i="11" s="1"/>
  <c r="K134" i="11"/>
  <c r="I134" i="11"/>
  <c r="H134" i="11"/>
  <c r="J134" i="11"/>
  <c r="M123" i="11"/>
  <c r="M128" i="11"/>
  <c r="G130" i="11"/>
  <c r="E130" i="11"/>
  <c r="F130" i="11" s="1"/>
  <c r="K129" i="11"/>
  <c r="I129" i="11"/>
  <c r="J129" i="11"/>
  <c r="H129" i="11"/>
  <c r="L134" i="11" l="1" a="1"/>
  <c r="L134" i="11" s="1"/>
  <c r="L124" i="11" a="1"/>
  <c r="L124" i="11" s="1"/>
  <c r="G131" i="11"/>
  <c r="E131" i="11"/>
  <c r="F131" i="11" s="1"/>
  <c r="K130" i="11"/>
  <c r="I130" i="11"/>
  <c r="J130" i="11"/>
  <c r="H130" i="11"/>
  <c r="L129" i="11" a="1"/>
  <c r="L129" i="11" s="1"/>
  <c r="M134" i="11"/>
  <c r="G136" i="11"/>
  <c r="E136" i="11"/>
  <c r="F136" i="11" s="1"/>
  <c r="K135" i="11"/>
  <c r="I135" i="11"/>
  <c r="H135" i="11"/>
  <c r="J135" i="11"/>
  <c r="M124" i="11"/>
  <c r="E146" i="11" a="1"/>
  <c r="E146" i="11" s="1"/>
  <c r="F146" i="11" s="1"/>
  <c r="F140" i="11"/>
  <c r="M129" i="11"/>
  <c r="J140" i="11" a="1"/>
  <c r="J140" i="11" s="1"/>
  <c r="H140" i="11"/>
  <c r="G146" i="11" a="1"/>
  <c r="G146" i="11" s="1"/>
  <c r="E141" i="11"/>
  <c r="F141" i="11" s="1"/>
  <c r="G141" i="11"/>
  <c r="I140" i="11"/>
  <c r="I146" i="11" s="1"/>
  <c r="L130" i="11" l="1" a="1"/>
  <c r="L130" i="11" s="1"/>
  <c r="L135" i="11" a="1"/>
  <c r="L135" i="11" s="1"/>
  <c r="J141" i="11"/>
  <c r="H141" i="11"/>
  <c r="E142" i="11"/>
  <c r="F142" i="11" s="1"/>
  <c r="I141" i="11"/>
  <c r="G142" i="11"/>
  <c r="K141" i="11"/>
  <c r="G147" i="11"/>
  <c r="E147" i="11"/>
  <c r="H146" i="11"/>
  <c r="M135" i="11"/>
  <c r="G137" i="11"/>
  <c r="E137" i="11"/>
  <c r="F137" i="11" s="1"/>
  <c r="K136" i="11"/>
  <c r="I136" i="11"/>
  <c r="H136" i="11"/>
  <c r="J136" i="11"/>
  <c r="M130" i="11"/>
  <c r="K131" i="11"/>
  <c r="I131" i="11"/>
  <c r="J131" i="11"/>
  <c r="H131" i="11"/>
  <c r="L136" i="11" l="1" a="1"/>
  <c r="L136" i="11" s="1"/>
  <c r="L131" i="11" a="1"/>
  <c r="L131" i="11" s="1"/>
  <c r="M131" i="11"/>
  <c r="G148" i="11"/>
  <c r="E148" i="11"/>
  <c r="F148" i="11" s="1"/>
  <c r="I147" i="11"/>
  <c r="I153" i="11" s="1"/>
  <c r="G153" i="11" a="1"/>
  <c r="G153" i="11" s="1"/>
  <c r="J147" i="11" a="1"/>
  <c r="J147" i="11" s="1"/>
  <c r="H147" i="11"/>
  <c r="J142" i="11"/>
  <c r="H142" i="11"/>
  <c r="E143" i="11"/>
  <c r="F143" i="11" s="1"/>
  <c r="I142" i="11"/>
  <c r="G143" i="11"/>
  <c r="K142" i="11"/>
  <c r="L141" i="11" a="1"/>
  <c r="L141" i="11" s="1"/>
  <c r="M136" i="11"/>
  <c r="G138" i="11"/>
  <c r="E138" i="11"/>
  <c r="F138" i="11" s="1"/>
  <c r="K137" i="11"/>
  <c r="I137" i="11"/>
  <c r="H137" i="11"/>
  <c r="J137" i="11"/>
  <c r="E153" i="11" a="1"/>
  <c r="E153" i="11" s="1"/>
  <c r="F153" i="11" s="1"/>
  <c r="F147" i="11"/>
  <c r="M141" i="11"/>
  <c r="L137" i="11" l="1" a="1"/>
  <c r="L137" i="11" s="1"/>
  <c r="M137" i="11"/>
  <c r="K138" i="11"/>
  <c r="I138" i="11"/>
  <c r="H138" i="11"/>
  <c r="J138" i="11"/>
  <c r="M142" i="11"/>
  <c r="E154" i="11"/>
  <c r="H153" i="11"/>
  <c r="G154" i="11"/>
  <c r="J143" i="11"/>
  <c r="H143" i="11"/>
  <c r="E144" i="11"/>
  <c r="F144" i="11" s="1"/>
  <c r="I143" i="11"/>
  <c r="G144" i="11"/>
  <c r="K143" i="11"/>
  <c r="L142" i="11" a="1"/>
  <c r="L142" i="11" s="1"/>
  <c r="G149" i="11"/>
  <c r="E149" i="11"/>
  <c r="F149" i="11" s="1"/>
  <c r="K148" i="11"/>
  <c r="I148" i="11"/>
  <c r="H148" i="11"/>
  <c r="J148" i="11"/>
  <c r="L138" i="11" l="1" a="1"/>
  <c r="L138" i="11" s="1"/>
  <c r="L148" i="11" a="1"/>
  <c r="L148" i="11" s="1"/>
  <c r="G145" i="11"/>
  <c r="J144" i="11"/>
  <c r="H144" i="11"/>
  <c r="E145" i="11"/>
  <c r="F145" i="11" s="1"/>
  <c r="I144" i="11"/>
  <c r="K144" i="11"/>
  <c r="L143" i="11" a="1"/>
  <c r="L143" i="11" s="1"/>
  <c r="G160" i="11"/>
  <c r="J154" i="11" a="1"/>
  <c r="J154" i="11" s="1"/>
  <c r="H154" i="11"/>
  <c r="G155" i="11"/>
  <c r="I154" i="11"/>
  <c r="I160" i="11" s="1"/>
  <c r="E155" i="11"/>
  <c r="F155" i="11" s="1"/>
  <c r="F154" i="11"/>
  <c r="E160" i="11" a="1"/>
  <c r="E160" i="11" s="1"/>
  <c r="F160" i="11" s="1"/>
  <c r="M148" i="11"/>
  <c r="G150" i="11"/>
  <c r="E150" i="11"/>
  <c r="F150" i="11" s="1"/>
  <c r="K149" i="11"/>
  <c r="I149" i="11"/>
  <c r="H149" i="11"/>
  <c r="J149" i="11"/>
  <c r="M143" i="11"/>
  <c r="M138" i="11"/>
  <c r="L149" i="11" l="1" a="1"/>
  <c r="L149" i="11" s="1"/>
  <c r="M149" i="11"/>
  <c r="G151" i="11"/>
  <c r="E151" i="11"/>
  <c r="F151" i="11" s="1"/>
  <c r="K150" i="11"/>
  <c r="I150" i="11"/>
  <c r="H150" i="11"/>
  <c r="J150" i="11"/>
  <c r="J155" i="11"/>
  <c r="H155" i="11"/>
  <c r="G156" i="11"/>
  <c r="K155" i="11"/>
  <c r="E156" i="11"/>
  <c r="F156" i="11" s="1"/>
  <c r="I155" i="11"/>
  <c r="G161" i="11"/>
  <c r="E161" i="11"/>
  <c r="H160" i="11"/>
  <c r="M144" i="11"/>
  <c r="L144" i="11" a="1"/>
  <c r="L144" i="11" s="1"/>
  <c r="K145" i="11"/>
  <c r="I145" i="11"/>
  <c r="J145" i="11"/>
  <c r="H145" i="11"/>
  <c r="L145" i="11" l="1" a="1"/>
  <c r="L145" i="11" s="1"/>
  <c r="L150" i="11" a="1"/>
  <c r="L150" i="11" s="1"/>
  <c r="E167" i="11" a="1"/>
  <c r="E167" i="11" s="1"/>
  <c r="F167" i="11" s="1"/>
  <c r="F161" i="11"/>
  <c r="M155" i="11"/>
  <c r="M145" i="11"/>
  <c r="G167" i="11" a="1"/>
  <c r="G167" i="11" s="1"/>
  <c r="H167" i="11" s="1"/>
  <c r="G162" i="11"/>
  <c r="E162" i="11"/>
  <c r="F162" i="11" s="1"/>
  <c r="I161" i="11"/>
  <c r="I167" i="11" s="1"/>
  <c r="H161" i="11"/>
  <c r="J161" i="11" a="1"/>
  <c r="J161" i="11" s="1"/>
  <c r="J156" i="11"/>
  <c r="H156" i="11"/>
  <c r="G157" i="11"/>
  <c r="K156" i="11"/>
  <c r="E157" i="11"/>
  <c r="F157" i="11" s="1"/>
  <c r="I156" i="11"/>
  <c r="L155" i="11" a="1"/>
  <c r="L155" i="11" s="1"/>
  <c r="M150" i="11"/>
  <c r="G152" i="11"/>
  <c r="E152" i="11"/>
  <c r="F152" i="11" s="1"/>
  <c r="K151" i="11"/>
  <c r="I151" i="11"/>
  <c r="H151" i="11"/>
  <c r="J151" i="11"/>
  <c r="L156" i="11" l="1" a="1"/>
  <c r="L156" i="11" s="1"/>
  <c r="L151" i="11" a="1"/>
  <c r="L151" i="11" s="1"/>
  <c r="J157" i="11"/>
  <c r="H157" i="11"/>
  <c r="G158" i="11"/>
  <c r="K157" i="11"/>
  <c r="E158" i="11"/>
  <c r="F158" i="11" s="1"/>
  <c r="I157" i="11"/>
  <c r="M151" i="11"/>
  <c r="K152" i="11"/>
  <c r="I152" i="11"/>
  <c r="H152" i="11"/>
  <c r="J152" i="11"/>
  <c r="M156" i="11"/>
  <c r="G163" i="11"/>
  <c r="E163" i="11"/>
  <c r="F163" i="11" s="1"/>
  <c r="K162" i="11"/>
  <c r="I162" i="11"/>
  <c r="J162" i="11"/>
  <c r="H162" i="11"/>
  <c r="L152" i="11" l="1" a="1"/>
  <c r="L152" i="11" s="1"/>
  <c r="M162" i="11"/>
  <c r="L162" i="11" a="1"/>
  <c r="L162" i="11" s="1"/>
  <c r="M152" i="11"/>
  <c r="J158" i="11"/>
  <c r="H158" i="11"/>
  <c r="G159" i="11"/>
  <c r="K158" i="11"/>
  <c r="I158" i="11"/>
  <c r="E159" i="11"/>
  <c r="F159" i="11" s="1"/>
  <c r="L157" i="11" a="1"/>
  <c r="L157" i="11" s="1"/>
  <c r="G164" i="11"/>
  <c r="E164" i="11"/>
  <c r="F164" i="11" s="1"/>
  <c r="K163" i="11"/>
  <c r="I163" i="11"/>
  <c r="J163" i="11"/>
  <c r="H163" i="11"/>
  <c r="M157" i="11"/>
  <c r="L158" i="11" l="1" a="1"/>
  <c r="L158" i="11" s="1"/>
  <c r="L163" i="11" a="1"/>
  <c r="L163" i="11" s="1"/>
  <c r="M163" i="11"/>
  <c r="G165" i="11"/>
  <c r="E165" i="11"/>
  <c r="F165" i="11" s="1"/>
  <c r="K164" i="11"/>
  <c r="I164" i="11"/>
  <c r="J164" i="11"/>
  <c r="H164" i="11"/>
  <c r="M158" i="11"/>
  <c r="J159" i="11"/>
  <c r="H159" i="11"/>
  <c r="K159" i="11"/>
  <c r="I159" i="11"/>
  <c r="L159" i="11" l="1" a="1"/>
  <c r="L159" i="11" s="1"/>
  <c r="M159" i="11"/>
  <c r="L164" i="11" a="1"/>
  <c r="L164" i="11" s="1"/>
  <c r="M164" i="11"/>
  <c r="G166" i="11"/>
  <c r="E166" i="11"/>
  <c r="F166" i="11" s="1"/>
  <c r="K165" i="11"/>
  <c r="I165" i="11"/>
  <c r="J165" i="11"/>
  <c r="H165" i="11"/>
  <c r="L165" i="11" l="1" a="1"/>
  <c r="L165" i="11" s="1"/>
  <c r="M165" i="11"/>
  <c r="J166" i="11"/>
  <c r="H166" i="11"/>
  <c r="K166" i="11"/>
  <c r="I166" i="11"/>
  <c r="M166" i="11" l="1"/>
  <c r="L166" i="11" a="1"/>
  <c r="L166" i="11" s="1"/>
  <c r="B36" i="5" l="1"/>
  <c r="A42" i="5" l="1"/>
  <c r="A49" i="5"/>
  <c r="D35" i="9"/>
  <c r="D33" i="9"/>
  <c r="D31" i="9"/>
  <c r="D29" i="9"/>
  <c r="D27" i="9"/>
  <c r="D25" i="9"/>
  <c r="D34" i="9"/>
  <c r="D32" i="9"/>
  <c r="D30" i="9"/>
  <c r="D28" i="9"/>
  <c r="D26" i="9"/>
  <c r="D24" i="9"/>
  <c r="D23" i="9"/>
  <c r="D22" i="9"/>
  <c r="D21" i="9"/>
  <c r="D19" i="9"/>
  <c r="D20" i="9"/>
  <c r="D18" i="9"/>
  <c r="D17" i="9"/>
  <c r="D16" i="9"/>
  <c r="D15" i="9"/>
  <c r="D14" i="9"/>
  <c r="D6" i="9"/>
  <c r="D7" i="9"/>
  <c r="D8" i="9"/>
  <c r="D9" i="9"/>
  <c r="D5" i="9"/>
  <c r="D4" i="9"/>
  <c r="B27" i="5" l="1"/>
  <c r="E27" i="5" s="1" a="1"/>
  <c r="E27" i="5" s="1"/>
  <c r="J5" i="5" l="1"/>
  <c r="J6" i="5" s="1"/>
  <c r="J7" i="5" s="1"/>
  <c r="J8" i="5" s="1"/>
  <c r="J9" i="5" s="1"/>
  <c r="J10" i="5" s="1"/>
  <c r="J11" i="5" s="1"/>
  <c r="J12" i="5" s="1"/>
  <c r="J13" i="5" s="1"/>
  <c r="J14" i="5" s="1"/>
  <c r="J15" i="5" s="1"/>
  <c r="Y39" i="5"/>
  <c r="Y32" i="5"/>
  <c r="O170" i="11"/>
  <c r="A27" i="5"/>
  <c r="A28" i="5"/>
  <c r="Y34" i="5"/>
  <c r="Y36" i="5"/>
  <c r="Y38" i="5"/>
  <c r="Y41" i="5"/>
  <c r="Y29" i="5"/>
  <c r="Y31" i="5"/>
  <c r="Y27" i="5"/>
  <c r="AC27" i="5" s="1" a="1"/>
  <c r="AC27" i="5" s="1"/>
  <c r="AC28" i="5" s="1"/>
  <c r="Y35" i="5"/>
  <c r="Y37" i="5"/>
  <c r="Y40" i="5"/>
  <c r="Y42" i="5"/>
  <c r="Y28" i="5"/>
  <c r="Y30" i="5"/>
  <c r="Y33" i="5"/>
  <c r="C15" i="9"/>
  <c r="C14" i="9"/>
  <c r="C4" i="9"/>
  <c r="C5" i="9"/>
  <c r="B29" i="5"/>
  <c r="Q29" i="6"/>
  <c r="Q28" i="6"/>
  <c r="AC29" i="5" l="1"/>
  <c r="AC30" i="5" s="1"/>
  <c r="AC31" i="5" s="1"/>
  <c r="AC32" i="5" s="1"/>
  <c r="AC33" i="5" s="1"/>
  <c r="I3" i="9"/>
  <c r="Y51" i="5"/>
  <c r="Y44" i="5"/>
  <c r="A29" i="5"/>
  <c r="O171" i="11"/>
  <c r="A30" i="5"/>
  <c r="AA27" i="5"/>
  <c r="Y43" i="5"/>
  <c r="Y53" i="5"/>
  <c r="Y55" i="5"/>
  <c r="Y57" i="5"/>
  <c r="Y46" i="5"/>
  <c r="Y48" i="5"/>
  <c r="Y50" i="5"/>
  <c r="Y45" i="5"/>
  <c r="Y54" i="5"/>
  <c r="Y56" i="5"/>
  <c r="Y58" i="5"/>
  <c r="Y47" i="5"/>
  <c r="Y49" i="5"/>
  <c r="Y52" i="5"/>
  <c r="F27" i="5"/>
  <c r="C7" i="9"/>
  <c r="C6" i="9"/>
  <c r="B31" i="5"/>
  <c r="A41" i="6"/>
  <c r="A40" i="6"/>
  <c r="A39" i="6"/>
  <c r="A38" i="6"/>
  <c r="A37" i="6"/>
  <c r="A36" i="6"/>
  <c r="A35" i="6"/>
  <c r="A34" i="6"/>
  <c r="A33" i="6"/>
  <c r="A32" i="6"/>
  <c r="A31" i="6"/>
  <c r="A30" i="6"/>
  <c r="A29" i="6"/>
  <c r="A28" i="6"/>
  <c r="B186" i="6" s="1"/>
  <c r="AA29" i="5" l="1"/>
  <c r="Y67" i="5"/>
  <c r="Y59" i="5"/>
  <c r="Y66" i="5"/>
  <c r="O172" i="11"/>
  <c r="A31" i="5"/>
  <c r="A32" i="5"/>
  <c r="Y61" i="5"/>
  <c r="Y63" i="5"/>
  <c r="Y65" i="5"/>
  <c r="Y68" i="5"/>
  <c r="Y70" i="5"/>
  <c r="Y72" i="5"/>
  <c r="Y74" i="5"/>
  <c r="Y62" i="5"/>
  <c r="Y64" i="5"/>
  <c r="Y69" i="5"/>
  <c r="Y71" i="5"/>
  <c r="Y73" i="5"/>
  <c r="Y60" i="5"/>
  <c r="C9" i="9"/>
  <c r="C8" i="9"/>
  <c r="C14" i="5"/>
  <c r="C22" i="5"/>
  <c r="C7" i="5"/>
  <c r="AA28" i="5" l="1"/>
  <c r="C15" i="11"/>
  <c r="C16" i="6"/>
  <c r="C8" i="11"/>
  <c r="C9" i="6"/>
  <c r="A51" i="5"/>
  <c r="A48" i="5"/>
  <c r="A46" i="5"/>
  <c r="A44" i="5"/>
  <c r="A41" i="5"/>
  <c r="A39" i="5"/>
  <c r="A37" i="5"/>
  <c r="A47" i="5"/>
  <c r="A43" i="5"/>
  <c r="A38" i="5"/>
  <c r="A50" i="5"/>
  <c r="A45" i="5"/>
  <c r="A40" i="5"/>
  <c r="A36" i="5"/>
  <c r="Q31" i="6"/>
  <c r="B42" i="6"/>
  <c r="B56" i="6" s="1"/>
  <c r="B70" i="6" s="1"/>
  <c r="B84" i="6" s="1"/>
  <c r="B98" i="6" s="1"/>
  <c r="B112" i="6" s="1"/>
  <c r="B126" i="6" s="1"/>
  <c r="B140" i="6" s="1"/>
  <c r="B154" i="6" s="1"/>
  <c r="B168" i="6" s="1"/>
  <c r="I4" i="9"/>
  <c r="B52" i="5"/>
  <c r="AA30" i="5" l="1"/>
  <c r="A64" i="5"/>
  <c r="A55" i="5"/>
  <c r="A57" i="5"/>
  <c r="A65" i="5"/>
  <c r="A58" i="5"/>
  <c r="C17" i="9"/>
  <c r="C16" i="9"/>
  <c r="I5" i="9"/>
  <c r="A67" i="5"/>
  <c r="A62" i="5"/>
  <c r="A60" i="5"/>
  <c r="A53" i="5"/>
  <c r="A66" i="5"/>
  <c r="A61" i="5"/>
  <c r="A56" i="5"/>
  <c r="A52" i="5"/>
  <c r="A63" i="5"/>
  <c r="A59" i="5"/>
  <c r="A54" i="5"/>
  <c r="Q32" i="6"/>
  <c r="B68" i="5"/>
  <c r="AC34" i="5" l="1" a="1"/>
  <c r="AC34" i="5" s="1"/>
  <c r="A81" i="5"/>
  <c r="A72" i="5"/>
  <c r="A73" i="5"/>
  <c r="C18" i="9"/>
  <c r="C19" i="9"/>
  <c r="I6" i="9"/>
  <c r="A83" i="5"/>
  <c r="A80" i="5"/>
  <c r="A78" i="5"/>
  <c r="A76" i="5"/>
  <c r="A74" i="5"/>
  <c r="A71" i="5"/>
  <c r="A69" i="5"/>
  <c r="A79" i="5"/>
  <c r="A75" i="5"/>
  <c r="A70" i="5"/>
  <c r="A82" i="5"/>
  <c r="A77" i="5"/>
  <c r="A68" i="5"/>
  <c r="Q33" i="6"/>
  <c r="B84" i="5"/>
  <c r="G27" i="5" l="1"/>
  <c r="E28" i="5" s="1" a="1"/>
  <c r="E28" i="5" s="1"/>
  <c r="AA31" i="5"/>
  <c r="A89" i="5"/>
  <c r="A97" i="5"/>
  <c r="A88" i="5"/>
  <c r="C21" i="9"/>
  <c r="C20" i="9"/>
  <c r="A99" i="5"/>
  <c r="A96" i="5"/>
  <c r="A94" i="5"/>
  <c r="A92" i="5"/>
  <c r="A90" i="5"/>
  <c r="A87" i="5"/>
  <c r="A85" i="5"/>
  <c r="A98" i="5"/>
  <c r="A93" i="5"/>
  <c r="A84" i="5"/>
  <c r="A95" i="5"/>
  <c r="A91" i="5"/>
  <c r="A86" i="5"/>
  <c r="Q34" i="6"/>
  <c r="B100" i="5"/>
  <c r="AA35" i="5" l="1"/>
  <c r="AC35" i="5" a="1"/>
  <c r="AC35" i="5" s="1"/>
  <c r="AC36" i="5" s="1"/>
  <c r="AC37" i="5" s="1"/>
  <c r="AC38" i="5" s="1"/>
  <c r="AC39" i="5" s="1"/>
  <c r="AA33" i="5"/>
  <c r="AA32" i="5"/>
  <c r="A113" i="5"/>
  <c r="A104" i="5"/>
  <c r="A105" i="5"/>
  <c r="C23" i="9"/>
  <c r="C22" i="9"/>
  <c r="I7" i="9"/>
  <c r="A115" i="5"/>
  <c r="A112" i="5"/>
  <c r="A110" i="5"/>
  <c r="A108" i="5"/>
  <c r="A106" i="5"/>
  <c r="A103" i="5"/>
  <c r="A101" i="5"/>
  <c r="A111" i="5"/>
  <c r="A107" i="5"/>
  <c r="A102" i="5"/>
  <c r="A114" i="5"/>
  <c r="A109" i="5"/>
  <c r="A100" i="5"/>
  <c r="Q35" i="6"/>
  <c r="B116" i="5"/>
  <c r="AC40" i="5" l="1"/>
  <c r="AC41" i="5" s="1"/>
  <c r="A129" i="5"/>
  <c r="A128" i="5"/>
  <c r="A121" i="5"/>
  <c r="A120" i="5"/>
  <c r="C25" i="9"/>
  <c r="C24" i="9"/>
  <c r="I8" i="9"/>
  <c r="A131" i="5"/>
  <c r="A126" i="5"/>
  <c r="A124" i="5"/>
  <c r="A122" i="5"/>
  <c r="A119" i="5"/>
  <c r="A117" i="5"/>
  <c r="A130" i="5"/>
  <c r="A125" i="5"/>
  <c r="A116" i="5"/>
  <c r="A127" i="5"/>
  <c r="A123" i="5"/>
  <c r="A118" i="5"/>
  <c r="Q36" i="6"/>
  <c r="B132" i="5"/>
  <c r="A145" i="5" l="1"/>
  <c r="A137" i="5"/>
  <c r="A144" i="5"/>
  <c r="A136" i="5"/>
  <c r="C27" i="9"/>
  <c r="C26" i="9"/>
  <c r="I9" i="9"/>
  <c r="A147" i="5"/>
  <c r="A142" i="5"/>
  <c r="A140" i="5"/>
  <c r="A138" i="5"/>
  <c r="A135" i="5"/>
  <c r="A133" i="5"/>
  <c r="A143" i="5"/>
  <c r="A139" i="5"/>
  <c r="A134" i="5"/>
  <c r="A146" i="5"/>
  <c r="A141" i="5"/>
  <c r="A132" i="5"/>
  <c r="Q37" i="6"/>
  <c r="B148" i="5"/>
  <c r="A161" i="5" l="1"/>
  <c r="A153" i="5"/>
  <c r="C28" i="9"/>
  <c r="C29" i="9"/>
  <c r="I10" i="9"/>
  <c r="A163" i="5"/>
  <c r="A160" i="5"/>
  <c r="A158" i="5"/>
  <c r="A156" i="5"/>
  <c r="A154" i="5"/>
  <c r="A151" i="5"/>
  <c r="A149" i="5"/>
  <c r="A162" i="5"/>
  <c r="A157" i="5"/>
  <c r="A152" i="5"/>
  <c r="A148" i="5"/>
  <c r="A159" i="5"/>
  <c r="A155" i="5"/>
  <c r="A150" i="5"/>
  <c r="Q38" i="6"/>
  <c r="B164" i="5"/>
  <c r="A177" i="5" l="1"/>
  <c r="A169" i="5"/>
  <c r="A176" i="5"/>
  <c r="A168" i="5"/>
  <c r="C31" i="9"/>
  <c r="C30" i="9"/>
  <c r="I11" i="9"/>
  <c r="A179" i="5"/>
  <c r="A174" i="5"/>
  <c r="A172" i="5"/>
  <c r="A170" i="5"/>
  <c r="A167" i="5"/>
  <c r="A165" i="5"/>
  <c r="A175" i="5"/>
  <c r="A171" i="5"/>
  <c r="A166" i="5"/>
  <c r="A178" i="5"/>
  <c r="A173" i="5"/>
  <c r="A164" i="5"/>
  <c r="Q39" i="6"/>
  <c r="B180" i="5"/>
  <c r="A193" i="5" l="1"/>
  <c r="A185" i="5"/>
  <c r="A192" i="5"/>
  <c r="A184" i="5"/>
  <c r="C32" i="9"/>
  <c r="C33" i="9"/>
  <c r="I13" i="9"/>
  <c r="I12" i="9"/>
  <c r="B196" i="5"/>
  <c r="A195" i="5"/>
  <c r="A190" i="5"/>
  <c r="A188" i="5"/>
  <c r="A186" i="5"/>
  <c r="A183" i="5"/>
  <c r="A181" i="5"/>
  <c r="A194" i="5"/>
  <c r="A189" i="5"/>
  <c r="A180" i="5"/>
  <c r="A191" i="5"/>
  <c r="A187" i="5"/>
  <c r="A182" i="5"/>
  <c r="Q40" i="6"/>
  <c r="A201" i="5" l="1"/>
  <c r="A209" i="5"/>
  <c r="A200" i="5"/>
  <c r="C34" i="9"/>
  <c r="C35" i="9"/>
  <c r="A211" i="5"/>
  <c r="A208" i="5"/>
  <c r="A206" i="5"/>
  <c r="A204" i="5"/>
  <c r="A202" i="5"/>
  <c r="A199" i="5"/>
  <c r="A197" i="5"/>
  <c r="A210" i="5"/>
  <c r="A207" i="5"/>
  <c r="A205" i="5"/>
  <c r="A203" i="5"/>
  <c r="A198" i="5"/>
  <c r="A196" i="5"/>
  <c r="Q41" i="6"/>
  <c r="M25" i="6"/>
  <c r="H27" i="5" l="1"/>
  <c r="AA34" i="5" a="1"/>
  <c r="AA34" i="5" s="1"/>
  <c r="AA36" i="5" l="1"/>
  <c r="J27" i="5"/>
  <c r="I27" i="5"/>
  <c r="K27" i="5"/>
  <c r="AA37" i="5" l="1"/>
  <c r="L27" i="5" a="1"/>
  <c r="L27" i="5" s="1"/>
  <c r="M27" i="5" l="1"/>
  <c r="E4" i="9" l="1"/>
  <c r="F28" i="5" l="1"/>
  <c r="AA41" i="5" l="1"/>
  <c r="AA40" i="5"/>
  <c r="AA39" i="5"/>
  <c r="AA38" i="5"/>
  <c r="AC42" i="5" a="1"/>
  <c r="AC42" i="5" s="1"/>
  <c r="G28" i="5" s="1"/>
  <c r="AC43" i="5" l="1"/>
  <c r="AC44" i="5" s="1"/>
  <c r="AC45" i="5" s="1"/>
  <c r="AC46" i="5" s="1"/>
  <c r="AC47" i="5" s="1"/>
  <c r="AC48" i="5" s="1"/>
  <c r="AC49" i="5" s="1"/>
  <c r="H28" i="5"/>
  <c r="AA42" i="5" a="1"/>
  <c r="AA42" i="5" s="1"/>
  <c r="J28" i="5"/>
  <c r="I28" i="5"/>
  <c r="K28" i="5"/>
  <c r="AA44" i="5" l="1"/>
  <c r="L28" i="5" a="1"/>
  <c r="L28" i="5" s="1"/>
  <c r="M28" i="5" s="1"/>
  <c r="E5" i="9" s="1"/>
  <c r="AA45" i="5" l="1"/>
  <c r="AA46" i="5" l="1"/>
  <c r="AA47" i="5" l="1"/>
  <c r="AA48" i="5" l="1"/>
  <c r="AC50" i="5" l="1" a="1"/>
  <c r="AC50" i="5" s="1"/>
  <c r="G29" i="5" s="1"/>
  <c r="E29" i="5" s="1"/>
  <c r="AC51" i="5" l="1"/>
  <c r="AC52" i="5" s="1"/>
  <c r="AC53" i="5" s="1"/>
  <c r="AC54" i="5" s="1"/>
  <c r="AC55" i="5" s="1"/>
  <c r="AC56" i="5" s="1"/>
  <c r="AC57" i="5" s="1"/>
  <c r="AA43" i="5"/>
  <c r="H29" i="5"/>
  <c r="AA49" i="5"/>
  <c r="K29" i="5"/>
  <c r="J29" i="5"/>
  <c r="I29" i="5"/>
  <c r="F29" i="5" l="1"/>
  <c r="AA50" i="5" a="1"/>
  <c r="AA50" i="5" s="1"/>
  <c r="L29" i="5" a="1"/>
  <c r="L29" i="5" s="1"/>
  <c r="M29" i="5" s="1"/>
  <c r="E6" i="9" s="1"/>
  <c r="AA52" i="5"/>
  <c r="AA53" i="5" l="1"/>
  <c r="AA54" i="5" l="1"/>
  <c r="AA55" i="5" l="1"/>
  <c r="AA56" i="5" l="1"/>
  <c r="AC58" i="5" a="1"/>
  <c r="AC58" i="5" s="1"/>
  <c r="G30" i="5" s="1"/>
  <c r="E30" i="5" s="1"/>
  <c r="AC59" i="5" l="1"/>
  <c r="AC60" i="5" s="1"/>
  <c r="AC61" i="5" s="1"/>
  <c r="AC62" i="5" s="1"/>
  <c r="AC63" i="5" s="1"/>
  <c r="AC64" i="5" s="1"/>
  <c r="AC65" i="5" s="1"/>
  <c r="E31" i="5"/>
  <c r="F30" i="5"/>
  <c r="H30" i="5"/>
  <c r="AA57" i="5"/>
  <c r="I30" i="5"/>
  <c r="J30" i="5"/>
  <c r="K30" i="5"/>
  <c r="AA51" i="5" l="1"/>
  <c r="AA58" i="5" s="1" a="1"/>
  <c r="AA58" i="5" s="1"/>
  <c r="L30" i="5" a="1"/>
  <c r="L30" i="5" s="1"/>
  <c r="M30" i="5" s="1"/>
  <c r="E7" i="9" s="1"/>
  <c r="AA60" i="5" l="1"/>
  <c r="AA61" i="5" l="1"/>
  <c r="AA62" i="5"/>
  <c r="AA63" i="5" l="1"/>
  <c r="AA64" i="5" l="1"/>
  <c r="AC66" i="5" a="1"/>
  <c r="AC66" i="5" s="1"/>
  <c r="G31" i="5" s="1"/>
  <c r="AC67" i="5" l="1"/>
  <c r="AC68" i="5" s="1"/>
  <c r="AC69" i="5" s="1"/>
  <c r="AC70" i="5" s="1"/>
  <c r="AC71" i="5" s="1"/>
  <c r="AC72" i="5" s="1"/>
  <c r="AC73" i="5" s="1"/>
  <c r="E32" i="5"/>
  <c r="AA65" i="5"/>
  <c r="AA59" i="5"/>
  <c r="H31" i="5"/>
  <c r="I31" i="5"/>
  <c r="K31" i="5"/>
  <c r="J31" i="5"/>
  <c r="AA66" i="5" l="1" a="1"/>
  <c r="AA66" i="5" s="1"/>
  <c r="F31" i="5"/>
  <c r="L31" i="5" a="1"/>
  <c r="L31" i="5" s="1"/>
  <c r="M31" i="5" s="1"/>
  <c r="E8" i="9" s="1"/>
  <c r="AA68" i="5" l="1"/>
  <c r="AA69" i="5"/>
  <c r="AA70" i="5" l="1"/>
  <c r="AA71" i="5" l="1"/>
  <c r="AA73" i="5" l="1"/>
  <c r="AA72" i="5"/>
  <c r="AC74" i="5" l="1" a="1"/>
  <c r="AC74" i="5" s="1"/>
  <c r="G32" i="5" s="1"/>
  <c r="J32" i="5" l="1"/>
  <c r="K32" i="5"/>
  <c r="H32" i="5"/>
  <c r="I32" i="5"/>
  <c r="E36" i="5" a="1"/>
  <c r="E36" i="5" s="1"/>
  <c r="G36" i="5" l="1"/>
  <c r="G37" i="5" s="1"/>
  <c r="D26" i="11" a="1"/>
  <c r="D26" i="11" s="1"/>
  <c r="L32" i="5" a="1"/>
  <c r="L32" i="5" s="1"/>
  <c r="M32" i="5" s="1"/>
  <c r="E9" i="9" s="1"/>
  <c r="F36" i="5"/>
  <c r="E26" i="11" s="1" a="1"/>
  <c r="E26" i="11" s="1"/>
  <c r="AA67" i="5"/>
  <c r="AA74" i="5" s="1" a="1"/>
  <c r="AA74" i="5" s="1"/>
  <c r="F32" i="5"/>
  <c r="G38" i="5" l="1"/>
  <c r="F26" i="11" a="1"/>
  <c r="F26" i="11" s="1"/>
  <c r="I36" i="5"/>
  <c r="H26" i="11" s="1" a="1"/>
  <c r="H26" i="11" s="1"/>
  <c r="Q36" i="5"/>
  <c r="H36" i="5"/>
  <c r="G26" i="11" s="1" a="1"/>
  <c r="G26" i="11" s="1"/>
  <c r="K36" i="5"/>
  <c r="O36" i="5" s="1"/>
  <c r="J36" i="5"/>
  <c r="N36" i="5" l="1"/>
  <c r="K37" i="5"/>
  <c r="O37" i="5" s="1"/>
  <c r="J37" i="5"/>
  <c r="N37" i="5" s="1"/>
  <c r="I26" i="11" a="1"/>
  <c r="I26" i="11" s="1"/>
  <c r="J26" i="11" a="1"/>
  <c r="J26" i="11" s="1"/>
  <c r="L36" i="5" a="1"/>
  <c r="L36" i="5" s="1"/>
  <c r="Q37" i="5"/>
  <c r="H37" i="5"/>
  <c r="E37" i="5"/>
  <c r="I37" i="5" s="1"/>
  <c r="K38" i="5" l="1"/>
  <c r="O38" i="5" s="1"/>
  <c r="J38" i="5"/>
  <c r="N38" i="5" s="1"/>
  <c r="M36" i="5"/>
  <c r="L26" i="11" s="1" a="1"/>
  <c r="L26" i="11" s="1"/>
  <c r="C172" i="11" s="1"/>
  <c r="K26" i="11" a="1"/>
  <c r="K26" i="11" s="1"/>
  <c r="E38" i="5"/>
  <c r="F38" i="5" s="1"/>
  <c r="L37" i="5" a="1"/>
  <c r="L37" i="5" s="1"/>
  <c r="F37" i="5"/>
  <c r="H38" i="5"/>
  <c r="I38" i="5"/>
  <c r="G39" i="5"/>
  <c r="Q38" i="5"/>
  <c r="M37" i="5" l="1"/>
  <c r="J39" i="5"/>
  <c r="N39" i="5" s="1"/>
  <c r="K39" i="5"/>
  <c r="O39" i="5" s="1"/>
  <c r="L38" i="5" a="1"/>
  <c r="L38" i="5" s="1"/>
  <c r="G40" i="5"/>
  <c r="Q39" i="5"/>
  <c r="H39" i="5"/>
  <c r="E39" i="5"/>
  <c r="I39" i="5" s="1"/>
  <c r="J40" i="5" l="1"/>
  <c r="N40" i="5" s="1"/>
  <c r="M38" i="5"/>
  <c r="K40" i="5"/>
  <c r="O40" i="5" s="1"/>
  <c r="Q40" i="5"/>
  <c r="H40" i="5"/>
  <c r="G41" i="5"/>
  <c r="L39" i="5" a="1"/>
  <c r="L39" i="5" s="1"/>
  <c r="F39" i="5"/>
  <c r="E40" i="5"/>
  <c r="F40" i="5" s="1"/>
  <c r="K41" i="5" l="1"/>
  <c r="O41" i="5" s="1"/>
  <c r="J41" i="5"/>
  <c r="N41" i="5" s="1"/>
  <c r="M39" i="5"/>
  <c r="E41" i="5"/>
  <c r="F41" i="5" s="1"/>
  <c r="L40" i="5" a="1"/>
  <c r="L40" i="5" s="1"/>
  <c r="I40" i="5"/>
  <c r="H41" i="5"/>
  <c r="G42" i="5"/>
  <c r="K42" i="5" s="1"/>
  <c r="O42" i="5" s="1"/>
  <c r="I41" i="5"/>
  <c r="Q41" i="5"/>
  <c r="J42" i="5" l="1"/>
  <c r="M40" i="5"/>
  <c r="E43" i="5" a="1"/>
  <c r="E43" i="5" s="1"/>
  <c r="F43" i="5" s="1"/>
  <c r="E42" i="5"/>
  <c r="F42" i="5" s="1"/>
  <c r="G43" i="5" a="1"/>
  <c r="G43" i="5" s="1"/>
  <c r="Q43" i="5" s="1"/>
  <c r="I43" i="5"/>
  <c r="H42" i="5"/>
  <c r="I42" i="5"/>
  <c r="Q42" i="5"/>
  <c r="L41" i="5" a="1"/>
  <c r="L41" i="5" s="1"/>
  <c r="N42" i="5" l="1"/>
  <c r="M41" i="5"/>
  <c r="M43" i="5" s="1"/>
  <c r="E14" i="9" s="1"/>
  <c r="M42" i="5"/>
  <c r="L42" i="5" a="1"/>
  <c r="L42" i="5" s="1"/>
  <c r="H43" i="5"/>
  <c r="L3" i="9"/>
  <c r="G44" i="5"/>
  <c r="K44" i="5" s="1" a="1"/>
  <c r="K44" i="5" s="1"/>
  <c r="O44" i="5" s="1"/>
  <c r="J44" i="5" l="1" a="1"/>
  <c r="J44" i="5" s="1"/>
  <c r="N44" i="5" s="1"/>
  <c r="Q44" i="5"/>
  <c r="F27" i="11" a="1"/>
  <c r="F27" i="11" s="1"/>
  <c r="J27" i="11" a="1"/>
  <c r="J27" i="11" s="1"/>
  <c r="K28" i="11" s="1" a="1"/>
  <c r="K28" i="11" s="1"/>
  <c r="I27" i="11" a="1"/>
  <c r="I27" i="11" s="1"/>
  <c r="K5" i="5"/>
  <c r="G45" i="5"/>
  <c r="H44" i="5"/>
  <c r="G27" i="11" s="1" a="1"/>
  <c r="G27" i="11" s="1"/>
  <c r="E44" i="5" a="1"/>
  <c r="E44" i="5" s="1"/>
  <c r="K45" i="5" l="1"/>
  <c r="O45" i="5" s="1"/>
  <c r="J45" i="5"/>
  <c r="N45" i="5" s="1"/>
  <c r="G46" i="5"/>
  <c r="F44" i="5"/>
  <c r="E27" i="11" s="1" a="1"/>
  <c r="E27" i="11" s="1"/>
  <c r="D27" i="11" a="1"/>
  <c r="D27" i="11" s="1"/>
  <c r="K35" i="11" a="1"/>
  <c r="K35" i="11" s="1"/>
  <c r="L28" i="11" a="1"/>
  <c r="L28" i="11" s="1"/>
  <c r="M28" i="11"/>
  <c r="H45" i="5"/>
  <c r="L44" i="5" a="1"/>
  <c r="L44" i="5" s="1"/>
  <c r="E45" i="5"/>
  <c r="I45" i="5" s="1"/>
  <c r="Q45" i="5"/>
  <c r="I44" i="5"/>
  <c r="H46" i="5"/>
  <c r="K27" i="11" l="1" a="1"/>
  <c r="K27" i="11" s="1"/>
  <c r="J46" i="5"/>
  <c r="N46" i="5" s="1"/>
  <c r="G47" i="5"/>
  <c r="G48" i="5" s="1"/>
  <c r="K46" i="5"/>
  <c r="O46" i="5" s="1"/>
  <c r="F45" i="5"/>
  <c r="L45" i="5" a="1"/>
  <c r="L45" i="5" s="1"/>
  <c r="Q46" i="5"/>
  <c r="M44" i="5"/>
  <c r="L27" i="11" s="1" a="1"/>
  <c r="L27" i="11" s="1"/>
  <c r="H27" i="11" a="1"/>
  <c r="H27" i="11" s="1"/>
  <c r="K42" i="11" a="1"/>
  <c r="K42" i="11" s="1"/>
  <c r="M35" i="11"/>
  <c r="L35" i="11" a="1"/>
  <c r="L35" i="11" s="1"/>
  <c r="E46" i="5"/>
  <c r="F46" i="5" s="1"/>
  <c r="Q47" i="5"/>
  <c r="E47" i="5" l="1"/>
  <c r="F47" i="5" s="1"/>
  <c r="H47" i="5"/>
  <c r="M45" i="5"/>
  <c r="J47" i="5"/>
  <c r="N47" i="5" s="1"/>
  <c r="G49" i="5"/>
  <c r="G50" i="5" s="1"/>
  <c r="K47" i="5"/>
  <c r="O47" i="5" s="1"/>
  <c r="I47" i="5"/>
  <c r="K49" i="11" a="1"/>
  <c r="K49" i="11" s="1"/>
  <c r="L42" i="11" a="1"/>
  <c r="L42" i="11" s="1"/>
  <c r="M42" i="11"/>
  <c r="I46" i="5"/>
  <c r="L46" i="5" a="1"/>
  <c r="L46" i="5" s="1"/>
  <c r="Q48" i="5"/>
  <c r="H48" i="5"/>
  <c r="E48" i="5"/>
  <c r="I48" i="5" s="1"/>
  <c r="J48" i="5" l="1"/>
  <c r="K48" i="5"/>
  <c r="O48" i="5" s="1"/>
  <c r="M46" i="5"/>
  <c r="K56" i="11" a="1"/>
  <c r="K56" i="11" s="1"/>
  <c r="M49" i="11"/>
  <c r="L49" i="11" a="1"/>
  <c r="L49" i="11" s="1"/>
  <c r="L47" i="5" a="1"/>
  <c r="L47" i="5" s="1"/>
  <c r="F48" i="5"/>
  <c r="Q49" i="5"/>
  <c r="G51" i="5" a="1"/>
  <c r="G51" i="5" s="1"/>
  <c r="H49" i="5"/>
  <c r="E49" i="5"/>
  <c r="F49" i="5" s="1"/>
  <c r="J49" i="5" l="1"/>
  <c r="N48" i="5"/>
  <c r="K49" i="5"/>
  <c r="O49" i="5" s="1"/>
  <c r="M47" i="5"/>
  <c r="L48" i="5" a="1"/>
  <c r="L48" i="5" s="1"/>
  <c r="K63" i="11" a="1"/>
  <c r="K63" i="11" s="1"/>
  <c r="L56" i="11" a="1"/>
  <c r="L56" i="11" s="1"/>
  <c r="M56" i="11"/>
  <c r="I49" i="5"/>
  <c r="Q51" i="5"/>
  <c r="H51" i="5"/>
  <c r="G52" i="5"/>
  <c r="Q50" i="5"/>
  <c r="H50" i="5"/>
  <c r="E50" i="5"/>
  <c r="F50" i="5" s="1"/>
  <c r="J52" i="5" l="1" a="1"/>
  <c r="J52" i="5" s="1"/>
  <c r="N52" i="5" s="1"/>
  <c r="J50" i="5"/>
  <c r="N50" i="5" s="1"/>
  <c r="N49" i="5"/>
  <c r="K50" i="5"/>
  <c r="O50" i="5" s="1"/>
  <c r="M48" i="5"/>
  <c r="K70" i="11" a="1"/>
  <c r="K70" i="11" s="1"/>
  <c r="L63" i="11" a="1"/>
  <c r="L63" i="11" s="1"/>
  <c r="M63" i="11"/>
  <c r="L49" i="5" a="1"/>
  <c r="L49" i="5" s="1"/>
  <c r="I50" i="5"/>
  <c r="I51" i="5" s="1"/>
  <c r="Q52" i="5"/>
  <c r="H52" i="5"/>
  <c r="G53" i="5"/>
  <c r="E52" i="5"/>
  <c r="E51" i="5" a="1"/>
  <c r="E51" i="5" s="1"/>
  <c r="F51" i="5" s="1"/>
  <c r="L50" i="5" l="1" a="1"/>
  <c r="L50" i="5" s="1"/>
  <c r="K52" i="5" a="1"/>
  <c r="K52" i="5" s="1"/>
  <c r="O52" i="5" s="1"/>
  <c r="M49" i="5"/>
  <c r="K53" i="5"/>
  <c r="O53" i="5" s="1"/>
  <c r="J53" i="5"/>
  <c r="N53" i="5" s="1"/>
  <c r="K77" i="11" a="1"/>
  <c r="K77" i="11" s="1"/>
  <c r="L70" i="11" a="1"/>
  <c r="L70" i="11" s="1"/>
  <c r="M70" i="11"/>
  <c r="M50" i="5"/>
  <c r="M51" i="5" s="1"/>
  <c r="E15" i="9" s="1"/>
  <c r="H53" i="5"/>
  <c r="Q53" i="5"/>
  <c r="G54" i="5"/>
  <c r="F52" i="5"/>
  <c r="I52" i="5"/>
  <c r="L52" i="5" a="1"/>
  <c r="L52" i="5" s="1"/>
  <c r="E53" i="5"/>
  <c r="E54" i="5" l="1"/>
  <c r="J54" i="5"/>
  <c r="N54" i="5" s="1"/>
  <c r="K54" i="5"/>
  <c r="O54" i="5" s="1"/>
  <c r="K84" i="11" a="1"/>
  <c r="K84" i="11" s="1"/>
  <c r="L77" i="11" a="1"/>
  <c r="L77" i="11" s="1"/>
  <c r="M77" i="11"/>
  <c r="M3" i="9"/>
  <c r="M52" i="5"/>
  <c r="F54" i="5"/>
  <c r="F53" i="5"/>
  <c r="Q54" i="5"/>
  <c r="H54" i="5"/>
  <c r="I54" i="5"/>
  <c r="G55" i="5"/>
  <c r="I53" i="5"/>
  <c r="L53" i="5" a="1"/>
  <c r="L53" i="5" s="1"/>
  <c r="J55" i="5" l="1"/>
  <c r="N55" i="5" s="1"/>
  <c r="K55" i="5"/>
  <c r="O55" i="5" s="1"/>
  <c r="K91" i="11" a="1"/>
  <c r="K91" i="11" s="1"/>
  <c r="L84" i="11" a="1"/>
  <c r="L84" i="11" s="1"/>
  <c r="M84" i="11"/>
  <c r="L54" i="5" a="1"/>
  <c r="L54" i="5" s="1"/>
  <c r="M54" i="5" s="1"/>
  <c r="L5" i="5"/>
  <c r="M5" i="5" s="1"/>
  <c r="N3" i="9"/>
  <c r="Q55" i="5"/>
  <c r="G56" i="5"/>
  <c r="H55" i="5"/>
  <c r="E55" i="5"/>
  <c r="I55" i="5" s="1"/>
  <c r="M53" i="5"/>
  <c r="J56" i="5" l="1"/>
  <c r="N56" i="5" s="1"/>
  <c r="K56" i="5"/>
  <c r="O56" i="5" s="1"/>
  <c r="K98" i="11" a="1"/>
  <c r="K98" i="11" s="1"/>
  <c r="M91" i="11"/>
  <c r="L91" i="11" a="1"/>
  <c r="L91" i="11" s="1"/>
  <c r="L55" i="5" a="1"/>
  <c r="L55" i="5" s="1"/>
  <c r="M55" i="5" s="1"/>
  <c r="F55" i="5"/>
  <c r="H56" i="5"/>
  <c r="Q56" i="5"/>
  <c r="G57" i="5"/>
  <c r="E56" i="5"/>
  <c r="I56" i="5" s="1"/>
  <c r="K57" i="5" l="1"/>
  <c r="O57" i="5" s="1"/>
  <c r="J57" i="5"/>
  <c r="N57" i="5" s="1"/>
  <c r="K105" i="11" a="1"/>
  <c r="K105" i="11" s="1"/>
  <c r="L98" i="11" a="1"/>
  <c r="L98" i="11" s="1"/>
  <c r="M98" i="11"/>
  <c r="L56" i="5" a="1"/>
  <c r="L56" i="5" s="1"/>
  <c r="M56" i="5" s="1"/>
  <c r="F56" i="5"/>
  <c r="H57" i="5"/>
  <c r="G58" i="5"/>
  <c r="K58" i="5" s="1"/>
  <c r="O58" i="5" s="1"/>
  <c r="Q57" i="5"/>
  <c r="E57" i="5"/>
  <c r="I57" i="5" s="1"/>
  <c r="J58" i="5" l="1"/>
  <c r="N58" i="5" s="1"/>
  <c r="G59" i="5" a="1"/>
  <c r="G59" i="5" s="1"/>
  <c r="H59" i="5" s="1"/>
  <c r="K112" i="11" a="1"/>
  <c r="K112" i="11" s="1"/>
  <c r="L105" i="11" a="1"/>
  <c r="L105" i="11" s="1"/>
  <c r="M105" i="11"/>
  <c r="L57" i="5" a="1"/>
  <c r="L57" i="5" s="1"/>
  <c r="M57" i="5" s="1"/>
  <c r="F57" i="5"/>
  <c r="H58" i="5"/>
  <c r="Q58" i="5"/>
  <c r="E58" i="5"/>
  <c r="I58" i="5" s="1"/>
  <c r="I59" i="5" s="1"/>
  <c r="G60" i="5" l="1"/>
  <c r="H60" i="5" s="1"/>
  <c r="Q59" i="5"/>
  <c r="K60" i="5" a="1"/>
  <c r="K60" i="5" s="1"/>
  <c r="O60" i="5" s="1"/>
  <c r="K119" i="11" a="1"/>
  <c r="K119" i="11" s="1"/>
  <c r="L112" i="11" a="1"/>
  <c r="L112" i="11" s="1"/>
  <c r="M112" i="11"/>
  <c r="L58" i="5" a="1"/>
  <c r="L58" i="5" s="1"/>
  <c r="M58" i="5" s="1"/>
  <c r="M59" i="5" s="1"/>
  <c r="E16" i="9" s="1"/>
  <c r="F58" i="5"/>
  <c r="E59" i="5" a="1"/>
  <c r="E59" i="5" s="1"/>
  <c r="F59" i="5" s="1"/>
  <c r="G61" i="5" l="1"/>
  <c r="J60" i="5" a="1"/>
  <c r="J60" i="5" s="1"/>
  <c r="N60" i="5" s="1"/>
  <c r="Q60" i="5"/>
  <c r="E60" i="5"/>
  <c r="I60" i="5" s="1"/>
  <c r="K61" i="5"/>
  <c r="O61" i="5" s="1"/>
  <c r="J61" i="5"/>
  <c r="N61" i="5" s="1"/>
  <c r="E61" i="5"/>
  <c r="K126" i="11" a="1"/>
  <c r="K126" i="11" s="1"/>
  <c r="L119" i="11" a="1"/>
  <c r="L119" i="11" s="1"/>
  <c r="M119" i="11"/>
  <c r="L4" i="9"/>
  <c r="F61" i="5"/>
  <c r="H61" i="5"/>
  <c r="I61" i="5"/>
  <c r="Q61" i="5"/>
  <c r="G62" i="5"/>
  <c r="L60" i="5" a="1"/>
  <c r="L60" i="5" s="1"/>
  <c r="M60" i="5" l="1"/>
  <c r="F60" i="5"/>
  <c r="J62" i="5"/>
  <c r="N62" i="5" s="1"/>
  <c r="K62" i="5"/>
  <c r="O62" i="5" s="1"/>
  <c r="K133" i="11" a="1"/>
  <c r="K133" i="11" s="1"/>
  <c r="L126" i="11" a="1"/>
  <c r="L126" i="11" s="1"/>
  <c r="M126" i="11"/>
  <c r="K6" i="5"/>
  <c r="L61" i="5" a="1"/>
  <c r="L61" i="5" s="1"/>
  <c r="M61" i="5" s="1"/>
  <c r="Q62" i="5"/>
  <c r="H62" i="5"/>
  <c r="G63" i="5"/>
  <c r="G64" i="5" s="1"/>
  <c r="E62" i="5"/>
  <c r="K63" i="5" l="1"/>
  <c r="J63" i="5"/>
  <c r="K140" i="11" a="1"/>
  <c r="K140" i="11" s="1"/>
  <c r="M133" i="11"/>
  <c r="L133" i="11" a="1"/>
  <c r="L133" i="11" s="1"/>
  <c r="F62" i="5"/>
  <c r="H63" i="5"/>
  <c r="Q63" i="5"/>
  <c r="E63" i="5"/>
  <c r="L62" i="5" a="1"/>
  <c r="L62" i="5" s="1"/>
  <c r="I62" i="5"/>
  <c r="J64" i="5" l="1"/>
  <c r="N64" i="5" s="1"/>
  <c r="N63" i="5"/>
  <c r="K64" i="5"/>
  <c r="O64" i="5" s="1"/>
  <c r="O63" i="5"/>
  <c r="K147" i="11" a="1"/>
  <c r="K147" i="11" s="1"/>
  <c r="L140" i="11" a="1"/>
  <c r="L140" i="11" s="1"/>
  <c r="M140" i="11"/>
  <c r="L63" i="5" a="1"/>
  <c r="L63" i="5" s="1"/>
  <c r="H64" i="5"/>
  <c r="G65" i="5"/>
  <c r="E65" i="5" s="1"/>
  <c r="Q64" i="5"/>
  <c r="E64" i="5"/>
  <c r="M62" i="5"/>
  <c r="F63" i="5"/>
  <c r="I63" i="5"/>
  <c r="J65" i="5" l="1"/>
  <c r="N65" i="5" s="1"/>
  <c r="K65" i="5"/>
  <c r="O65" i="5" s="1"/>
  <c r="M147" i="11"/>
  <c r="L147" i="11" a="1"/>
  <c r="L147" i="11" s="1"/>
  <c r="K154" i="11" a="1"/>
  <c r="K154" i="11" s="1"/>
  <c r="M63" i="5"/>
  <c r="L64" i="5" a="1"/>
  <c r="L64" i="5" s="1"/>
  <c r="F64" i="5"/>
  <c r="F65" i="5"/>
  <c r="Q65" i="5"/>
  <c r="I65" i="5"/>
  <c r="H65" i="5"/>
  <c r="G66" i="5"/>
  <c r="H66" i="5" s="1"/>
  <c r="I64" i="5"/>
  <c r="K66" i="5" l="1"/>
  <c r="O66" i="5" s="1"/>
  <c r="J66" i="5"/>
  <c r="N66" i="5" s="1"/>
  <c r="E66" i="5"/>
  <c r="F66" i="5" s="1"/>
  <c r="K161" i="11" a="1"/>
  <c r="K161" i="11" s="1"/>
  <c r="M154" i="11"/>
  <c r="L154" i="11" a="1"/>
  <c r="L154" i="11" s="1"/>
  <c r="M64" i="5"/>
  <c r="E67" i="5" a="1"/>
  <c r="E67" i="5" s="1"/>
  <c r="F67" i="5" s="1"/>
  <c r="L65" i="5" a="1"/>
  <c r="L65" i="5" s="1"/>
  <c r="M65" i="5" s="1"/>
  <c r="Q66" i="5"/>
  <c r="I66" i="5"/>
  <c r="I67" i="5" s="1"/>
  <c r="G67" i="5" a="1"/>
  <c r="G67" i="5" s="1"/>
  <c r="K68" i="5" l="1" a="1"/>
  <c r="K68" i="5" s="1"/>
  <c r="M161" i="11"/>
  <c r="L161" i="11" a="1"/>
  <c r="L161" i="11" s="1"/>
  <c r="L66" i="5" a="1"/>
  <c r="L66" i="5" s="1"/>
  <c r="M66" i="5" s="1"/>
  <c r="M67" i="5" s="1"/>
  <c r="E17" i="9" s="1"/>
  <c r="Q67" i="5"/>
  <c r="H67" i="5"/>
  <c r="G68" i="5"/>
  <c r="J68" i="5" s="1" a="1"/>
  <c r="J68" i="5" s="1"/>
  <c r="N68" i="5" s="1"/>
  <c r="O68" i="5" l="1"/>
  <c r="E68" i="5"/>
  <c r="I68" i="5" s="1"/>
  <c r="M4" i="9"/>
  <c r="H68" i="5"/>
  <c r="G69" i="5"/>
  <c r="Q68" i="5"/>
  <c r="K69" i="5" l="1"/>
  <c r="O69" i="5" s="1"/>
  <c r="J69" i="5"/>
  <c r="N69" i="5" s="1"/>
  <c r="F68" i="5"/>
  <c r="L68" i="5" a="1"/>
  <c r="L68" i="5" s="1"/>
  <c r="M68" i="5" s="1"/>
  <c r="L6" i="5"/>
  <c r="M6" i="5" s="1"/>
  <c r="N4" i="9"/>
  <c r="Q69" i="5"/>
  <c r="H69" i="5"/>
  <c r="G70" i="5"/>
  <c r="E69" i="5"/>
  <c r="J70" i="5" l="1"/>
  <c r="N70" i="5" s="1"/>
  <c r="K70" i="5"/>
  <c r="O70" i="5" s="1"/>
  <c r="F69" i="5"/>
  <c r="H70" i="5"/>
  <c r="G71" i="5"/>
  <c r="E71" i="5" s="1"/>
  <c r="F71" i="5" s="1"/>
  <c r="Q70" i="5"/>
  <c r="I69" i="5"/>
  <c r="E70" i="5"/>
  <c r="F70" i="5" s="1"/>
  <c r="L69" i="5" a="1"/>
  <c r="L69" i="5" s="1"/>
  <c r="K71" i="5" l="1"/>
  <c r="O71" i="5" s="1"/>
  <c r="J71" i="5"/>
  <c r="N71" i="5" s="1"/>
  <c r="M69" i="5"/>
  <c r="I70" i="5"/>
  <c r="H71" i="5"/>
  <c r="I71" i="5"/>
  <c r="Q71" i="5"/>
  <c r="G72" i="5"/>
  <c r="L70" i="5" a="1"/>
  <c r="L70" i="5" s="1"/>
  <c r="J72" i="5" l="1"/>
  <c r="N72" i="5" s="1"/>
  <c r="K72" i="5"/>
  <c r="O72" i="5" s="1"/>
  <c r="M70" i="5"/>
  <c r="Q72" i="5"/>
  <c r="G73" i="5"/>
  <c r="E73" i="5" s="1"/>
  <c r="F73" i="5" s="1"/>
  <c r="H72" i="5"/>
  <c r="E72" i="5"/>
  <c r="L71" i="5" a="1"/>
  <c r="L71" i="5" s="1"/>
  <c r="M71" i="5" s="1"/>
  <c r="K73" i="5" l="1"/>
  <c r="O73" i="5" s="1"/>
  <c r="J73" i="5"/>
  <c r="N73" i="5" s="1"/>
  <c r="L72" i="5" a="1"/>
  <c r="L72" i="5" s="1"/>
  <c r="F72" i="5"/>
  <c r="I72" i="5"/>
  <c r="H73" i="5"/>
  <c r="I73" i="5"/>
  <c r="Q73" i="5"/>
  <c r="G74" i="5"/>
  <c r="K74" i="5" s="1"/>
  <c r="O74" i="5" s="1"/>
  <c r="J74" i="5" l="1"/>
  <c r="N74" i="5" s="1"/>
  <c r="E74" i="5"/>
  <c r="F74" i="5" s="1"/>
  <c r="M72" i="5"/>
  <c r="L73" i="5" a="1"/>
  <c r="L73" i="5" s="1"/>
  <c r="M73" i="5" s="1"/>
  <c r="H74" i="5"/>
  <c r="I74" i="5"/>
  <c r="I75" i="5" s="1"/>
  <c r="Q74" i="5"/>
  <c r="G75" i="5" a="1"/>
  <c r="G75" i="5" s="1"/>
  <c r="K76" i="5" s="1" a="1"/>
  <c r="K76" i="5" s="1"/>
  <c r="E75" i="5" l="1" a="1"/>
  <c r="E75" i="5" s="1"/>
  <c r="F75" i="5" s="1"/>
  <c r="H75" i="5"/>
  <c r="Q75" i="5"/>
  <c r="G76" i="5"/>
  <c r="J76" i="5" s="1" a="1"/>
  <c r="J76" i="5" s="1"/>
  <c r="N76" i="5" s="1"/>
  <c r="L74" i="5" a="1"/>
  <c r="L74" i="5" s="1"/>
  <c r="M74" i="5" s="1"/>
  <c r="M75" i="5" s="1"/>
  <c r="E18" i="9" s="1"/>
  <c r="O76" i="5" l="1"/>
  <c r="L5" i="9"/>
  <c r="G77" i="5"/>
  <c r="Q76" i="5"/>
  <c r="H76" i="5"/>
  <c r="E76" i="5"/>
  <c r="K77" i="5" l="1"/>
  <c r="O77" i="5" s="1"/>
  <c r="J77" i="5"/>
  <c r="N77" i="5" s="1"/>
  <c r="K7" i="5"/>
  <c r="F76" i="5"/>
  <c r="H77" i="5"/>
  <c r="Q77" i="5"/>
  <c r="G78" i="5"/>
  <c r="L76" i="5" a="1"/>
  <c r="L76" i="5" s="1"/>
  <c r="I76" i="5"/>
  <c r="E77" i="5"/>
  <c r="F77" i="5" s="1"/>
  <c r="J78" i="5" l="1"/>
  <c r="N78" i="5" s="1"/>
  <c r="K78" i="5"/>
  <c r="O78" i="5" s="1"/>
  <c r="M76" i="5"/>
  <c r="G79" i="5"/>
  <c r="H78" i="5"/>
  <c r="Q78" i="5"/>
  <c r="L77" i="5" a="1"/>
  <c r="L77" i="5" s="1"/>
  <c r="I77" i="5"/>
  <c r="E78" i="5"/>
  <c r="F78" i="5" s="1"/>
  <c r="K79" i="5" l="1"/>
  <c r="O79" i="5" s="1"/>
  <c r="J79" i="5"/>
  <c r="N79" i="5" s="1"/>
  <c r="M77" i="5"/>
  <c r="Q79" i="5"/>
  <c r="H79" i="5"/>
  <c r="G80" i="5"/>
  <c r="L78" i="5" a="1"/>
  <c r="L78" i="5" s="1"/>
  <c r="I78" i="5"/>
  <c r="E79" i="5"/>
  <c r="F79" i="5" s="1"/>
  <c r="J80" i="5" l="1"/>
  <c r="N80" i="5" s="1"/>
  <c r="K80" i="5"/>
  <c r="O80" i="5" s="1"/>
  <c r="L79" i="5" a="1"/>
  <c r="L79" i="5" s="1"/>
  <c r="H80" i="5"/>
  <c r="Q80" i="5"/>
  <c r="G81" i="5"/>
  <c r="E80" i="5"/>
  <c r="F80" i="5" s="1"/>
  <c r="I79" i="5"/>
  <c r="M78" i="5"/>
  <c r="K81" i="5" l="1"/>
  <c r="O81" i="5" s="1"/>
  <c r="J81" i="5"/>
  <c r="N81" i="5" s="1"/>
  <c r="L80" i="5" a="1"/>
  <c r="L80" i="5" s="1"/>
  <c r="M79" i="5"/>
  <c r="H81" i="5"/>
  <c r="Q81" i="5"/>
  <c r="G82" i="5"/>
  <c r="K82" i="5" s="1"/>
  <c r="O82" i="5" s="1"/>
  <c r="I80" i="5"/>
  <c r="E81" i="5"/>
  <c r="J82" i="5" l="1"/>
  <c r="N82" i="5" s="1"/>
  <c r="G83" i="5" a="1"/>
  <c r="G83" i="5" s="1"/>
  <c r="K84" i="5" s="1" a="1"/>
  <c r="K84" i="5" s="1"/>
  <c r="M80" i="5"/>
  <c r="F81" i="5"/>
  <c r="Q82" i="5"/>
  <c r="H82" i="5"/>
  <c r="I81" i="5"/>
  <c r="E82" i="5"/>
  <c r="F82" i="5" s="1"/>
  <c r="L81" i="5" a="1"/>
  <c r="L81" i="5" s="1"/>
  <c r="Q83" i="5" l="1"/>
  <c r="G84" i="5"/>
  <c r="J84" i="5" s="1" a="1"/>
  <c r="J84" i="5" s="1"/>
  <c r="N84" i="5" s="1"/>
  <c r="H83" i="5"/>
  <c r="M81" i="5"/>
  <c r="L82" i="5" a="1"/>
  <c r="L82" i="5" s="1"/>
  <c r="E83" i="5" a="1"/>
  <c r="E83" i="5" s="1"/>
  <c r="F83" i="5" s="1"/>
  <c r="I82" i="5"/>
  <c r="O84" i="5" l="1"/>
  <c r="G85" i="5"/>
  <c r="Q84" i="5"/>
  <c r="H84" i="5"/>
  <c r="E84" i="5"/>
  <c r="E28" i="6" s="1" a="1"/>
  <c r="E28" i="6" s="1"/>
  <c r="H28" i="6" s="1" a="1"/>
  <c r="H28" i="6" s="1"/>
  <c r="J85" i="5"/>
  <c r="N85" i="5" s="1"/>
  <c r="K85" i="5"/>
  <c r="O85" i="5" s="1"/>
  <c r="L84" i="5" a="1"/>
  <c r="L84" i="5" s="1"/>
  <c r="I83" i="5"/>
  <c r="M82" i="5"/>
  <c r="M83" i="5" s="1"/>
  <c r="E19" i="9" s="1"/>
  <c r="Q85" i="5"/>
  <c r="H85" i="5"/>
  <c r="G86" i="5"/>
  <c r="E86" i="5" s="1"/>
  <c r="E85" i="5"/>
  <c r="I84" i="5" l="1"/>
  <c r="O28" i="6" a="1"/>
  <c r="O28" i="6" s="1"/>
  <c r="G28" i="6" a="1"/>
  <c r="G28" i="6" s="1"/>
  <c r="I28" i="6" a="1"/>
  <c r="I28" i="6" s="1"/>
  <c r="K28" i="6" a="1"/>
  <c r="K28" i="6" s="1"/>
  <c r="N28" i="6" a="1"/>
  <c r="N28" i="6" s="1"/>
  <c r="L28" i="6" a="1"/>
  <c r="L28" i="6" s="1"/>
  <c r="F28" i="6" a="1"/>
  <c r="F28" i="6" s="1"/>
  <c r="J28" i="6" a="1"/>
  <c r="J28" i="6" s="1"/>
  <c r="F84" i="5"/>
  <c r="K86" i="5"/>
  <c r="O86" i="5" s="1"/>
  <c r="J86" i="5"/>
  <c r="N86" i="5" s="1"/>
  <c r="L85" i="5" a="1"/>
  <c r="L85" i="5" s="1"/>
  <c r="M84" i="5"/>
  <c r="M28" i="6" s="1" a="1"/>
  <c r="M28" i="6" s="1"/>
  <c r="I85" i="5"/>
  <c r="M85" i="5" s="1"/>
  <c r="E29" i="6" a="1"/>
  <c r="E29" i="6" s="1"/>
  <c r="F86" i="5"/>
  <c r="E30" i="6" a="1"/>
  <c r="E30" i="6" s="1"/>
  <c r="M5" i="9"/>
  <c r="F85" i="5"/>
  <c r="H86" i="5"/>
  <c r="I86" i="5"/>
  <c r="Q86" i="5"/>
  <c r="G87" i="5"/>
  <c r="E87" i="5" s="1"/>
  <c r="J87" i="5" l="1"/>
  <c r="N87" i="5" s="1"/>
  <c r="K87" i="5"/>
  <c r="O87" i="5" s="1"/>
  <c r="L7" i="5"/>
  <c r="M7" i="5" s="1"/>
  <c r="N5" i="9"/>
  <c r="I30" i="6" a="1"/>
  <c r="I30" i="6" s="1"/>
  <c r="J30" i="6" a="1"/>
  <c r="J30" i="6" s="1"/>
  <c r="H30" i="6" a="1"/>
  <c r="H30" i="6" s="1"/>
  <c r="G30" i="6" a="1"/>
  <c r="G30" i="6" s="1"/>
  <c r="F30" i="6" a="1"/>
  <c r="F30" i="6" s="1"/>
  <c r="K30" i="6" a="1"/>
  <c r="K30" i="6" s="1"/>
  <c r="F29" i="6" a="1"/>
  <c r="F29" i="6" s="1"/>
  <c r="G29" i="6" a="1"/>
  <c r="G29" i="6" s="1"/>
  <c r="O29" i="6" a="1"/>
  <c r="O29" i="6" s="1"/>
  <c r="N29" i="6" a="1"/>
  <c r="N29" i="6" s="1"/>
  <c r="L29" i="6" a="1"/>
  <c r="L29" i="6" s="1"/>
  <c r="K29" i="6" a="1"/>
  <c r="K29" i="6" s="1"/>
  <c r="I29" i="6" a="1"/>
  <c r="I29" i="6" s="1"/>
  <c r="J29" i="6" a="1"/>
  <c r="J29" i="6" s="1"/>
  <c r="H29" i="6" a="1"/>
  <c r="H29" i="6" s="1"/>
  <c r="M29" i="6" a="1"/>
  <c r="M29" i="6" s="1"/>
  <c r="F87" i="5"/>
  <c r="E31" i="6" a="1"/>
  <c r="E31" i="6" s="1"/>
  <c r="L86" i="5" a="1"/>
  <c r="L86" i="5" s="1"/>
  <c r="M86" i="5" s="1"/>
  <c r="M30" i="6" s="1" a="1"/>
  <c r="M30" i="6" s="1"/>
  <c r="H87" i="5"/>
  <c r="I87" i="5"/>
  <c r="Q87" i="5"/>
  <c r="G88" i="5"/>
  <c r="N30" i="6" a="1"/>
  <c r="N30" i="6" s="1"/>
  <c r="O30" i="6" a="1"/>
  <c r="O30" i="6" s="1"/>
  <c r="J88" i="5" l="1"/>
  <c r="N88" i="5" s="1"/>
  <c r="K88" i="5"/>
  <c r="O88" i="5" s="1"/>
  <c r="G31" i="6" a="1"/>
  <c r="G31" i="6" s="1"/>
  <c r="H31" i="6" a="1"/>
  <c r="H31" i="6" s="1"/>
  <c r="I31" i="6" a="1"/>
  <c r="I31" i="6" s="1"/>
  <c r="F31" i="6" a="1"/>
  <c r="F31" i="6" s="1"/>
  <c r="J31" i="6" a="1"/>
  <c r="J31" i="6" s="1"/>
  <c r="K31" i="6" a="1"/>
  <c r="K31" i="6" s="1"/>
  <c r="L30" i="6" a="1"/>
  <c r="L30" i="6" s="1"/>
  <c r="L87" i="5" a="1"/>
  <c r="L87" i="5" s="1"/>
  <c r="M87" i="5" s="1"/>
  <c r="M31" i="6" s="1" a="1"/>
  <c r="M31" i="6" s="1"/>
  <c r="H88" i="5"/>
  <c r="Q88" i="5"/>
  <c r="G89" i="5"/>
  <c r="N31" i="6" a="1"/>
  <c r="N31" i="6" s="1"/>
  <c r="O31" i="6" a="1"/>
  <c r="O31" i="6" s="1"/>
  <c r="E88" i="5"/>
  <c r="E32" i="6" s="1" a="1"/>
  <c r="E32" i="6" s="1"/>
  <c r="K89" i="5" l="1"/>
  <c r="O89" i="5" s="1"/>
  <c r="J89" i="5"/>
  <c r="N89" i="5" s="1"/>
  <c r="L31" i="6" a="1"/>
  <c r="L31" i="6" s="1"/>
  <c r="G32" i="6" a="1"/>
  <c r="G32" i="6" s="1"/>
  <c r="K32" i="6" a="1"/>
  <c r="K32" i="6" s="1"/>
  <c r="J32" i="6" a="1"/>
  <c r="J32" i="6" s="1"/>
  <c r="H32" i="6" a="1"/>
  <c r="H32" i="6" s="1"/>
  <c r="O32" i="6" a="1"/>
  <c r="O32" i="6" s="1"/>
  <c r="N32" i="6" a="1"/>
  <c r="N32" i="6" s="1"/>
  <c r="L88" i="5" a="1"/>
  <c r="L88" i="5" s="1"/>
  <c r="L32" i="6" s="1" a="1"/>
  <c r="L32" i="6" s="1"/>
  <c r="F88" i="5"/>
  <c r="F32" i="6" s="1" a="1"/>
  <c r="F32" i="6" s="1"/>
  <c r="H89" i="5"/>
  <c r="G90" i="5"/>
  <c r="K90" i="5" s="1"/>
  <c r="O90" i="5" s="1"/>
  <c r="Q89" i="5"/>
  <c r="I88" i="5"/>
  <c r="I32" i="6" s="1" a="1"/>
  <c r="I32" i="6" s="1"/>
  <c r="E89" i="5"/>
  <c r="J90" i="5" l="1"/>
  <c r="N90" i="5" s="1"/>
  <c r="F89" i="5"/>
  <c r="E33" i="6" a="1"/>
  <c r="E33" i="6" s="1"/>
  <c r="M88" i="5"/>
  <c r="M32" i="6" s="1" a="1"/>
  <c r="M32" i="6" s="1"/>
  <c r="H90" i="5"/>
  <c r="Q90" i="5"/>
  <c r="L89" i="5" a="1"/>
  <c r="L89" i="5" s="1"/>
  <c r="E90" i="5"/>
  <c r="F90" i="5" s="1"/>
  <c r="I89" i="5"/>
  <c r="G91" i="5" a="1"/>
  <c r="G91" i="5" s="1"/>
  <c r="K92" i="5" s="1" a="1"/>
  <c r="K92" i="5" s="1"/>
  <c r="M89" i="5" l="1"/>
  <c r="E34" i="6" a="1"/>
  <c r="E34" i="6" s="1"/>
  <c r="F34" i="6" s="1"/>
  <c r="H33" i="6" a="1"/>
  <c r="H33" i="6" s="1"/>
  <c r="N33" i="6" a="1"/>
  <c r="N33" i="6" s="1"/>
  <c r="G33" i="6" a="1"/>
  <c r="G33" i="6" s="1"/>
  <c r="G34" i="6" s="1" a="1"/>
  <c r="G34" i="6" s="1"/>
  <c r="H34" i="6" s="1"/>
  <c r="J33" i="6" a="1"/>
  <c r="J33" i="6" s="1"/>
  <c r="M33" i="6" a="1"/>
  <c r="M33" i="6" s="1"/>
  <c r="M34" i="6" s="1"/>
  <c r="C186" i="6" s="1"/>
  <c r="K33" i="6" a="1"/>
  <c r="K33" i="6" s="1"/>
  <c r="L33" i="6" a="1"/>
  <c r="L33" i="6" s="1"/>
  <c r="O33" i="6" a="1"/>
  <c r="O33" i="6" s="1"/>
  <c r="F33" i="6" a="1"/>
  <c r="F33" i="6" s="1"/>
  <c r="I33" i="6" a="1"/>
  <c r="I33" i="6" s="1"/>
  <c r="I34" i="6" s="1"/>
  <c r="E91" i="5" a="1"/>
  <c r="E91" i="5" s="1"/>
  <c r="F91" i="5" s="1"/>
  <c r="H91" i="5"/>
  <c r="Q91" i="5"/>
  <c r="G92" i="5"/>
  <c r="J92" i="5" s="1" a="1"/>
  <c r="J92" i="5" s="1"/>
  <c r="N92" i="5" s="1"/>
  <c r="I90" i="5"/>
  <c r="L90" i="5" a="1"/>
  <c r="L90" i="5" s="1"/>
  <c r="O92" i="5" l="1"/>
  <c r="E92" i="5"/>
  <c r="E35" i="6" s="1" a="1"/>
  <c r="E35" i="6" s="1"/>
  <c r="G35" i="6" s="1" a="1"/>
  <c r="G35" i="6" s="1"/>
  <c r="I91" i="5"/>
  <c r="M90" i="5"/>
  <c r="M91" i="5" s="1"/>
  <c r="E20" i="9" s="1"/>
  <c r="Q92" i="5"/>
  <c r="G93" i="5"/>
  <c r="H92" i="5"/>
  <c r="K93" i="5" l="1"/>
  <c r="O93" i="5" s="1"/>
  <c r="J93" i="5"/>
  <c r="N93" i="5" s="1"/>
  <c r="F92" i="5"/>
  <c r="I92" i="5"/>
  <c r="H35" i="6" a="1"/>
  <c r="H35" i="6" s="1"/>
  <c r="J35" i="6" a="1"/>
  <c r="J35" i="6" s="1"/>
  <c r="K35" i="6" a="1"/>
  <c r="K35" i="6" s="1"/>
  <c r="I35" i="6" a="1"/>
  <c r="I35" i="6" s="1"/>
  <c r="F35" i="6" a="1"/>
  <c r="F35" i="6" s="1"/>
  <c r="L6" i="9"/>
  <c r="N35" i="6" a="1"/>
  <c r="N35" i="6" s="1"/>
  <c r="O35" i="6" a="1"/>
  <c r="O35" i="6" s="1"/>
  <c r="L92" i="5" a="1"/>
  <c r="L92" i="5" s="1"/>
  <c r="H93" i="5"/>
  <c r="Q93" i="5"/>
  <c r="G94" i="5"/>
  <c r="E93" i="5"/>
  <c r="E36" i="6" s="1" a="1"/>
  <c r="E36" i="6" s="1"/>
  <c r="J94" i="5" l="1"/>
  <c r="N94" i="5" s="1"/>
  <c r="K94" i="5"/>
  <c r="O94" i="5" s="1"/>
  <c r="H36" i="6" a="1"/>
  <c r="H36" i="6" s="1"/>
  <c r="J36" i="6" a="1"/>
  <c r="J36" i="6" s="1"/>
  <c r="G36" i="6" a="1"/>
  <c r="G36" i="6" s="1"/>
  <c r="K36" i="6" a="1"/>
  <c r="K36" i="6" s="1"/>
  <c r="M92" i="5"/>
  <c r="M35" i="6" s="1" a="1"/>
  <c r="M35" i="6" s="1"/>
  <c r="L35" i="6" a="1"/>
  <c r="L35" i="6" s="1"/>
  <c r="K8" i="5"/>
  <c r="L93" i="5" a="1"/>
  <c r="L93" i="5" s="1"/>
  <c r="L36" i="6" s="1" a="1"/>
  <c r="L36" i="6" s="1"/>
  <c r="H94" i="5"/>
  <c r="G95" i="5"/>
  <c r="E95" i="5" s="1"/>
  <c r="Q94" i="5"/>
  <c r="F93" i="5"/>
  <c r="F36" i="6" s="1" a="1"/>
  <c r="F36" i="6" s="1"/>
  <c r="I93" i="5"/>
  <c r="I36" i="6" s="1" a="1"/>
  <c r="I36" i="6" s="1"/>
  <c r="O36" i="6" a="1"/>
  <c r="O36" i="6" s="1"/>
  <c r="N36" i="6" a="1"/>
  <c r="N36" i="6" s="1"/>
  <c r="E94" i="5"/>
  <c r="K95" i="5" l="1"/>
  <c r="O95" i="5" s="1"/>
  <c r="J95" i="5"/>
  <c r="N95" i="5" s="1"/>
  <c r="F95" i="5"/>
  <c r="E38" i="6" a="1"/>
  <c r="E38" i="6" s="1"/>
  <c r="F94" i="5"/>
  <c r="E37" i="6" a="1"/>
  <c r="E37" i="6" s="1"/>
  <c r="L94" i="5" a="1"/>
  <c r="L94" i="5" s="1"/>
  <c r="I95" i="5"/>
  <c r="H95" i="5"/>
  <c r="Q95" i="5"/>
  <c r="G96" i="5"/>
  <c r="E96" i="5" s="1"/>
  <c r="E39" i="6" s="1" a="1"/>
  <c r="E39" i="6" s="1"/>
  <c r="I94" i="5"/>
  <c r="M93" i="5"/>
  <c r="M36" i="6" s="1" a="1"/>
  <c r="M36" i="6" s="1"/>
  <c r="J96" i="5" l="1"/>
  <c r="N96" i="5" s="1"/>
  <c r="K96" i="5"/>
  <c r="O96" i="5" s="1"/>
  <c r="G39" i="6" a="1"/>
  <c r="G39" i="6" s="1"/>
  <c r="M94" i="5"/>
  <c r="I37" i="6" a="1"/>
  <c r="I37" i="6" s="1"/>
  <c r="O37" i="6" a="1"/>
  <c r="O37" i="6" s="1"/>
  <c r="N37" i="6" a="1"/>
  <c r="N37" i="6" s="1"/>
  <c r="F37" i="6" a="1"/>
  <c r="F37" i="6" s="1"/>
  <c r="L37" i="6" a="1"/>
  <c r="L37" i="6" s="1"/>
  <c r="K37" i="6" a="1"/>
  <c r="K37" i="6" s="1"/>
  <c r="H37" i="6" a="1"/>
  <c r="H37" i="6" s="1"/>
  <c r="G37" i="6" a="1"/>
  <c r="G37" i="6" s="1"/>
  <c r="J37" i="6" a="1"/>
  <c r="J37" i="6" s="1"/>
  <c r="M37" i="6" a="1"/>
  <c r="M37" i="6" s="1"/>
  <c r="H38" i="6" a="1"/>
  <c r="H38" i="6" s="1"/>
  <c r="G38" i="6" a="1"/>
  <c r="G38" i="6" s="1"/>
  <c r="I38" i="6" a="1"/>
  <c r="I38" i="6" s="1"/>
  <c r="K38" i="6" a="1"/>
  <c r="K38" i="6" s="1"/>
  <c r="F38" i="6" a="1"/>
  <c r="F38" i="6" s="1"/>
  <c r="J38" i="6" a="1"/>
  <c r="J38" i="6" s="1"/>
  <c r="L95" i="5" a="1"/>
  <c r="L95" i="5" s="1"/>
  <c r="M95" i="5" s="1"/>
  <c r="M38" i="6" s="1" a="1"/>
  <c r="M38" i="6" s="1"/>
  <c r="F96" i="5"/>
  <c r="F39" i="6" s="1" a="1"/>
  <c r="F39" i="6" s="1"/>
  <c r="N38" i="6" a="1"/>
  <c r="N38" i="6" s="1"/>
  <c r="O38" i="6" a="1"/>
  <c r="O38" i="6" s="1"/>
  <c r="J39" i="6" a="1"/>
  <c r="J39" i="6" s="1"/>
  <c r="K39" i="6" a="1"/>
  <c r="K39" i="6" s="1"/>
  <c r="Q96" i="5"/>
  <c r="H96" i="5"/>
  <c r="H39" i="6" s="1" a="1"/>
  <c r="H39" i="6" s="1"/>
  <c r="G97" i="5"/>
  <c r="I96" i="5"/>
  <c r="I39" i="6" s="1" a="1"/>
  <c r="I39" i="6" s="1"/>
  <c r="K97" i="5" l="1"/>
  <c r="O97" i="5" s="1"/>
  <c r="J97" i="5"/>
  <c r="N97" i="5" s="1"/>
  <c r="L38" i="6" a="1"/>
  <c r="L38" i="6" s="1"/>
  <c r="Q97" i="5"/>
  <c r="H97" i="5"/>
  <c r="G98" i="5"/>
  <c r="K98" i="5" s="1"/>
  <c r="O98" i="5" s="1"/>
  <c r="E97" i="5"/>
  <c r="E40" i="6" s="1" a="1"/>
  <c r="E40" i="6" s="1"/>
  <c r="N39" i="6" a="1"/>
  <c r="N39" i="6" s="1"/>
  <c r="O39" i="6" a="1"/>
  <c r="O39" i="6" s="1"/>
  <c r="L96" i="5" a="1"/>
  <c r="L96" i="5" s="1"/>
  <c r="J98" i="5" l="1"/>
  <c r="N98" i="5" s="1"/>
  <c r="G99" i="5" a="1"/>
  <c r="G99" i="5" s="1"/>
  <c r="K100" i="5" s="1" a="1"/>
  <c r="K100" i="5" s="1"/>
  <c r="M96" i="5"/>
  <c r="M39" i="6" s="1" a="1"/>
  <c r="M39" i="6" s="1"/>
  <c r="L39" i="6" a="1"/>
  <c r="L39" i="6" s="1"/>
  <c r="J40" i="6" a="1"/>
  <c r="J40" i="6" s="1"/>
  <c r="H40" i="6" a="1"/>
  <c r="H40" i="6" s="1"/>
  <c r="K40" i="6" a="1"/>
  <c r="K40" i="6" s="1"/>
  <c r="K42" i="6" s="1" a="1"/>
  <c r="K42" i="6" s="1"/>
  <c r="G40" i="6" a="1"/>
  <c r="G40" i="6" s="1"/>
  <c r="G41" i="6" s="1" a="1"/>
  <c r="G41" i="6" s="1"/>
  <c r="E41" i="6" a="1"/>
  <c r="E41" i="6" s="1"/>
  <c r="F41" i="6" s="1"/>
  <c r="F97" i="5"/>
  <c r="F40" i="6" s="1" a="1"/>
  <c r="F40" i="6" s="1"/>
  <c r="H98" i="5"/>
  <c r="Q98" i="5"/>
  <c r="E98" i="5"/>
  <c r="F98" i="5" s="1"/>
  <c r="I97" i="5"/>
  <c r="I40" i="6" s="1" a="1"/>
  <c r="I40" i="6" s="1"/>
  <c r="I41" i="6" s="1"/>
  <c r="H99" i="5"/>
  <c r="Q99" i="5"/>
  <c r="G100" i="5"/>
  <c r="N40" i="6" a="1"/>
  <c r="N40" i="6" s="1"/>
  <c r="O40" i="6" a="1"/>
  <c r="O40" i="6" s="1"/>
  <c r="L97" i="5" a="1"/>
  <c r="L97" i="5" s="1"/>
  <c r="L40" i="6" s="1" a="1"/>
  <c r="L40" i="6" s="1"/>
  <c r="O100" i="5" l="1"/>
  <c r="J100" i="5" a="1"/>
  <c r="J100" i="5" s="1"/>
  <c r="N100" i="5" s="1"/>
  <c r="H41" i="6"/>
  <c r="G42" i="6"/>
  <c r="E42" i="6" s="1"/>
  <c r="M97" i="5"/>
  <c r="M40" i="6" s="1" a="1"/>
  <c r="M40" i="6" s="1"/>
  <c r="M41" i="6" s="1"/>
  <c r="H100" i="5"/>
  <c r="Q100" i="5"/>
  <c r="G101" i="5"/>
  <c r="E100" i="5"/>
  <c r="L98" i="5" a="1"/>
  <c r="L98" i="5" s="1"/>
  <c r="I98" i="5"/>
  <c r="I99" i="5" s="1"/>
  <c r="E99" i="5" a="1"/>
  <c r="E99" i="5" s="1"/>
  <c r="F99" i="5" s="1"/>
  <c r="K101" i="5" l="1"/>
  <c r="O101" i="5" s="1"/>
  <c r="J101" i="5"/>
  <c r="N101" i="5" s="1"/>
  <c r="N42" i="6"/>
  <c r="O42" i="6"/>
  <c r="M42" i="6"/>
  <c r="I42" i="6"/>
  <c r="J42" i="6" a="1"/>
  <c r="J42" i="6" s="1"/>
  <c r="L42" i="6" s="1" a="1"/>
  <c r="L42" i="6" s="1"/>
  <c r="E43" i="6"/>
  <c r="F43" i="6" s="1"/>
  <c r="G43" i="6"/>
  <c r="H42" i="6"/>
  <c r="F42" i="6"/>
  <c r="F100" i="5"/>
  <c r="Q101" i="5"/>
  <c r="G102" i="5"/>
  <c r="H101" i="5"/>
  <c r="L100" i="5" a="1"/>
  <c r="L100" i="5" s="1"/>
  <c r="I100" i="5"/>
  <c r="E101" i="5"/>
  <c r="F101" i="5" s="1"/>
  <c r="M98" i="5"/>
  <c r="M99" i="5" s="1"/>
  <c r="E21" i="9" s="1"/>
  <c r="J102" i="5" l="1"/>
  <c r="N102" i="5" s="1"/>
  <c r="K102" i="5"/>
  <c r="O102" i="5" s="1"/>
  <c r="K43" i="6"/>
  <c r="J43" i="6"/>
  <c r="H43" i="6"/>
  <c r="G44" i="6"/>
  <c r="E44" i="6"/>
  <c r="M43" i="6"/>
  <c r="I43" i="6"/>
  <c r="M6" i="9"/>
  <c r="L101" i="5" a="1"/>
  <c r="L101" i="5" s="1"/>
  <c r="Q102" i="5"/>
  <c r="H102" i="5"/>
  <c r="G103" i="5"/>
  <c r="I101" i="5"/>
  <c r="E102" i="5"/>
  <c r="F102" i="5" s="1"/>
  <c r="M100" i="5"/>
  <c r="K103" i="5" l="1"/>
  <c r="O103" i="5" s="1"/>
  <c r="J103" i="5"/>
  <c r="N103" i="5" s="1"/>
  <c r="F44" i="6"/>
  <c r="M101" i="5"/>
  <c r="L43" i="6" a="1"/>
  <c r="L43" i="6" s="1"/>
  <c r="L8" i="5"/>
  <c r="M8" i="5" s="1"/>
  <c r="N6" i="9"/>
  <c r="E45" i="6"/>
  <c r="F45" i="6" s="1"/>
  <c r="H44" i="6"/>
  <c r="M44" i="6"/>
  <c r="J44" i="6"/>
  <c r="I44" i="6"/>
  <c r="G45" i="6"/>
  <c r="K44" i="6"/>
  <c r="N43" i="6"/>
  <c r="O43" i="6"/>
  <c r="L102" i="5" a="1"/>
  <c r="L102" i="5" s="1"/>
  <c r="I102" i="5"/>
  <c r="Q103" i="5"/>
  <c r="G104" i="5"/>
  <c r="E104" i="5" s="1"/>
  <c r="F104" i="5" s="1"/>
  <c r="H103" i="5"/>
  <c r="E103" i="5"/>
  <c r="F103" i="5" s="1"/>
  <c r="J104" i="5" l="1"/>
  <c r="N104" i="5" s="1"/>
  <c r="K104" i="5"/>
  <c r="O104" i="5" s="1"/>
  <c r="J45" i="6"/>
  <c r="H45" i="6"/>
  <c r="M45" i="6"/>
  <c r="K45" i="6"/>
  <c r="I45" i="6"/>
  <c r="E46" i="6"/>
  <c r="F46" i="6" s="1"/>
  <c r="G46" i="6"/>
  <c r="L44" i="6" a="1"/>
  <c r="L44" i="6" s="1"/>
  <c r="O44" i="6"/>
  <c r="N44" i="6"/>
  <c r="M102" i="5"/>
  <c r="I103" i="5"/>
  <c r="L103" i="5" a="1"/>
  <c r="L103" i="5" s="1"/>
  <c r="Q104" i="5"/>
  <c r="I104" i="5"/>
  <c r="H104" i="5"/>
  <c r="G105" i="5"/>
  <c r="K105" i="5" l="1"/>
  <c r="O105" i="5" s="1"/>
  <c r="J105" i="5"/>
  <c r="N105" i="5" s="1"/>
  <c r="L45" i="6" a="1"/>
  <c r="L45" i="6" s="1"/>
  <c r="N45" i="6"/>
  <c r="O45" i="6"/>
  <c r="K46" i="6"/>
  <c r="M46" i="6"/>
  <c r="G47" i="6"/>
  <c r="G48" i="6" s="1" a="1"/>
  <c r="G48" i="6" s="1"/>
  <c r="E47" i="6"/>
  <c r="F47" i="6" s="1"/>
  <c r="J46" i="6"/>
  <c r="L46" i="6" s="1" a="1"/>
  <c r="L46" i="6" s="1"/>
  <c r="I46" i="6"/>
  <c r="H46" i="6"/>
  <c r="M103" i="5"/>
  <c r="H105" i="5"/>
  <c r="G106" i="5"/>
  <c r="K106" i="5" s="1"/>
  <c r="O106" i="5" s="1"/>
  <c r="Q105" i="5"/>
  <c r="L104" i="5" a="1"/>
  <c r="L104" i="5" s="1"/>
  <c r="M104" i="5" s="1"/>
  <c r="E105" i="5"/>
  <c r="I105" i="5" s="1"/>
  <c r="J106" i="5" l="1"/>
  <c r="N106" i="5" s="1"/>
  <c r="E106" i="5"/>
  <c r="F106" i="5" s="1"/>
  <c r="E48" i="6" a="1"/>
  <c r="E48" i="6" s="1"/>
  <c r="F48" i="6" s="1"/>
  <c r="G49" i="6"/>
  <c r="H48" i="6"/>
  <c r="E49" i="6"/>
  <c r="G107" i="5" a="1"/>
  <c r="G107" i="5" s="1"/>
  <c r="Q107" i="5" s="1"/>
  <c r="I47" i="6"/>
  <c r="I48" i="6" s="1"/>
  <c r="J47" i="6"/>
  <c r="K47" i="6"/>
  <c r="K49" i="6" s="1" a="1"/>
  <c r="K49" i="6" s="1"/>
  <c r="M47" i="6"/>
  <c r="M48" i="6" s="1"/>
  <c r="H47" i="6"/>
  <c r="N46" i="6"/>
  <c r="O46" i="6"/>
  <c r="L105" i="5" a="1"/>
  <c r="L105" i="5" s="1"/>
  <c r="M105" i="5" s="1"/>
  <c r="F105" i="5"/>
  <c r="H106" i="5"/>
  <c r="Q106" i="5"/>
  <c r="I106" i="5" l="1"/>
  <c r="I107" i="5" s="1"/>
  <c r="E107" i="5" a="1"/>
  <c r="E107" i="5" s="1"/>
  <c r="F107" i="5" s="1"/>
  <c r="K108" i="5" a="1"/>
  <c r="K108" i="5" s="1"/>
  <c r="O49" i="6"/>
  <c r="N49" i="6"/>
  <c r="F49" i="6"/>
  <c r="H49" i="6"/>
  <c r="M49" i="6"/>
  <c r="J49" i="6" a="1"/>
  <c r="J49" i="6" s="1"/>
  <c r="L49" i="6" s="1" a="1"/>
  <c r="L49" i="6" s="1"/>
  <c r="I49" i="6"/>
  <c r="G50" i="6"/>
  <c r="E50" i="6"/>
  <c r="F50" i="6" s="1"/>
  <c r="H107" i="5"/>
  <c r="G108" i="5"/>
  <c r="J108" i="5" s="1" a="1"/>
  <c r="J108" i="5" s="1"/>
  <c r="N108" i="5" s="1"/>
  <c r="O47" i="6"/>
  <c r="N47" i="6"/>
  <c r="L47" i="6" a="1"/>
  <c r="L47" i="6" s="1"/>
  <c r="L106" i="5" a="1"/>
  <c r="L106" i="5" s="1"/>
  <c r="O108" i="5" l="1"/>
  <c r="M106" i="5"/>
  <c r="M107" i="5" s="1"/>
  <c r="E22" i="9" s="1"/>
  <c r="K50" i="6"/>
  <c r="J50" i="6"/>
  <c r="G51" i="6"/>
  <c r="I50" i="6"/>
  <c r="E51" i="6"/>
  <c r="F51" i="6" s="1"/>
  <c r="H50" i="6"/>
  <c r="M50" i="6"/>
  <c r="E108" i="5"/>
  <c r="I108" i="5" s="1"/>
  <c r="G109" i="5"/>
  <c r="K109" i="5" s="1"/>
  <c r="O109" i="5" s="1"/>
  <c r="Q108" i="5"/>
  <c r="H108" i="5"/>
  <c r="L7" i="9"/>
  <c r="F108" i="5"/>
  <c r="J109" i="5" l="1"/>
  <c r="N109" i="5" s="1"/>
  <c r="E109" i="5"/>
  <c r="F109" i="5" s="1"/>
  <c r="L50" i="6" a="1"/>
  <c r="L50" i="6" s="1"/>
  <c r="M51" i="6"/>
  <c r="J51" i="6"/>
  <c r="K51" i="6"/>
  <c r="G52" i="6"/>
  <c r="H51" i="6"/>
  <c r="E52" i="6"/>
  <c r="I51" i="6"/>
  <c r="O50" i="6"/>
  <c r="N50" i="6"/>
  <c r="Q109" i="5"/>
  <c r="G110" i="5"/>
  <c r="H110" i="5" s="1"/>
  <c r="H109" i="5"/>
  <c r="L108" i="5" a="1"/>
  <c r="L108" i="5" s="1"/>
  <c r="M108" i="5" s="1"/>
  <c r="K9" i="5"/>
  <c r="I109" i="5" l="1"/>
  <c r="K110" i="5"/>
  <c r="O110" i="5" s="1"/>
  <c r="J110" i="5"/>
  <c r="N110" i="5" s="1"/>
  <c r="G111" i="5"/>
  <c r="H111" i="5" s="1"/>
  <c r="L51" i="6" a="1"/>
  <c r="L51" i="6" s="1"/>
  <c r="F52" i="6"/>
  <c r="E53" i="6"/>
  <c r="F53" i="6" s="1"/>
  <c r="G53" i="6"/>
  <c r="K52" i="6"/>
  <c r="H52" i="6"/>
  <c r="M52" i="6"/>
  <c r="J52" i="6"/>
  <c r="I52" i="6"/>
  <c r="N51" i="6"/>
  <c r="O51" i="6"/>
  <c r="L109" i="5" a="1"/>
  <c r="L109" i="5" s="1"/>
  <c r="M109" i="5" s="1"/>
  <c r="E110" i="5"/>
  <c r="F110" i="5" s="1"/>
  <c r="Q110" i="5"/>
  <c r="G112" i="5" l="1"/>
  <c r="Q112" i="5" s="1"/>
  <c r="E111" i="5"/>
  <c r="F111" i="5" s="1"/>
  <c r="Q111" i="5"/>
  <c r="J111" i="5"/>
  <c r="K111" i="5"/>
  <c r="O111" i="5" s="1"/>
  <c r="L52" i="6" a="1"/>
  <c r="L52" i="6" s="1"/>
  <c r="K53" i="6"/>
  <c r="G54" i="6"/>
  <c r="I53" i="6"/>
  <c r="H53" i="6"/>
  <c r="M53" i="6"/>
  <c r="E54" i="6"/>
  <c r="J53" i="6"/>
  <c r="L53" i="6" s="1" a="1"/>
  <c r="L53" i="6" s="1"/>
  <c r="G55" i="6" a="1"/>
  <c r="G55" i="6" s="1"/>
  <c r="N52" i="6"/>
  <c r="O52" i="6"/>
  <c r="I110" i="5"/>
  <c r="L110" i="5" a="1"/>
  <c r="L110" i="5" s="1"/>
  <c r="G113" i="5"/>
  <c r="E113" i="5" s="1"/>
  <c r="F113" i="5" s="1"/>
  <c r="I111" i="5"/>
  <c r="J112" i="5" l="1"/>
  <c r="N112" i="5" s="1"/>
  <c r="N111" i="5"/>
  <c r="E112" i="5"/>
  <c r="F112" i="5" s="1"/>
  <c r="H112" i="5"/>
  <c r="K112" i="5"/>
  <c r="L111" i="5" a="1"/>
  <c r="L111" i="5" s="1"/>
  <c r="M111" i="5" s="1"/>
  <c r="J113" i="5"/>
  <c r="N113" i="5" s="1"/>
  <c r="E56" i="6"/>
  <c r="H55" i="6"/>
  <c r="G56" i="6"/>
  <c r="F54" i="6"/>
  <c r="E55" i="6" a="1"/>
  <c r="E55" i="6" s="1"/>
  <c r="F55" i="6" s="1"/>
  <c r="K54" i="6"/>
  <c r="M54" i="6"/>
  <c r="M55" i="6" s="1"/>
  <c r="H54" i="6"/>
  <c r="J54" i="6"/>
  <c r="I54" i="6"/>
  <c r="I55" i="6" s="1"/>
  <c r="O53" i="6"/>
  <c r="N53" i="6"/>
  <c r="M110" i="5"/>
  <c r="L112" i="5" a="1"/>
  <c r="L112" i="5" s="1"/>
  <c r="I112" i="5"/>
  <c r="I113" i="5"/>
  <c r="H113" i="5"/>
  <c r="Q113" i="5"/>
  <c r="G114" i="5"/>
  <c r="K113" i="5" l="1"/>
  <c r="O113" i="5" s="1"/>
  <c r="O112" i="5"/>
  <c r="K114" i="5"/>
  <c r="O114" i="5" s="1"/>
  <c r="J114" i="5"/>
  <c r="N114" i="5" s="1"/>
  <c r="L54" i="6" a="1"/>
  <c r="L54" i="6" s="1"/>
  <c r="N54" i="6"/>
  <c r="O54" i="6"/>
  <c r="K56" i="6" a="1"/>
  <c r="K56" i="6" s="1"/>
  <c r="M56" i="6"/>
  <c r="J56" i="6" a="1"/>
  <c r="J56" i="6" s="1"/>
  <c r="E57" i="6"/>
  <c r="F57" i="6" s="1"/>
  <c r="H56" i="6"/>
  <c r="I56" i="6"/>
  <c r="G57" i="6"/>
  <c r="F56" i="6"/>
  <c r="M112" i="5"/>
  <c r="Q114" i="5"/>
  <c r="H114" i="5"/>
  <c r="G115" i="5" a="1"/>
  <c r="G115" i="5" s="1"/>
  <c r="K116" i="5" s="1" a="1"/>
  <c r="K116" i="5" s="1"/>
  <c r="L113" i="5" a="1"/>
  <c r="L113" i="5" s="1"/>
  <c r="M113" i="5" s="1"/>
  <c r="E114" i="5"/>
  <c r="J57" i="6" l="1"/>
  <c r="I57" i="6"/>
  <c r="E58" i="6"/>
  <c r="H57" i="6"/>
  <c r="M57" i="6"/>
  <c r="K57" i="6"/>
  <c r="G58" i="6"/>
  <c r="L56" i="6" a="1"/>
  <c r="L56" i="6" s="1"/>
  <c r="O56" i="6"/>
  <c r="N56" i="6"/>
  <c r="L114" i="5" a="1"/>
  <c r="L114" i="5" s="1"/>
  <c r="F114" i="5"/>
  <c r="E115" i="5" a="1"/>
  <c r="E115" i="5" s="1"/>
  <c r="F115" i="5" s="1"/>
  <c r="Q115" i="5"/>
  <c r="G116" i="5"/>
  <c r="J116" i="5" s="1" a="1"/>
  <c r="J116" i="5" s="1"/>
  <c r="N116" i="5" s="1"/>
  <c r="H115" i="5"/>
  <c r="I114" i="5"/>
  <c r="O116" i="5" l="1"/>
  <c r="L57" i="6" a="1"/>
  <c r="L57" i="6" s="1"/>
  <c r="O57" i="6"/>
  <c r="N57" i="6"/>
  <c r="K58" i="6"/>
  <c r="M58" i="6"/>
  <c r="J58" i="6"/>
  <c r="L58" i="6" s="1" a="1"/>
  <c r="L58" i="6" s="1"/>
  <c r="I58" i="6"/>
  <c r="E59" i="6"/>
  <c r="F59" i="6" s="1"/>
  <c r="G59" i="6"/>
  <c r="H58" i="6"/>
  <c r="F58" i="6"/>
  <c r="E116" i="5"/>
  <c r="F116" i="5" s="1"/>
  <c r="Q116" i="5"/>
  <c r="G117" i="5"/>
  <c r="H116" i="5"/>
  <c r="I115" i="5"/>
  <c r="M114" i="5"/>
  <c r="M115" i="5" s="1"/>
  <c r="E23" i="9" s="1"/>
  <c r="J117" i="5" l="1"/>
  <c r="N117" i="5" s="1"/>
  <c r="K117" i="5"/>
  <c r="O117" i="5" s="1"/>
  <c r="O58" i="6"/>
  <c r="N58" i="6"/>
  <c r="E60" i="6"/>
  <c r="K59" i="6"/>
  <c r="H59" i="6"/>
  <c r="M59" i="6"/>
  <c r="I59" i="6"/>
  <c r="J59" i="6"/>
  <c r="G60" i="6"/>
  <c r="I116" i="5"/>
  <c r="M7" i="9"/>
  <c r="Q117" i="5"/>
  <c r="G118" i="5"/>
  <c r="H117" i="5"/>
  <c r="E117" i="5"/>
  <c r="L116" i="5" a="1"/>
  <c r="L116" i="5" s="1"/>
  <c r="M116" i="5" s="1"/>
  <c r="L59" i="6" l="1" a="1"/>
  <c r="L59" i="6" s="1"/>
  <c r="K118" i="5"/>
  <c r="O118" i="5" s="1"/>
  <c r="J118" i="5"/>
  <c r="N118" i="5" s="1"/>
  <c r="N59" i="6"/>
  <c r="O59" i="6"/>
  <c r="J60" i="6"/>
  <c r="G61" i="6"/>
  <c r="K60" i="6"/>
  <c r="E61" i="6"/>
  <c r="F61" i="6" s="1"/>
  <c r="I60" i="6"/>
  <c r="H60" i="6"/>
  <c r="M60" i="6"/>
  <c r="G62" i="6" a="1"/>
  <c r="G62" i="6" s="1"/>
  <c r="F60" i="6"/>
  <c r="E62" i="6" a="1"/>
  <c r="E62" i="6" s="1"/>
  <c r="F62" i="6" s="1"/>
  <c r="E118" i="5"/>
  <c r="F118" i="5" s="1"/>
  <c r="L9" i="5"/>
  <c r="M9" i="5" s="1"/>
  <c r="N7" i="9"/>
  <c r="L117" i="5" a="1"/>
  <c r="L117" i="5" s="1"/>
  <c r="F117" i="5"/>
  <c r="H118" i="5"/>
  <c r="Q118" i="5"/>
  <c r="G119" i="5"/>
  <c r="E119" i="5" s="1"/>
  <c r="I117" i="5"/>
  <c r="J119" i="5" l="1"/>
  <c r="N119" i="5" s="1"/>
  <c r="K119" i="5"/>
  <c r="O119" i="5" s="1"/>
  <c r="O60" i="6"/>
  <c r="N60" i="6"/>
  <c r="L60" i="6" a="1"/>
  <c r="L60" i="6" s="1"/>
  <c r="H62" i="6"/>
  <c r="G63" i="6"/>
  <c r="E63" i="6"/>
  <c r="J61" i="6"/>
  <c r="M61" i="6"/>
  <c r="M62" i="6" s="1"/>
  <c r="I61" i="6"/>
  <c r="I62" i="6" s="1"/>
  <c r="K61" i="6"/>
  <c r="H61" i="6"/>
  <c r="I118" i="5"/>
  <c r="L118" i="5" a="1"/>
  <c r="L118" i="5" s="1"/>
  <c r="F119" i="5"/>
  <c r="M117" i="5"/>
  <c r="I119" i="5"/>
  <c r="H119" i="5"/>
  <c r="G120" i="5"/>
  <c r="Q119" i="5"/>
  <c r="M118" i="5" l="1"/>
  <c r="J120" i="5"/>
  <c r="N120" i="5" s="1"/>
  <c r="K120" i="5"/>
  <c r="O120" i="5" s="1"/>
  <c r="L61" i="6" a="1"/>
  <c r="L61" i="6" s="1"/>
  <c r="O61" i="6"/>
  <c r="N61" i="6"/>
  <c r="K63" i="6" a="1"/>
  <c r="K63" i="6" s="1"/>
  <c r="F63" i="6"/>
  <c r="J63" i="6" a="1"/>
  <c r="J63" i="6" s="1"/>
  <c r="H63" i="6"/>
  <c r="I63" i="6"/>
  <c r="G64" i="6"/>
  <c r="E64" i="6"/>
  <c r="F64" i="6" s="1"/>
  <c r="M63" i="6"/>
  <c r="H120" i="5"/>
  <c r="Q120" i="5"/>
  <c r="G121" i="5"/>
  <c r="E121" i="5" s="1"/>
  <c r="F121" i="5" s="1"/>
  <c r="E120" i="5"/>
  <c r="L119" i="5" a="1"/>
  <c r="L119" i="5" s="1"/>
  <c r="M119" i="5" s="1"/>
  <c r="K121" i="5" l="1"/>
  <c r="O121" i="5" s="1"/>
  <c r="J121" i="5"/>
  <c r="N121" i="5" s="1"/>
  <c r="L63" i="6" a="1"/>
  <c r="L63" i="6" s="1"/>
  <c r="E65" i="6"/>
  <c r="K64" i="6"/>
  <c r="I64" i="6"/>
  <c r="H64" i="6"/>
  <c r="M64" i="6"/>
  <c r="G65" i="6"/>
  <c r="J64" i="6"/>
  <c r="O63" i="6"/>
  <c r="N63" i="6"/>
  <c r="L120" i="5" a="1"/>
  <c r="L120" i="5" s="1"/>
  <c r="F120" i="5"/>
  <c r="G122" i="5"/>
  <c r="K122" i="5" s="1"/>
  <c r="Q121" i="5"/>
  <c r="I121" i="5"/>
  <c r="H121" i="5"/>
  <c r="I120" i="5"/>
  <c r="O122" i="5" l="1"/>
  <c r="J122" i="5"/>
  <c r="N122" i="5" s="1"/>
  <c r="M120" i="5"/>
  <c r="L64" i="6" a="1"/>
  <c r="L64" i="6" s="1"/>
  <c r="F65" i="6"/>
  <c r="J65" i="6"/>
  <c r="K65" i="6"/>
  <c r="H65" i="6"/>
  <c r="I65" i="6"/>
  <c r="M65" i="6"/>
  <c r="E66" i="6"/>
  <c r="F66" i="6" s="1"/>
  <c r="G66" i="6"/>
  <c r="N64" i="6"/>
  <c r="O64" i="6"/>
  <c r="L121" i="5" a="1"/>
  <c r="L121" i="5" s="1"/>
  <c r="M121" i="5" s="1"/>
  <c r="Q122" i="5"/>
  <c r="H122" i="5"/>
  <c r="G123" i="5" a="1"/>
  <c r="G123" i="5" s="1"/>
  <c r="K124" i="5" s="1" a="1"/>
  <c r="K124" i="5" s="1"/>
  <c r="E122" i="5"/>
  <c r="E67" i="6" l="1"/>
  <c r="F67" i="6" s="1"/>
  <c r="H66" i="6"/>
  <c r="M66" i="6"/>
  <c r="I66" i="6"/>
  <c r="G67" i="6"/>
  <c r="J66" i="6"/>
  <c r="K66" i="6"/>
  <c r="L65" i="6" a="1"/>
  <c r="L65" i="6" s="1"/>
  <c r="O65" i="6"/>
  <c r="N65" i="6"/>
  <c r="L122" i="5" a="1"/>
  <c r="L122" i="5" s="1"/>
  <c r="F122" i="5"/>
  <c r="E123" i="5" a="1"/>
  <c r="E123" i="5" s="1"/>
  <c r="F123" i="5" s="1"/>
  <c r="I122" i="5"/>
  <c r="Q123" i="5"/>
  <c r="G124" i="5"/>
  <c r="J124" i="5" s="1" a="1"/>
  <c r="J124" i="5" s="1"/>
  <c r="N124" i="5" s="1"/>
  <c r="H123" i="5"/>
  <c r="O124" i="5" l="1"/>
  <c r="L66" i="6" a="1"/>
  <c r="L66" i="6" s="1"/>
  <c r="N66" i="6"/>
  <c r="O66" i="6"/>
  <c r="J67" i="6"/>
  <c r="E68" i="6"/>
  <c r="H67" i="6"/>
  <c r="K67" i="6"/>
  <c r="M67" i="6"/>
  <c r="I67" i="6"/>
  <c r="G68" i="6"/>
  <c r="G69" i="6" s="1" a="1"/>
  <c r="G69" i="6" s="1"/>
  <c r="E124" i="5"/>
  <c r="F124" i="5" s="1"/>
  <c r="L124" i="5" a="1"/>
  <c r="L124" i="5" s="1"/>
  <c r="Q124" i="5"/>
  <c r="H124" i="5"/>
  <c r="G125" i="5"/>
  <c r="K125" i="5" s="1"/>
  <c r="O125" i="5" s="1"/>
  <c r="I123" i="5"/>
  <c r="M122" i="5"/>
  <c r="M123" i="5" s="1"/>
  <c r="E24" i="9" s="1"/>
  <c r="J125" i="5" l="1"/>
  <c r="N125" i="5" s="1"/>
  <c r="L67" i="6" a="1"/>
  <c r="L67" i="6" s="1"/>
  <c r="E70" i="6"/>
  <c r="H69" i="6"/>
  <c r="G70" i="6"/>
  <c r="O67" i="6"/>
  <c r="N67" i="6"/>
  <c r="F68" i="6"/>
  <c r="E69" i="6" a="1"/>
  <c r="E69" i="6" s="1"/>
  <c r="F69" i="6" s="1"/>
  <c r="J68" i="6"/>
  <c r="K68" i="6"/>
  <c r="M68" i="6"/>
  <c r="M69" i="6" s="1"/>
  <c r="H68" i="6"/>
  <c r="I68" i="6"/>
  <c r="I69" i="6" s="1"/>
  <c r="I124" i="5"/>
  <c r="L8" i="9"/>
  <c r="H125" i="5"/>
  <c r="G126" i="5"/>
  <c r="K126" i="5" s="1"/>
  <c r="O126" i="5" s="1"/>
  <c r="Q125" i="5"/>
  <c r="E125" i="5"/>
  <c r="M124" i="5"/>
  <c r="J126" i="5" l="1"/>
  <c r="N126" i="5" s="1"/>
  <c r="L68" i="6" a="1"/>
  <c r="L68" i="6" s="1"/>
  <c r="O68" i="6"/>
  <c r="N68" i="6"/>
  <c r="K70" i="6" a="1"/>
  <c r="K70" i="6" s="1"/>
  <c r="I70" i="6"/>
  <c r="E71" i="6"/>
  <c r="F71" i="6" s="1"/>
  <c r="J70" i="6" a="1"/>
  <c r="J70" i="6" s="1"/>
  <c r="H70" i="6"/>
  <c r="M70" i="6"/>
  <c r="G71" i="6"/>
  <c r="F70" i="6"/>
  <c r="K10" i="5"/>
  <c r="L125" i="5" a="1"/>
  <c r="L125" i="5" s="1"/>
  <c r="Q126" i="5"/>
  <c r="H126" i="5"/>
  <c r="G127" i="5"/>
  <c r="K127" i="5" s="1"/>
  <c r="O127" i="5" s="1"/>
  <c r="E126" i="5"/>
  <c r="F126" i="5" s="1"/>
  <c r="F125" i="5"/>
  <c r="I125" i="5"/>
  <c r="J127" i="5" l="1"/>
  <c r="N127" i="5" s="1"/>
  <c r="L70" i="6" a="1"/>
  <c r="L70" i="6" s="1"/>
  <c r="O70" i="6"/>
  <c r="N70" i="6"/>
  <c r="H71" i="6"/>
  <c r="M71" i="6"/>
  <c r="I71" i="6"/>
  <c r="G72" i="6"/>
  <c r="E72" i="6"/>
  <c r="K71" i="6"/>
  <c r="J71" i="6"/>
  <c r="L126" i="5" a="1"/>
  <c r="L126" i="5" s="1"/>
  <c r="Q127" i="5"/>
  <c r="H127" i="5"/>
  <c r="G128" i="5"/>
  <c r="K128" i="5" s="1"/>
  <c r="O128" i="5" s="1"/>
  <c r="I126" i="5"/>
  <c r="M125" i="5"/>
  <c r="E127" i="5"/>
  <c r="J128" i="5" l="1"/>
  <c r="N128" i="5" s="1"/>
  <c r="L71" i="6" a="1"/>
  <c r="L71" i="6" s="1"/>
  <c r="F72" i="6"/>
  <c r="N71" i="6"/>
  <c r="O71" i="6"/>
  <c r="J72" i="6"/>
  <c r="G73" i="6"/>
  <c r="H72" i="6"/>
  <c r="M72" i="6"/>
  <c r="I72" i="6"/>
  <c r="E73" i="6"/>
  <c r="F73" i="6" s="1"/>
  <c r="K72" i="6"/>
  <c r="M126" i="5"/>
  <c r="F127" i="5"/>
  <c r="Q128" i="5"/>
  <c r="H128" i="5"/>
  <c r="G129" i="5"/>
  <c r="K129" i="5" s="1"/>
  <c r="O129" i="5" s="1"/>
  <c r="E128" i="5"/>
  <c r="F128" i="5" s="1"/>
  <c r="I127" i="5"/>
  <c r="L127" i="5" a="1"/>
  <c r="L127" i="5" s="1"/>
  <c r="J129" i="5" l="1"/>
  <c r="N129" i="5" s="1"/>
  <c r="M73" i="6"/>
  <c r="G74" i="6"/>
  <c r="J73" i="6"/>
  <c r="E74" i="6"/>
  <c r="F74" i="6" s="1"/>
  <c r="K73" i="6"/>
  <c r="I73" i="6"/>
  <c r="H73" i="6"/>
  <c r="O72" i="6"/>
  <c r="N72" i="6"/>
  <c r="L72" i="6" a="1"/>
  <c r="L72" i="6" s="1"/>
  <c r="M127" i="5"/>
  <c r="Q129" i="5"/>
  <c r="G130" i="5"/>
  <c r="K130" i="5" s="1"/>
  <c r="H129" i="5"/>
  <c r="I128" i="5"/>
  <c r="L128" i="5" a="1"/>
  <c r="L128" i="5" s="1"/>
  <c r="E129" i="5"/>
  <c r="F129" i="5" s="1"/>
  <c r="O130" i="5" l="1"/>
  <c r="J130" i="5"/>
  <c r="N130" i="5" s="1"/>
  <c r="J74" i="6"/>
  <c r="I74" i="6"/>
  <c r="E75" i="6"/>
  <c r="H74" i="6"/>
  <c r="K74" i="6"/>
  <c r="G75" i="6"/>
  <c r="M74" i="6"/>
  <c r="G76" i="6" a="1"/>
  <c r="G76" i="6" s="1"/>
  <c r="O73" i="6"/>
  <c r="N73" i="6"/>
  <c r="L73" i="6" a="1"/>
  <c r="L73" i="6" s="1"/>
  <c r="M128" i="5"/>
  <c r="H130" i="5"/>
  <c r="M130" i="5"/>
  <c r="Q130" i="5"/>
  <c r="G131" i="5" a="1"/>
  <c r="G131" i="5" s="1"/>
  <c r="K132" i="5" s="1" a="1"/>
  <c r="K132" i="5" s="1"/>
  <c r="E130" i="5"/>
  <c r="I130" i="5" s="1"/>
  <c r="I129" i="5"/>
  <c r="L129" i="5" a="1"/>
  <c r="L129" i="5" s="1"/>
  <c r="G77" i="6" l="1"/>
  <c r="H76" i="6"/>
  <c r="E77" i="6"/>
  <c r="K75" i="6"/>
  <c r="M75" i="6"/>
  <c r="M76" i="6" s="1"/>
  <c r="H75" i="6"/>
  <c r="I75" i="6"/>
  <c r="J75" i="6"/>
  <c r="L75" i="6" s="1" a="1"/>
  <c r="L75" i="6" s="1"/>
  <c r="I76" i="6"/>
  <c r="N74" i="6"/>
  <c r="O74" i="6"/>
  <c r="F75" i="6"/>
  <c r="E76" i="6" a="1"/>
  <c r="E76" i="6" s="1"/>
  <c r="F76" i="6" s="1"/>
  <c r="L74" i="6" a="1"/>
  <c r="L74" i="6" s="1"/>
  <c r="M129" i="5"/>
  <c r="M131" i="5" s="1"/>
  <c r="E25" i="9" s="1"/>
  <c r="Q131" i="5"/>
  <c r="G132" i="5"/>
  <c r="J132" i="5" s="1" a="1"/>
  <c r="J132" i="5" s="1"/>
  <c r="N132" i="5" s="1"/>
  <c r="H131" i="5"/>
  <c r="F130" i="5"/>
  <c r="E131" i="5" a="1"/>
  <c r="E131" i="5" s="1"/>
  <c r="F131" i="5" s="1"/>
  <c r="L130" i="5" a="1"/>
  <c r="L130" i="5" s="1"/>
  <c r="I131" i="5"/>
  <c r="O132" i="5" l="1"/>
  <c r="N75" i="6"/>
  <c r="O75" i="6"/>
  <c r="K77" i="6" a="1"/>
  <c r="K77" i="6" s="1"/>
  <c r="F77" i="6"/>
  <c r="J77" i="6" a="1"/>
  <c r="J77" i="6" s="1"/>
  <c r="M77" i="6"/>
  <c r="H77" i="6"/>
  <c r="G78" i="6"/>
  <c r="E78" i="6"/>
  <c r="F78" i="6" s="1"/>
  <c r="I77" i="6"/>
  <c r="M8" i="9"/>
  <c r="L132" i="5" a="1"/>
  <c r="L132" i="5" s="1"/>
  <c r="G133" i="5"/>
  <c r="H132" i="5"/>
  <c r="Q132" i="5"/>
  <c r="E132" i="5"/>
  <c r="I132" i="5" s="1"/>
  <c r="M132" i="5" s="1"/>
  <c r="J133" i="5" l="1"/>
  <c r="N133" i="5" s="1"/>
  <c r="K133" i="5"/>
  <c r="O133" i="5" s="1"/>
  <c r="L77" i="6" a="1"/>
  <c r="L77" i="6" s="1"/>
  <c r="E79" i="6"/>
  <c r="I78" i="6"/>
  <c r="M78" i="6"/>
  <c r="J78" i="6"/>
  <c r="H78" i="6"/>
  <c r="K78" i="6"/>
  <c r="G79" i="6"/>
  <c r="O77" i="6"/>
  <c r="N77" i="6"/>
  <c r="E133" i="5"/>
  <c r="F133" i="5" s="1"/>
  <c r="L10" i="5"/>
  <c r="M10" i="5" s="1"/>
  <c r="N8" i="9"/>
  <c r="Q133" i="5"/>
  <c r="H133" i="5"/>
  <c r="G134" i="5"/>
  <c r="F132" i="5"/>
  <c r="K134" i="5" l="1"/>
  <c r="O134" i="5" s="1"/>
  <c r="J134" i="5"/>
  <c r="N134" i="5" s="1"/>
  <c r="O78" i="6"/>
  <c r="N78" i="6"/>
  <c r="L78" i="6" a="1"/>
  <c r="L78" i="6" s="1"/>
  <c r="K79" i="6"/>
  <c r="H79" i="6"/>
  <c r="E80" i="6"/>
  <c r="F80" i="6" s="1"/>
  <c r="G80" i="6"/>
  <c r="M79" i="6"/>
  <c r="J79" i="6"/>
  <c r="I79" i="6"/>
  <c r="F79" i="6"/>
  <c r="I133" i="5"/>
  <c r="L133" i="5" a="1"/>
  <c r="L133" i="5" s="1"/>
  <c r="Q134" i="5"/>
  <c r="G135" i="5"/>
  <c r="E135" i="5" s="1"/>
  <c r="F135" i="5" s="1"/>
  <c r="H134" i="5"/>
  <c r="E134" i="5"/>
  <c r="M133" i="5" l="1"/>
  <c r="J135" i="5"/>
  <c r="N135" i="5" s="1"/>
  <c r="K135" i="5"/>
  <c r="O135" i="5" s="1"/>
  <c r="L79" i="6" a="1"/>
  <c r="L79" i="6" s="1"/>
  <c r="O79" i="6"/>
  <c r="N79" i="6"/>
  <c r="G81" i="6"/>
  <c r="J80" i="6"/>
  <c r="E81" i="6"/>
  <c r="I80" i="6"/>
  <c r="H80" i="6"/>
  <c r="M80" i="6"/>
  <c r="K80" i="6"/>
  <c r="L134" i="5" a="1"/>
  <c r="L134" i="5" s="1"/>
  <c r="F134" i="5"/>
  <c r="I134" i="5"/>
  <c r="Q135" i="5"/>
  <c r="I135" i="5"/>
  <c r="H135" i="5"/>
  <c r="G136" i="5"/>
  <c r="M134" i="5" l="1"/>
  <c r="J136" i="5"/>
  <c r="N136" i="5" s="1"/>
  <c r="K136" i="5"/>
  <c r="O136" i="5" s="1"/>
  <c r="O80" i="6"/>
  <c r="N80" i="6"/>
  <c r="F81" i="6"/>
  <c r="E83" i="6" a="1"/>
  <c r="E83" i="6" s="1"/>
  <c r="F83" i="6" s="1"/>
  <c r="J81" i="6"/>
  <c r="G82" i="6"/>
  <c r="E82" i="6"/>
  <c r="F82" i="6" s="1"/>
  <c r="M81" i="6"/>
  <c r="K81" i="6"/>
  <c r="H81" i="6"/>
  <c r="I81" i="6"/>
  <c r="G83" i="6" a="1"/>
  <c r="G83" i="6" s="1"/>
  <c r="L80" i="6" a="1"/>
  <c r="L80" i="6" s="1"/>
  <c r="L135" i="5" a="1"/>
  <c r="L135" i="5" s="1"/>
  <c r="M135" i="5" s="1"/>
  <c r="H136" i="5"/>
  <c r="G137" i="5"/>
  <c r="Q136" i="5"/>
  <c r="E136" i="5"/>
  <c r="K137" i="5" l="1"/>
  <c r="O137" i="5" s="1"/>
  <c r="J137" i="5"/>
  <c r="N137" i="5" s="1"/>
  <c r="E84" i="6"/>
  <c r="G84" i="6"/>
  <c r="H83" i="6"/>
  <c r="H82" i="6"/>
  <c r="K82" i="6"/>
  <c r="J82" i="6"/>
  <c r="M82" i="6"/>
  <c r="M83" i="6" s="1"/>
  <c r="I82" i="6"/>
  <c r="I83" i="6" s="1"/>
  <c r="O81" i="6"/>
  <c r="N81" i="6"/>
  <c r="L81" i="6" a="1"/>
  <c r="L81" i="6" s="1"/>
  <c r="F136" i="5"/>
  <c r="H137" i="5"/>
  <c r="Q137" i="5"/>
  <c r="G138" i="5"/>
  <c r="K138" i="5" s="1"/>
  <c r="L136" i="5" a="1"/>
  <c r="L136" i="5" s="1"/>
  <c r="I136" i="5"/>
  <c r="E137" i="5"/>
  <c r="F137" i="5" s="1"/>
  <c r="O138" i="5" l="1"/>
  <c r="J138" i="5"/>
  <c r="N138" i="5" s="1"/>
  <c r="N82" i="6"/>
  <c r="O82" i="6"/>
  <c r="K84" i="6" a="1"/>
  <c r="K84" i="6" s="1"/>
  <c r="M84" i="6"/>
  <c r="I84" i="6"/>
  <c r="J84" i="6" a="1"/>
  <c r="J84" i="6" s="1"/>
  <c r="H84" i="6"/>
  <c r="E85" i="6"/>
  <c r="F85" i="6" s="1"/>
  <c r="G85" i="6"/>
  <c r="L82" i="6" a="1"/>
  <c r="L82" i="6" s="1"/>
  <c r="F84" i="6"/>
  <c r="M136" i="5"/>
  <c r="L137" i="5" a="1"/>
  <c r="L137" i="5" s="1"/>
  <c r="H138" i="5"/>
  <c r="Q138" i="5"/>
  <c r="G139" i="5" a="1"/>
  <c r="G139" i="5" s="1"/>
  <c r="K140" i="5" s="1" a="1"/>
  <c r="K140" i="5" s="1"/>
  <c r="I137" i="5"/>
  <c r="M137" i="5" s="1"/>
  <c r="E138" i="5"/>
  <c r="F138" i="5" s="1"/>
  <c r="L84" i="6" l="1" a="1"/>
  <c r="L84" i="6" s="1"/>
  <c r="M85" i="6"/>
  <c r="G86" i="6"/>
  <c r="K85" i="6"/>
  <c r="E86" i="6"/>
  <c r="J85" i="6"/>
  <c r="L85" i="6" s="1" a="1"/>
  <c r="L85" i="6" s="1"/>
  <c r="H85" i="6"/>
  <c r="I85" i="6"/>
  <c r="N84" i="6"/>
  <c r="O84" i="6"/>
  <c r="L138" i="5" a="1"/>
  <c r="L138" i="5" s="1"/>
  <c r="E139" i="5" a="1"/>
  <c r="E139" i="5" s="1"/>
  <c r="F139" i="5" s="1"/>
  <c r="M138" i="5"/>
  <c r="M139" i="5" s="1"/>
  <c r="E26" i="9" s="1"/>
  <c r="Q139" i="5"/>
  <c r="G140" i="5"/>
  <c r="J140" i="5" s="1" a="1"/>
  <c r="J140" i="5" s="1"/>
  <c r="N140" i="5" s="1"/>
  <c r="H139" i="5"/>
  <c r="I138" i="5"/>
  <c r="I139" i="5" s="1"/>
  <c r="O140" i="5" l="1"/>
  <c r="F86" i="6"/>
  <c r="M86" i="6"/>
  <c r="E87" i="6"/>
  <c r="F87" i="6" s="1"/>
  <c r="H86" i="6"/>
  <c r="J86" i="6"/>
  <c r="I86" i="6"/>
  <c r="K86" i="6"/>
  <c r="G87" i="6"/>
  <c r="N85" i="6"/>
  <c r="O85" i="6"/>
  <c r="E140" i="5"/>
  <c r="L9" i="9"/>
  <c r="F140" i="5"/>
  <c r="H140" i="5"/>
  <c r="I140" i="5"/>
  <c r="L140" i="5" a="1"/>
  <c r="L140" i="5" s="1"/>
  <c r="Q140" i="5"/>
  <c r="G141" i="5"/>
  <c r="K141" i="5" l="1"/>
  <c r="O141" i="5" s="1"/>
  <c r="J141" i="5"/>
  <c r="N141" i="5" s="1"/>
  <c r="O86" i="6"/>
  <c r="N86" i="6"/>
  <c r="L86" i="6" a="1"/>
  <c r="L86" i="6" s="1"/>
  <c r="H87" i="6"/>
  <c r="I87" i="6"/>
  <c r="M87" i="6"/>
  <c r="E88" i="6"/>
  <c r="F88" i="6" s="1"/>
  <c r="K87" i="6"/>
  <c r="J87" i="6"/>
  <c r="G88" i="6"/>
  <c r="M140" i="5"/>
  <c r="K11" i="5"/>
  <c r="Q141" i="5"/>
  <c r="G142" i="5"/>
  <c r="E142" i="5" s="1"/>
  <c r="F142" i="5" s="1"/>
  <c r="H141" i="5"/>
  <c r="E141" i="5"/>
  <c r="J142" i="5" l="1"/>
  <c r="N142" i="5" s="1"/>
  <c r="K142" i="5"/>
  <c r="O142" i="5" s="1"/>
  <c r="L87" i="6" a="1"/>
  <c r="L87" i="6" s="1"/>
  <c r="M88" i="6"/>
  <c r="I88" i="6"/>
  <c r="E89" i="6"/>
  <c r="F89" i="6" s="1"/>
  <c r="G89" i="6"/>
  <c r="H88" i="6"/>
  <c r="J88" i="6"/>
  <c r="K88" i="6"/>
  <c r="N87" i="6"/>
  <c r="O87" i="6"/>
  <c r="L141" i="5" a="1"/>
  <c r="L141" i="5" s="1"/>
  <c r="F141" i="5"/>
  <c r="I141" i="5"/>
  <c r="I142" i="5"/>
  <c r="Q142" i="5"/>
  <c r="H142" i="5"/>
  <c r="G143" i="5"/>
  <c r="E143" i="5" s="1"/>
  <c r="M141" i="5" l="1"/>
  <c r="K143" i="5"/>
  <c r="O143" i="5" s="1"/>
  <c r="J143" i="5"/>
  <c r="N143" i="5" s="1"/>
  <c r="L88" i="6" a="1"/>
  <c r="L88" i="6" s="1"/>
  <c r="I89" i="6"/>
  <c r="I90" i="6" s="1"/>
  <c r="M89" i="6"/>
  <c r="J89" i="6"/>
  <c r="K89" i="6"/>
  <c r="H89" i="6"/>
  <c r="G90" i="6" a="1"/>
  <c r="G90" i="6" s="1"/>
  <c r="E90" i="6" a="1"/>
  <c r="E90" i="6" s="1"/>
  <c r="F90" i="6" s="1"/>
  <c r="O88" i="6"/>
  <c r="N88" i="6"/>
  <c r="M90" i="6"/>
  <c r="L142" i="5" a="1"/>
  <c r="L142" i="5" s="1"/>
  <c r="M142" i="5" s="1"/>
  <c r="F143" i="5"/>
  <c r="H143" i="5"/>
  <c r="G144" i="5"/>
  <c r="E144" i="5" s="1"/>
  <c r="I143" i="5"/>
  <c r="Q143" i="5"/>
  <c r="J144" i="5" l="1"/>
  <c r="N144" i="5" s="1"/>
  <c r="K144" i="5"/>
  <c r="E91" i="6"/>
  <c r="G91" i="6"/>
  <c r="H90" i="6"/>
  <c r="O89" i="6"/>
  <c r="N89" i="6"/>
  <c r="L89" i="6" a="1"/>
  <c r="L89" i="6" s="1"/>
  <c r="K91" i="6" a="1"/>
  <c r="K91" i="6" s="1"/>
  <c r="L143" i="5" a="1"/>
  <c r="L143" i="5" s="1"/>
  <c r="M143" i="5" s="1"/>
  <c r="F144" i="5"/>
  <c r="Q144" i="5"/>
  <c r="I144" i="5"/>
  <c r="H144" i="5"/>
  <c r="G145" i="5"/>
  <c r="M144" i="5" l="1"/>
  <c r="O144" i="5"/>
  <c r="K145" i="5"/>
  <c r="O145" i="5" s="1"/>
  <c r="J145" i="5"/>
  <c r="N145" i="5" s="1"/>
  <c r="M145" i="5"/>
  <c r="J91" i="6" a="1"/>
  <c r="J91" i="6" s="1"/>
  <c r="L91" i="6" s="1" a="1"/>
  <c r="L91" i="6" s="1"/>
  <c r="I91" i="6"/>
  <c r="M91" i="6"/>
  <c r="H91" i="6"/>
  <c r="E92" i="6"/>
  <c r="F92" i="6" s="1"/>
  <c r="G92" i="6"/>
  <c r="N91" i="6"/>
  <c r="O91" i="6"/>
  <c r="F91" i="6"/>
  <c r="L144" i="5" a="1"/>
  <c r="L144" i="5" s="1"/>
  <c r="E145" i="5"/>
  <c r="I145" i="5" s="1"/>
  <c r="H145" i="5"/>
  <c r="G146" i="5"/>
  <c r="K146" i="5" s="1"/>
  <c r="O146" i="5" s="1"/>
  <c r="Q145" i="5"/>
  <c r="J146" i="5" l="1"/>
  <c r="N146" i="5" s="1"/>
  <c r="E146" i="5"/>
  <c r="F146" i="5" s="1"/>
  <c r="K92" i="6"/>
  <c r="J92" i="6"/>
  <c r="E93" i="6"/>
  <c r="H92" i="6"/>
  <c r="I92" i="6"/>
  <c r="G93" i="6"/>
  <c r="M92" i="6"/>
  <c r="H146" i="5"/>
  <c r="Q146" i="5"/>
  <c r="I146" i="5"/>
  <c r="I147" i="5" s="1"/>
  <c r="L145" i="5" a="1"/>
  <c r="L145" i="5" s="1"/>
  <c r="F145" i="5"/>
  <c r="G147" i="5" a="1"/>
  <c r="G147" i="5" s="1"/>
  <c r="K148" i="5" s="1" a="1"/>
  <c r="K148" i="5" s="1"/>
  <c r="E147" i="5" l="1" a="1"/>
  <c r="E147" i="5" s="1"/>
  <c r="F147" i="5" s="1"/>
  <c r="E94" i="6"/>
  <c r="F94" i="6" s="1"/>
  <c r="J93" i="6"/>
  <c r="I93" i="6"/>
  <c r="K93" i="6"/>
  <c r="G94" i="6"/>
  <c r="H93" i="6"/>
  <c r="M93" i="6"/>
  <c r="L92" i="6" a="1"/>
  <c r="L92" i="6" s="1"/>
  <c r="F93" i="6"/>
  <c r="N92" i="6"/>
  <c r="O92" i="6"/>
  <c r="L146" i="5" a="1"/>
  <c r="L146" i="5" s="1"/>
  <c r="H147" i="5"/>
  <c r="G148" i="5"/>
  <c r="J148" i="5" s="1" a="1"/>
  <c r="J148" i="5" s="1"/>
  <c r="N148" i="5" s="1"/>
  <c r="Q147" i="5"/>
  <c r="M146" i="5"/>
  <c r="M147" i="5" s="1"/>
  <c r="E27" i="9" s="1"/>
  <c r="O148" i="5" l="1"/>
  <c r="K94" i="6"/>
  <c r="G95" i="6"/>
  <c r="E95" i="6"/>
  <c r="H94" i="6"/>
  <c r="I94" i="6"/>
  <c r="J94" i="6"/>
  <c r="M94" i="6"/>
  <c r="O93" i="6"/>
  <c r="N93" i="6"/>
  <c r="L93" i="6" a="1"/>
  <c r="L93" i="6" s="1"/>
  <c r="E148" i="5"/>
  <c r="F148" i="5" s="1"/>
  <c r="L148" i="5" a="1"/>
  <c r="L148" i="5" s="1"/>
  <c r="M9" i="9"/>
  <c r="Q148" i="5"/>
  <c r="G149" i="5"/>
  <c r="H148" i="5"/>
  <c r="K149" i="5" l="1"/>
  <c r="O149" i="5" s="1"/>
  <c r="J149" i="5"/>
  <c r="N149" i="5" s="1"/>
  <c r="L94" i="6" a="1"/>
  <c r="L94" i="6" s="1"/>
  <c r="F95" i="6"/>
  <c r="O94" i="6"/>
  <c r="N94" i="6"/>
  <c r="K95" i="6"/>
  <c r="J95" i="6"/>
  <c r="G96" i="6"/>
  <c r="M95" i="6"/>
  <c r="I95" i="6"/>
  <c r="H95" i="6"/>
  <c r="E96" i="6"/>
  <c r="F96" i="6" s="1"/>
  <c r="G97" i="6" a="1"/>
  <c r="G97" i="6" s="1"/>
  <c r="I148" i="5"/>
  <c r="M148" i="5" s="1"/>
  <c r="L11" i="5"/>
  <c r="M11" i="5" s="1"/>
  <c r="N9" i="9"/>
  <c r="Q149" i="5"/>
  <c r="G150" i="5"/>
  <c r="E150" i="5" s="1"/>
  <c r="F150" i="5" s="1"/>
  <c r="H149" i="5"/>
  <c r="E149" i="5"/>
  <c r="J150" i="5" l="1"/>
  <c r="N150" i="5" s="1"/>
  <c r="K150" i="5"/>
  <c r="O150" i="5" s="1"/>
  <c r="L95" i="6" a="1"/>
  <c r="L95" i="6" s="1"/>
  <c r="J96" i="6"/>
  <c r="M96" i="6"/>
  <c r="M97" i="6" s="1"/>
  <c r="H96" i="6"/>
  <c r="K96" i="6"/>
  <c r="I96" i="6"/>
  <c r="I97" i="6" s="1"/>
  <c r="O95" i="6"/>
  <c r="N95" i="6"/>
  <c r="E97" i="6" a="1"/>
  <c r="E97" i="6" s="1"/>
  <c r="F97" i="6" s="1"/>
  <c r="E98" i="6"/>
  <c r="H97" i="6"/>
  <c r="G98" i="6"/>
  <c r="L149" i="5" a="1"/>
  <c r="L149" i="5" s="1"/>
  <c r="F149" i="5"/>
  <c r="I149" i="5"/>
  <c r="M149" i="5" s="1"/>
  <c r="H150" i="5"/>
  <c r="Q150" i="5"/>
  <c r="I150" i="5"/>
  <c r="G151" i="5"/>
  <c r="K151" i="5" l="1"/>
  <c r="O151" i="5" s="1"/>
  <c r="J151" i="5"/>
  <c r="N151" i="5" s="1"/>
  <c r="M151" i="5"/>
  <c r="E99" i="6"/>
  <c r="F99" i="6" s="1"/>
  <c r="M98" i="6"/>
  <c r="I98" i="6"/>
  <c r="H98" i="6"/>
  <c r="J98" i="6" a="1"/>
  <c r="J98" i="6" s="1"/>
  <c r="G99" i="6"/>
  <c r="F98" i="6"/>
  <c r="L96" i="6" a="1"/>
  <c r="L96" i="6" s="1"/>
  <c r="N96" i="6"/>
  <c r="O96" i="6"/>
  <c r="K98" i="6" a="1"/>
  <c r="K98" i="6" s="1"/>
  <c r="L150" i="5" a="1"/>
  <c r="L150" i="5" s="1"/>
  <c r="M150" i="5" s="1"/>
  <c r="G152" i="5"/>
  <c r="Q151" i="5"/>
  <c r="H151" i="5"/>
  <c r="E151" i="5"/>
  <c r="I151" i="5" s="1"/>
  <c r="J152" i="5" l="1"/>
  <c r="N152" i="5" s="1"/>
  <c r="K152" i="5"/>
  <c r="O152" i="5" s="1"/>
  <c r="J99" i="6"/>
  <c r="K99" i="6"/>
  <c r="E100" i="6"/>
  <c r="G100" i="6"/>
  <c r="I99" i="6"/>
  <c r="H99" i="6"/>
  <c r="M99" i="6"/>
  <c r="N98" i="6"/>
  <c r="O98" i="6"/>
  <c r="L98" i="6" a="1"/>
  <c r="L98" i="6" s="1"/>
  <c r="L151" i="5" a="1"/>
  <c r="L151" i="5" s="1"/>
  <c r="H152" i="5"/>
  <c r="Q152" i="5"/>
  <c r="G153" i="5"/>
  <c r="F151" i="5"/>
  <c r="E152" i="5"/>
  <c r="F152" i="5" s="1"/>
  <c r="K153" i="5" l="1"/>
  <c r="O153" i="5" s="1"/>
  <c r="J153" i="5"/>
  <c r="N153" i="5" s="1"/>
  <c r="L99" i="6" a="1"/>
  <c r="L99" i="6" s="1"/>
  <c r="M100" i="6"/>
  <c r="I100" i="6"/>
  <c r="H100" i="6"/>
  <c r="G101" i="6"/>
  <c r="K100" i="6"/>
  <c r="E101" i="6"/>
  <c r="F101" i="6" s="1"/>
  <c r="J100" i="6"/>
  <c r="L100" i="6" s="1" a="1"/>
  <c r="L100" i="6" s="1"/>
  <c r="O99" i="6"/>
  <c r="N99" i="6"/>
  <c r="F100" i="6"/>
  <c r="I152" i="5"/>
  <c r="L152" i="5" a="1"/>
  <c r="L152" i="5" s="1"/>
  <c r="G154" i="5"/>
  <c r="K154" i="5" s="1"/>
  <c r="O154" i="5" s="1"/>
  <c r="H153" i="5"/>
  <c r="Q153" i="5"/>
  <c r="M152" i="5"/>
  <c r="E153" i="5"/>
  <c r="F153" i="5" s="1"/>
  <c r="J154" i="5" l="1"/>
  <c r="N154" i="5" s="1"/>
  <c r="E154" i="5"/>
  <c r="F154" i="5" s="1"/>
  <c r="O100" i="6"/>
  <c r="N100" i="6"/>
  <c r="I101" i="6"/>
  <c r="K101" i="6"/>
  <c r="H101" i="6"/>
  <c r="J101" i="6"/>
  <c r="L101" i="6" s="1" a="1"/>
  <c r="L101" i="6" s="1"/>
  <c r="G102" i="6"/>
  <c r="E102" i="6"/>
  <c r="M101" i="6"/>
  <c r="L153" i="5" a="1"/>
  <c r="L153" i="5" s="1"/>
  <c r="I153" i="5"/>
  <c r="Q154" i="5"/>
  <c r="H154" i="5"/>
  <c r="I154" i="5"/>
  <c r="M153" i="5"/>
  <c r="E155" i="5" a="1"/>
  <c r="E155" i="5" s="1"/>
  <c r="F155" i="5" s="1"/>
  <c r="G155" i="5" a="1"/>
  <c r="G155" i="5" s="1"/>
  <c r="K156" i="5" s="1" a="1"/>
  <c r="K156" i="5" s="1"/>
  <c r="K102" i="6" l="1"/>
  <c r="I102" i="6"/>
  <c r="H102" i="6"/>
  <c r="J102" i="6"/>
  <c r="E103" i="6"/>
  <c r="F103" i="6" s="1"/>
  <c r="G103" i="6"/>
  <c r="M102" i="6"/>
  <c r="G104" i="6" a="1"/>
  <c r="G104" i="6" s="1"/>
  <c r="F102" i="6"/>
  <c r="E104" i="6" a="1"/>
  <c r="E104" i="6" s="1"/>
  <c r="F104" i="6" s="1"/>
  <c r="O101" i="6"/>
  <c r="N101" i="6"/>
  <c r="M154" i="5"/>
  <c r="M155" i="5" s="1"/>
  <c r="E28" i="9" s="1"/>
  <c r="I155" i="5"/>
  <c r="L154" i="5" a="1"/>
  <c r="L154" i="5" s="1"/>
  <c r="Q155" i="5"/>
  <c r="G156" i="5"/>
  <c r="J156" i="5" s="1" a="1"/>
  <c r="J156" i="5" s="1"/>
  <c r="N156" i="5" s="1"/>
  <c r="H155" i="5"/>
  <c r="O156" i="5" l="1"/>
  <c r="L102" i="6" a="1"/>
  <c r="L102" i="6" s="1"/>
  <c r="H104" i="6"/>
  <c r="G105" i="6"/>
  <c r="E105" i="6"/>
  <c r="I103" i="6"/>
  <c r="M103" i="6"/>
  <c r="M104" i="6" s="1"/>
  <c r="K103" i="6"/>
  <c r="H103" i="6"/>
  <c r="J103" i="6"/>
  <c r="I104" i="6"/>
  <c r="O102" i="6"/>
  <c r="N102" i="6"/>
  <c r="L10" i="9"/>
  <c r="Q156" i="5"/>
  <c r="L156" i="5" a="1"/>
  <c r="L156" i="5" s="1"/>
  <c r="G157" i="5"/>
  <c r="J157" i="5" s="1"/>
  <c r="N157" i="5" s="1"/>
  <c r="H156" i="5"/>
  <c r="E156" i="5"/>
  <c r="K157" i="5" l="1"/>
  <c r="O157" i="5" s="1"/>
  <c r="L103" i="6" a="1"/>
  <c r="L103" i="6" s="1"/>
  <c r="N103" i="6"/>
  <c r="O103" i="6"/>
  <c r="K105" i="6" a="1"/>
  <c r="K105" i="6" s="1"/>
  <c r="E106" i="6"/>
  <c r="F106" i="6" s="1"/>
  <c r="G106" i="6"/>
  <c r="J105" i="6" a="1"/>
  <c r="J105" i="6" s="1"/>
  <c r="I105" i="6"/>
  <c r="H105" i="6"/>
  <c r="M105" i="6"/>
  <c r="F105" i="6"/>
  <c r="K12" i="5"/>
  <c r="F156" i="5"/>
  <c r="H157" i="5"/>
  <c r="Q157" i="5"/>
  <c r="G158" i="5"/>
  <c r="E157" i="5"/>
  <c r="F157" i="5" s="1"/>
  <c r="I156" i="5"/>
  <c r="M156" i="5" s="1"/>
  <c r="E158" i="5" l="1"/>
  <c r="F158" i="5" s="1"/>
  <c r="J158" i="5"/>
  <c r="N158" i="5" s="1"/>
  <c r="K158" i="5"/>
  <c r="O158" i="5" s="1"/>
  <c r="L105" i="6" a="1"/>
  <c r="L105" i="6" s="1"/>
  <c r="K106" i="6"/>
  <c r="G107" i="6"/>
  <c r="H106" i="6"/>
  <c r="J106" i="6"/>
  <c r="M106" i="6"/>
  <c r="E107" i="6"/>
  <c r="I106" i="6"/>
  <c r="N105" i="6"/>
  <c r="O105" i="6"/>
  <c r="L157" i="5" a="1"/>
  <c r="L157" i="5" s="1"/>
  <c r="I157" i="5"/>
  <c r="Q158" i="5"/>
  <c r="H158" i="5"/>
  <c r="I158" i="5"/>
  <c r="G159" i="5"/>
  <c r="J159" i="5" s="1"/>
  <c r="N159" i="5" s="1"/>
  <c r="K159" i="5" l="1"/>
  <c r="O159" i="5" s="1"/>
  <c r="L106" i="6" a="1"/>
  <c r="L106" i="6" s="1"/>
  <c r="F107" i="6"/>
  <c r="H107" i="6"/>
  <c r="J107" i="6"/>
  <c r="E108" i="6"/>
  <c r="F108" i="6" s="1"/>
  <c r="G108" i="6"/>
  <c r="I107" i="6"/>
  <c r="M107" i="6"/>
  <c r="K107" i="6"/>
  <c r="N106" i="6"/>
  <c r="O106" i="6"/>
  <c r="M157" i="5"/>
  <c r="Q159" i="5"/>
  <c r="G160" i="5"/>
  <c r="H159" i="5"/>
  <c r="L158" i="5" a="1"/>
  <c r="L158" i="5" s="1"/>
  <c r="M158" i="5" s="1"/>
  <c r="E159" i="5"/>
  <c r="I159" i="5" s="1"/>
  <c r="E160" i="5" l="1"/>
  <c r="F160" i="5" s="1"/>
  <c r="J160" i="5"/>
  <c r="N160" i="5" s="1"/>
  <c r="K160" i="5"/>
  <c r="O160" i="5" s="1"/>
  <c r="J108" i="6"/>
  <c r="E109" i="6"/>
  <c r="F109" i="6" s="1"/>
  <c r="K108" i="6"/>
  <c r="I108" i="6"/>
  <c r="H108" i="6"/>
  <c r="M108" i="6"/>
  <c r="G109" i="6"/>
  <c r="L107" i="6" a="1"/>
  <c r="L107" i="6" s="1"/>
  <c r="O107" i="6"/>
  <c r="N107" i="6"/>
  <c r="L159" i="5" a="1"/>
  <c r="L159" i="5" s="1"/>
  <c r="M159" i="5" s="1"/>
  <c r="H160" i="5"/>
  <c r="Q160" i="5"/>
  <c r="I160" i="5"/>
  <c r="G161" i="5"/>
  <c r="F159" i="5"/>
  <c r="M160" i="5" l="1"/>
  <c r="J161" i="5"/>
  <c r="N161" i="5" s="1"/>
  <c r="K161" i="5"/>
  <c r="O161" i="5" s="1"/>
  <c r="J109" i="6"/>
  <c r="M109" i="6"/>
  <c r="E110" i="6"/>
  <c r="G110" i="6"/>
  <c r="K109" i="6"/>
  <c r="I109" i="6"/>
  <c r="H109" i="6"/>
  <c r="G111" i="6" a="1"/>
  <c r="G111" i="6" s="1"/>
  <c r="O108" i="6"/>
  <c r="N108" i="6"/>
  <c r="L108" i="6" a="1"/>
  <c r="L108" i="6" s="1"/>
  <c r="H161" i="5"/>
  <c r="Q161" i="5"/>
  <c r="G162" i="5"/>
  <c r="E161" i="5"/>
  <c r="L160" i="5" a="1"/>
  <c r="L160" i="5" s="1"/>
  <c r="M161" i="5" l="1"/>
  <c r="K162" i="5"/>
  <c r="O162" i="5" s="1"/>
  <c r="J162" i="5"/>
  <c r="N162" i="5" s="1"/>
  <c r="H111" i="6"/>
  <c r="E112" i="6"/>
  <c r="G112" i="6"/>
  <c r="J110" i="6"/>
  <c r="H110" i="6"/>
  <c r="M110" i="6"/>
  <c r="M111" i="6" s="1"/>
  <c r="K110" i="6"/>
  <c r="I110" i="6"/>
  <c r="I111" i="6" s="1"/>
  <c r="O109" i="6"/>
  <c r="N109" i="6"/>
  <c r="F110" i="6"/>
  <c r="E111" i="6" a="1"/>
  <c r="E111" i="6" s="1"/>
  <c r="F111" i="6" s="1"/>
  <c r="L109" i="6" a="1"/>
  <c r="L109" i="6" s="1"/>
  <c r="L161" i="5" a="1"/>
  <c r="L161" i="5" s="1"/>
  <c r="H162" i="5"/>
  <c r="Q162" i="5"/>
  <c r="F161" i="5"/>
  <c r="I161" i="5"/>
  <c r="E162" i="5"/>
  <c r="F162" i="5" s="1"/>
  <c r="G163" i="5" a="1"/>
  <c r="G163" i="5" s="1"/>
  <c r="K164" i="5" l="1" a="1"/>
  <c r="K164" i="5" s="1"/>
  <c r="L110" i="6" a="1"/>
  <c r="L110" i="6" s="1"/>
  <c r="F112" i="6"/>
  <c r="O110" i="6"/>
  <c r="N110" i="6"/>
  <c r="K112" i="6" a="1"/>
  <c r="K112" i="6" s="1"/>
  <c r="G113" i="6"/>
  <c r="H112" i="6"/>
  <c r="E113" i="6"/>
  <c r="F113" i="6" s="1"/>
  <c r="J112" i="6" a="1"/>
  <c r="J112" i="6" s="1"/>
  <c r="I112" i="6"/>
  <c r="M112" i="6"/>
  <c r="M162" i="5"/>
  <c r="M163" i="5" s="1"/>
  <c r="E29" i="9" s="1"/>
  <c r="M10" i="9" s="1"/>
  <c r="L162" i="5" a="1"/>
  <c r="L162" i="5" s="1"/>
  <c r="E163" i="5" a="1"/>
  <c r="E163" i="5" s="1"/>
  <c r="F163" i="5" s="1"/>
  <c r="H163" i="5"/>
  <c r="G164" i="5"/>
  <c r="J164" i="5" s="1" a="1"/>
  <c r="J164" i="5" s="1"/>
  <c r="N164" i="5" s="1"/>
  <c r="Q163" i="5"/>
  <c r="I162" i="5"/>
  <c r="I163" i="5" s="1"/>
  <c r="O164" i="5" l="1"/>
  <c r="L112" i="6" a="1"/>
  <c r="L112" i="6" s="1"/>
  <c r="N112" i="6"/>
  <c r="O112" i="6"/>
  <c r="I113" i="6"/>
  <c r="M113" i="6"/>
  <c r="J113" i="6"/>
  <c r="K113" i="6"/>
  <c r="G114" i="6"/>
  <c r="H113" i="6"/>
  <c r="E114" i="6"/>
  <c r="F114" i="6" s="1"/>
  <c r="L12" i="5"/>
  <c r="M12" i="5" s="1"/>
  <c r="N10" i="9"/>
  <c r="H164" i="5"/>
  <c r="G165" i="5"/>
  <c r="K165" i="5" s="1"/>
  <c r="O165" i="5" s="1"/>
  <c r="L164" i="5" a="1"/>
  <c r="L164" i="5" s="1"/>
  <c r="Q164" i="5"/>
  <c r="E164" i="5"/>
  <c r="J165" i="5" l="1"/>
  <c r="N165" i="5" s="1"/>
  <c r="L113" i="6" a="1"/>
  <c r="L113" i="6" s="1"/>
  <c r="M114" i="6"/>
  <c r="E115" i="6"/>
  <c r="F115" i="6" s="1"/>
  <c r="K114" i="6"/>
  <c r="J114" i="6"/>
  <c r="I114" i="6"/>
  <c r="H114" i="6"/>
  <c r="G115" i="6"/>
  <c r="N113" i="6"/>
  <c r="O113" i="6"/>
  <c r="F164" i="5"/>
  <c r="I164" i="5"/>
  <c r="M164" i="5" s="1"/>
  <c r="Q165" i="5"/>
  <c r="H165" i="5"/>
  <c r="G166" i="5"/>
  <c r="K166" i="5" s="1"/>
  <c r="O166" i="5" s="1"/>
  <c r="E165" i="5"/>
  <c r="F165" i="5" s="1"/>
  <c r="J166" i="5" l="1"/>
  <c r="N166" i="5" s="1"/>
  <c r="L114" i="6" a="1"/>
  <c r="L114" i="6" s="1"/>
  <c r="K115" i="6"/>
  <c r="E116" i="6"/>
  <c r="M115" i="6"/>
  <c r="J115" i="6"/>
  <c r="H115" i="6"/>
  <c r="I115" i="6"/>
  <c r="G116" i="6"/>
  <c r="O114" i="6"/>
  <c r="N114" i="6"/>
  <c r="H166" i="5"/>
  <c r="G167" i="5"/>
  <c r="E167" i="5" s="1"/>
  <c r="F167" i="5" s="1"/>
  <c r="Q166" i="5"/>
  <c r="L165" i="5" a="1"/>
  <c r="L165" i="5" s="1"/>
  <c r="E166" i="5"/>
  <c r="F166" i="5" s="1"/>
  <c r="I165" i="5"/>
  <c r="M165" i="5" l="1"/>
  <c r="J167" i="5"/>
  <c r="N167" i="5" s="1"/>
  <c r="K167" i="5"/>
  <c r="L115" i="6" a="1"/>
  <c r="L115" i="6" s="1"/>
  <c r="F116" i="6"/>
  <c r="I116" i="6"/>
  <c r="M116" i="6"/>
  <c r="K116" i="6"/>
  <c r="G117" i="6"/>
  <c r="J116" i="6"/>
  <c r="L116" i="6" s="1" a="1"/>
  <c r="L116" i="6" s="1"/>
  <c r="E117" i="6"/>
  <c r="F117" i="6" s="1"/>
  <c r="H116" i="6"/>
  <c r="G118" i="6" a="1"/>
  <c r="G118" i="6" s="1"/>
  <c r="N115" i="6"/>
  <c r="O115" i="6"/>
  <c r="I167" i="5"/>
  <c r="Q167" i="5"/>
  <c r="H167" i="5"/>
  <c r="G168" i="5"/>
  <c r="I166" i="5"/>
  <c r="L166" i="5" a="1"/>
  <c r="L166" i="5" s="1"/>
  <c r="M166" i="5" l="1"/>
  <c r="M167" i="5"/>
  <c r="O167" i="5"/>
  <c r="K168" i="5"/>
  <c r="O168" i="5" s="1"/>
  <c r="J168" i="5"/>
  <c r="N168" i="5" s="1"/>
  <c r="E119" i="6"/>
  <c r="G119" i="6"/>
  <c r="H118" i="6"/>
  <c r="K117" i="6"/>
  <c r="I117" i="6"/>
  <c r="I118" i="6" s="1"/>
  <c r="H117" i="6"/>
  <c r="M117" i="6"/>
  <c r="M118" i="6" s="1"/>
  <c r="J117" i="6"/>
  <c r="L117" i="6" s="1" a="1"/>
  <c r="L117" i="6" s="1"/>
  <c r="E118" i="6" a="1"/>
  <c r="E118" i="6" s="1"/>
  <c r="F118" i="6" s="1"/>
  <c r="O116" i="6"/>
  <c r="N116" i="6"/>
  <c r="L167" i="5" a="1"/>
  <c r="L167" i="5" s="1"/>
  <c r="G169" i="5"/>
  <c r="Q168" i="5"/>
  <c r="H168" i="5"/>
  <c r="E168" i="5"/>
  <c r="J169" i="5" l="1"/>
  <c r="N169" i="5" s="1"/>
  <c r="K169" i="5"/>
  <c r="O117" i="6"/>
  <c r="N117" i="6"/>
  <c r="K119" i="6" a="1"/>
  <c r="K119" i="6" s="1"/>
  <c r="J119" i="6" a="1"/>
  <c r="J119" i="6" s="1"/>
  <c r="I119" i="6"/>
  <c r="E120" i="6"/>
  <c r="F120" i="6" s="1"/>
  <c r="H119" i="6"/>
  <c r="M119" i="6"/>
  <c r="G120" i="6"/>
  <c r="F119" i="6"/>
  <c r="L168" i="5" a="1"/>
  <c r="L168" i="5" s="1"/>
  <c r="Q169" i="5"/>
  <c r="H169" i="5"/>
  <c r="G170" i="5"/>
  <c r="K170" i="5" s="1"/>
  <c r="M168" i="5"/>
  <c r="F168" i="5"/>
  <c r="E169" i="5"/>
  <c r="F169" i="5" s="1"/>
  <c r="I168" i="5"/>
  <c r="O170" i="5" l="1"/>
  <c r="M169" i="5"/>
  <c r="O169" i="5"/>
  <c r="J170" i="5"/>
  <c r="N170" i="5" s="1"/>
  <c r="E121" i="6"/>
  <c r="F121" i="6" s="1"/>
  <c r="I120" i="6"/>
  <c r="M120" i="6"/>
  <c r="K120" i="6"/>
  <c r="G121" i="6"/>
  <c r="J120" i="6"/>
  <c r="L120" i="6" s="1" a="1"/>
  <c r="L120" i="6" s="1"/>
  <c r="H120" i="6"/>
  <c r="L119" i="6" a="1"/>
  <c r="L119" i="6" s="1"/>
  <c r="O119" i="6"/>
  <c r="N119" i="6"/>
  <c r="L169" i="5" a="1"/>
  <c r="L169" i="5" s="1"/>
  <c r="Q170" i="5"/>
  <c r="H170" i="5"/>
  <c r="G171" i="5" a="1"/>
  <c r="G171" i="5" s="1"/>
  <c r="K172" i="5" s="1" a="1"/>
  <c r="K172" i="5" s="1"/>
  <c r="I169" i="5"/>
  <c r="E170" i="5"/>
  <c r="I170" i="5" s="1"/>
  <c r="J121" i="6" l="1"/>
  <c r="K121" i="6"/>
  <c r="E122" i="6"/>
  <c r="I121" i="6"/>
  <c r="H121" i="6"/>
  <c r="M121" i="6"/>
  <c r="G122" i="6"/>
  <c r="N120" i="6"/>
  <c r="O120" i="6"/>
  <c r="L170" i="5" a="1"/>
  <c r="L170" i="5" s="1"/>
  <c r="I171" i="5"/>
  <c r="Q171" i="5"/>
  <c r="G172" i="5"/>
  <c r="J172" i="5" s="1" a="1"/>
  <c r="J172" i="5" s="1"/>
  <c r="N172" i="5" s="1"/>
  <c r="H171" i="5"/>
  <c r="F170" i="5"/>
  <c r="E171" i="5" a="1"/>
  <c r="E171" i="5" s="1"/>
  <c r="F171" i="5" s="1"/>
  <c r="M170" i="5"/>
  <c r="M171" i="5" s="1"/>
  <c r="E30" i="9" s="1"/>
  <c r="O172" i="5" l="1"/>
  <c r="L121" i="6" a="1"/>
  <c r="L121" i="6" s="1"/>
  <c r="N121" i="6"/>
  <c r="O121" i="6"/>
  <c r="M122" i="6"/>
  <c r="H122" i="6"/>
  <c r="J122" i="6"/>
  <c r="E123" i="6"/>
  <c r="F123" i="6" s="1"/>
  <c r="G123" i="6"/>
  <c r="I122" i="6"/>
  <c r="K122" i="6"/>
  <c r="F122" i="6"/>
  <c r="L11" i="9"/>
  <c r="Q172" i="5"/>
  <c r="L172" i="5" a="1"/>
  <c r="L172" i="5" s="1"/>
  <c r="G173" i="5"/>
  <c r="K173" i="5" s="1"/>
  <c r="O173" i="5" s="1"/>
  <c r="H172" i="5"/>
  <c r="E172" i="5"/>
  <c r="J173" i="5" l="1"/>
  <c r="N173" i="5" s="1"/>
  <c r="N122" i="6"/>
  <c r="O122" i="6"/>
  <c r="E124" i="6"/>
  <c r="K123" i="6"/>
  <c r="M123" i="6"/>
  <c r="J123" i="6"/>
  <c r="L123" i="6" s="1" a="1"/>
  <c r="L123" i="6" s="1"/>
  <c r="I123" i="6"/>
  <c r="G124" i="6"/>
  <c r="H123" i="6"/>
  <c r="G125" i="6" a="1"/>
  <c r="G125" i="6" s="1"/>
  <c r="L122" i="6" a="1"/>
  <c r="L122" i="6" s="1"/>
  <c r="K13" i="5"/>
  <c r="F172" i="5"/>
  <c r="G174" i="5"/>
  <c r="K174" i="5" s="1"/>
  <c r="O174" i="5" s="1"/>
  <c r="Q173" i="5"/>
  <c r="H173" i="5"/>
  <c r="E173" i="5"/>
  <c r="F173" i="5" s="1"/>
  <c r="I172" i="5"/>
  <c r="M172" i="5" s="1"/>
  <c r="J174" i="5" l="1"/>
  <c r="N174" i="5" s="1"/>
  <c r="G126" i="6"/>
  <c r="H125" i="6"/>
  <c r="E126" i="6"/>
  <c r="F124" i="6"/>
  <c r="E125" i="6" a="1"/>
  <c r="E125" i="6" s="1"/>
  <c r="F125" i="6" s="1"/>
  <c r="K124" i="6"/>
  <c r="J124" i="6"/>
  <c r="H124" i="6"/>
  <c r="I124" i="6"/>
  <c r="I125" i="6" s="1"/>
  <c r="M124" i="6"/>
  <c r="M125" i="6" s="1"/>
  <c r="N123" i="6"/>
  <c r="O123" i="6"/>
  <c r="K126" i="6" a="1"/>
  <c r="K126" i="6" s="1"/>
  <c r="L173" i="5" a="1"/>
  <c r="L173" i="5" s="1"/>
  <c r="Q174" i="5"/>
  <c r="H174" i="5"/>
  <c r="G175" i="5"/>
  <c r="K175" i="5" s="1"/>
  <c r="O175" i="5" s="1"/>
  <c r="I173" i="5"/>
  <c r="E174" i="5"/>
  <c r="F174" i="5" s="1"/>
  <c r="M173" i="5"/>
  <c r="J175" i="5" l="1"/>
  <c r="N175" i="5" s="1"/>
  <c r="L124" i="6" a="1"/>
  <c r="L124" i="6" s="1"/>
  <c r="O126" i="6"/>
  <c r="N126" i="6"/>
  <c r="O124" i="6"/>
  <c r="N124" i="6"/>
  <c r="F126" i="6"/>
  <c r="J126" i="6" a="1"/>
  <c r="J126" i="6" s="1"/>
  <c r="L126" i="6" s="1" a="1"/>
  <c r="L126" i="6" s="1"/>
  <c r="H126" i="6"/>
  <c r="E127" i="6"/>
  <c r="F127" i="6" s="1"/>
  <c r="G127" i="6"/>
  <c r="I126" i="6"/>
  <c r="M126" i="6"/>
  <c r="L174" i="5" a="1"/>
  <c r="L174" i="5" s="1"/>
  <c r="Q175" i="5"/>
  <c r="G176" i="5"/>
  <c r="K176" i="5" s="1"/>
  <c r="O176" i="5" s="1"/>
  <c r="H175" i="5"/>
  <c r="I174" i="5"/>
  <c r="M174" i="5" s="1"/>
  <c r="E175" i="5"/>
  <c r="J176" i="5" l="1"/>
  <c r="N176" i="5" s="1"/>
  <c r="H127" i="6"/>
  <c r="E128" i="6"/>
  <c r="F128" i="6" s="1"/>
  <c r="G128" i="6"/>
  <c r="K127" i="6"/>
  <c r="J127" i="6"/>
  <c r="I127" i="6"/>
  <c r="M127" i="6"/>
  <c r="L175" i="5" a="1"/>
  <c r="L175" i="5" s="1"/>
  <c r="F175" i="5"/>
  <c r="I175" i="5"/>
  <c r="M175" i="5" s="1"/>
  <c r="Q176" i="5"/>
  <c r="H176" i="5"/>
  <c r="G177" i="5"/>
  <c r="K177" i="5" s="1"/>
  <c r="O177" i="5" s="1"/>
  <c r="E176" i="5"/>
  <c r="F176" i="5" s="1"/>
  <c r="J177" i="5" l="1"/>
  <c r="N177" i="5" s="1"/>
  <c r="L127" i="6" a="1"/>
  <c r="L127" i="6" s="1"/>
  <c r="I128" i="6"/>
  <c r="M128" i="6"/>
  <c r="K128" i="6"/>
  <c r="G129" i="6"/>
  <c r="E129" i="6"/>
  <c r="H128" i="6"/>
  <c r="J128" i="6"/>
  <c r="L128" i="6" s="1" a="1"/>
  <c r="L128" i="6" s="1"/>
  <c r="O127" i="6"/>
  <c r="N127" i="6"/>
  <c r="Q177" i="5"/>
  <c r="G178" i="5"/>
  <c r="K178" i="5" s="1"/>
  <c r="H177" i="5"/>
  <c r="I176" i="5"/>
  <c r="M176" i="5"/>
  <c r="E177" i="5"/>
  <c r="F177" i="5" s="1"/>
  <c r="L176" i="5" a="1"/>
  <c r="L176" i="5" s="1"/>
  <c r="O178" i="5" l="1"/>
  <c r="J178" i="5"/>
  <c r="N178" i="5" s="1"/>
  <c r="F129" i="6"/>
  <c r="N128" i="6"/>
  <c r="O128" i="6"/>
  <c r="I129" i="6"/>
  <c r="H129" i="6"/>
  <c r="G130" i="6"/>
  <c r="M129" i="6"/>
  <c r="J129" i="6"/>
  <c r="E130" i="6"/>
  <c r="F130" i="6" s="1"/>
  <c r="K129" i="6"/>
  <c r="L177" i="5" a="1"/>
  <c r="L177" i="5" s="1"/>
  <c r="G179" i="5" a="1"/>
  <c r="G179" i="5" s="1"/>
  <c r="G180" i="5" s="1"/>
  <c r="J180" i="5" s="1" a="1"/>
  <c r="J180" i="5" s="1"/>
  <c r="N180" i="5" s="1"/>
  <c r="Q178" i="5"/>
  <c r="H178" i="5"/>
  <c r="I177" i="5"/>
  <c r="M177" i="5"/>
  <c r="E178" i="5"/>
  <c r="K180" i="5" l="1" a="1"/>
  <c r="K180" i="5" s="1"/>
  <c r="O180" i="5" s="1"/>
  <c r="H179" i="5"/>
  <c r="O129" i="6"/>
  <c r="N129" i="6"/>
  <c r="L129" i="6" a="1"/>
  <c r="L129" i="6" s="1"/>
  <c r="K130" i="6"/>
  <c r="G131" i="6"/>
  <c r="J130" i="6"/>
  <c r="L130" i="6" s="1" a="1"/>
  <c r="L130" i="6" s="1"/>
  <c r="I130" i="6"/>
  <c r="M130" i="6"/>
  <c r="E131" i="6"/>
  <c r="F131" i="6" s="1"/>
  <c r="H130" i="6"/>
  <c r="G132" i="6" a="1"/>
  <c r="G132" i="6" s="1"/>
  <c r="E132" i="6" a="1"/>
  <c r="E132" i="6" s="1"/>
  <c r="F132" i="6" s="1"/>
  <c r="M178" i="5"/>
  <c r="M179" i="5" s="1"/>
  <c r="E31" i="9" s="1"/>
  <c r="Q179" i="5"/>
  <c r="E180" i="5"/>
  <c r="F180" i="5" s="1"/>
  <c r="F178" i="5"/>
  <c r="E179" i="5" a="1"/>
  <c r="E179" i="5" s="1"/>
  <c r="F179" i="5" s="1"/>
  <c r="L178" i="5" a="1"/>
  <c r="L178" i="5" s="1"/>
  <c r="Q180" i="5"/>
  <c r="G181" i="5"/>
  <c r="H180" i="5"/>
  <c r="I178" i="5"/>
  <c r="I179" i="5" s="1"/>
  <c r="K181" i="5" l="1"/>
  <c r="O181" i="5" s="1"/>
  <c r="J181" i="5"/>
  <c r="N181" i="5" s="1"/>
  <c r="N130" i="6"/>
  <c r="O130" i="6"/>
  <c r="E133" i="6"/>
  <c r="G133" i="6"/>
  <c r="H132" i="6"/>
  <c r="I131" i="6"/>
  <c r="I132" i="6" s="1"/>
  <c r="J131" i="6"/>
  <c r="K131" i="6"/>
  <c r="M131" i="6"/>
  <c r="M132" i="6" s="1"/>
  <c r="H131" i="6"/>
  <c r="I180" i="5"/>
  <c r="M11" i="9"/>
  <c r="L180" i="5" a="1"/>
  <c r="L180" i="5" s="1"/>
  <c r="Q181" i="5"/>
  <c r="H181" i="5"/>
  <c r="G182" i="5"/>
  <c r="E182" i="5" s="1"/>
  <c r="F182" i="5" s="1"/>
  <c r="E181" i="5"/>
  <c r="J182" i="5" l="1"/>
  <c r="N182" i="5" s="1"/>
  <c r="K182" i="5"/>
  <c r="O182" i="5" s="1"/>
  <c r="L131" i="6" a="1"/>
  <c r="L131" i="6" s="1"/>
  <c r="F133" i="6"/>
  <c r="N131" i="6"/>
  <c r="O131" i="6"/>
  <c r="J133" i="6" a="1"/>
  <c r="J133" i="6" s="1"/>
  <c r="E134" i="6"/>
  <c r="F134" i="6" s="1"/>
  <c r="H133" i="6"/>
  <c r="M133" i="6"/>
  <c r="G134" i="6"/>
  <c r="I133" i="6"/>
  <c r="K133" i="6" a="1"/>
  <c r="K133" i="6" s="1"/>
  <c r="M180" i="5"/>
  <c r="L13" i="5"/>
  <c r="M13" i="5" s="1"/>
  <c r="N11" i="9"/>
  <c r="F181" i="5"/>
  <c r="I182" i="5"/>
  <c r="G183" i="5"/>
  <c r="E183" i="5" s="1"/>
  <c r="Q182" i="5"/>
  <c r="H182" i="5"/>
  <c r="I181" i="5"/>
  <c r="L181" i="5" a="1"/>
  <c r="L181" i="5" s="1"/>
  <c r="K183" i="5" l="1"/>
  <c r="O183" i="5" s="1"/>
  <c r="J183" i="5"/>
  <c r="N183" i="5" s="1"/>
  <c r="M183" i="5"/>
  <c r="E135" i="6"/>
  <c r="F135" i="6" s="1"/>
  <c r="I134" i="6"/>
  <c r="H134" i="6"/>
  <c r="K134" i="6"/>
  <c r="M134" i="6"/>
  <c r="J134" i="6"/>
  <c r="L134" i="6" s="1" a="1"/>
  <c r="L134" i="6" s="1"/>
  <c r="G135" i="6"/>
  <c r="L133" i="6" a="1"/>
  <c r="L133" i="6" s="1"/>
  <c r="N133" i="6"/>
  <c r="O133" i="6"/>
  <c r="M181" i="5"/>
  <c r="L182" i="5" a="1"/>
  <c r="L182" i="5" s="1"/>
  <c r="M182" i="5" s="1"/>
  <c r="F183" i="5"/>
  <c r="I183" i="5"/>
  <c r="Q183" i="5"/>
  <c r="H183" i="5"/>
  <c r="G184" i="5"/>
  <c r="J184" i="5" l="1"/>
  <c r="N184" i="5" s="1"/>
  <c r="K184" i="5"/>
  <c r="O134" i="6"/>
  <c r="N134" i="6"/>
  <c r="E136" i="6"/>
  <c r="M135" i="6"/>
  <c r="I135" i="6"/>
  <c r="J135" i="6"/>
  <c r="K135" i="6"/>
  <c r="G136" i="6"/>
  <c r="H135" i="6"/>
  <c r="L183" i="5" a="1"/>
  <c r="L183" i="5" s="1"/>
  <c r="H184" i="5"/>
  <c r="G185" i="5"/>
  <c r="Q184" i="5"/>
  <c r="E184" i="5"/>
  <c r="M184" i="5" l="1"/>
  <c r="O184" i="5"/>
  <c r="K185" i="5"/>
  <c r="J185" i="5"/>
  <c r="N185" i="5" s="1"/>
  <c r="L135" i="6" a="1"/>
  <c r="L135" i="6" s="1"/>
  <c r="J136" i="6"/>
  <c r="G137" i="6"/>
  <c r="K136" i="6"/>
  <c r="E137" i="6"/>
  <c r="F137" i="6" s="1"/>
  <c r="M136" i="6"/>
  <c r="I136" i="6"/>
  <c r="H136" i="6"/>
  <c r="O135" i="6"/>
  <c r="N135" i="6"/>
  <c r="F136" i="6"/>
  <c r="L184" i="5" a="1"/>
  <c r="L184" i="5" s="1"/>
  <c r="H185" i="5"/>
  <c r="G186" i="5"/>
  <c r="K186" i="5" s="1"/>
  <c r="O186" i="5" s="1"/>
  <c r="Q185" i="5"/>
  <c r="F184" i="5"/>
  <c r="I184" i="5"/>
  <c r="E185" i="5"/>
  <c r="F185" i="5" s="1"/>
  <c r="M185" i="5" l="1"/>
  <c r="O185" i="5"/>
  <c r="J186" i="5"/>
  <c r="N186" i="5" s="1"/>
  <c r="E186" i="5"/>
  <c r="F186" i="5" s="1"/>
  <c r="M137" i="6"/>
  <c r="J137" i="6"/>
  <c r="I137" i="6"/>
  <c r="K137" i="6"/>
  <c r="H137" i="6"/>
  <c r="E138" i="6"/>
  <c r="G138" i="6"/>
  <c r="G139" i="6" a="1"/>
  <c r="G139" i="6" s="1"/>
  <c r="O136" i="6"/>
  <c r="N136" i="6"/>
  <c r="L136" i="6" a="1"/>
  <c r="L136" i="6" s="1"/>
  <c r="G187" i="5" a="1"/>
  <c r="G187" i="5" s="1"/>
  <c r="G188" i="5" s="1"/>
  <c r="J188" i="5" s="1" a="1"/>
  <c r="J188" i="5" s="1"/>
  <c r="N188" i="5" s="1"/>
  <c r="L185" i="5" a="1"/>
  <c r="L185" i="5" s="1"/>
  <c r="I185" i="5"/>
  <c r="Q186" i="5"/>
  <c r="I186" i="5"/>
  <c r="H186" i="5"/>
  <c r="K188" i="5" l="1" a="1"/>
  <c r="K188" i="5" s="1"/>
  <c r="O188" i="5" s="1"/>
  <c r="E187" i="5" a="1"/>
  <c r="E187" i="5" s="1"/>
  <c r="F187" i="5" s="1"/>
  <c r="H139" i="6"/>
  <c r="G140" i="6"/>
  <c r="E140" i="6"/>
  <c r="F138" i="6"/>
  <c r="E139" i="6" a="1"/>
  <c r="E139" i="6" s="1"/>
  <c r="F139" i="6" s="1"/>
  <c r="N137" i="6"/>
  <c r="O137" i="6"/>
  <c r="L137" i="6" a="1"/>
  <c r="L137" i="6" s="1"/>
  <c r="H138" i="6"/>
  <c r="K138" i="6"/>
  <c r="J138" i="6"/>
  <c r="I138" i="6"/>
  <c r="M138" i="6"/>
  <c r="I139" i="6"/>
  <c r="M139" i="6"/>
  <c r="M186" i="5"/>
  <c r="M187" i="5" s="1"/>
  <c r="E32" i="9" s="1"/>
  <c r="L12" i="9" s="1"/>
  <c r="K14" i="5" s="1"/>
  <c r="Q187" i="5"/>
  <c r="H187" i="5"/>
  <c r="I187" i="5"/>
  <c r="H188" i="5"/>
  <c r="Q188" i="5"/>
  <c r="G189" i="5"/>
  <c r="L186" i="5" a="1"/>
  <c r="L186" i="5" s="1"/>
  <c r="E188" i="5"/>
  <c r="K189" i="5" l="1"/>
  <c r="O189" i="5" s="1"/>
  <c r="J189" i="5"/>
  <c r="N189" i="5" s="1"/>
  <c r="L138" i="6" a="1"/>
  <c r="L138" i="6" s="1"/>
  <c r="N138" i="6"/>
  <c r="O138" i="6"/>
  <c r="K140" i="6" a="1"/>
  <c r="K140" i="6" s="1"/>
  <c r="J140" i="6" a="1"/>
  <c r="J140" i="6" s="1"/>
  <c r="H140" i="6"/>
  <c r="I140" i="6"/>
  <c r="M140" i="6"/>
  <c r="G141" i="6"/>
  <c r="E141" i="6"/>
  <c r="F141" i="6" s="1"/>
  <c r="F140" i="6"/>
  <c r="L188" i="5" a="1"/>
  <c r="L188" i="5" s="1"/>
  <c r="H189" i="5"/>
  <c r="G190" i="5"/>
  <c r="E190" i="5" s="1"/>
  <c r="Q189" i="5"/>
  <c r="E189" i="5"/>
  <c r="F189" i="5" s="1"/>
  <c r="F188" i="5"/>
  <c r="I188" i="5"/>
  <c r="M188" i="5" s="1"/>
  <c r="J190" i="5" l="1"/>
  <c r="N190" i="5" s="1"/>
  <c r="K190" i="5"/>
  <c r="O190" i="5" s="1"/>
  <c r="L140" i="6" a="1"/>
  <c r="L140" i="6" s="1"/>
  <c r="I141" i="6"/>
  <c r="G142" i="6"/>
  <c r="M141" i="6"/>
  <c r="K141" i="6"/>
  <c r="E142" i="6"/>
  <c r="J141" i="6"/>
  <c r="L141" i="6" s="1" a="1"/>
  <c r="L141" i="6" s="1"/>
  <c r="H141" i="6"/>
  <c r="N140" i="6"/>
  <c r="O140" i="6"/>
  <c r="F190" i="5"/>
  <c r="L189" i="5" a="1"/>
  <c r="L189" i="5" s="1"/>
  <c r="I190" i="5"/>
  <c r="H190" i="5"/>
  <c r="Q190" i="5"/>
  <c r="G191" i="5"/>
  <c r="E191" i="5" s="1"/>
  <c r="I189" i="5"/>
  <c r="M189" i="5" s="1"/>
  <c r="K191" i="5" l="1"/>
  <c r="O191" i="5" s="1"/>
  <c r="J191" i="5"/>
  <c r="N191" i="5" s="1"/>
  <c r="F142" i="6"/>
  <c r="N141" i="6"/>
  <c r="O141" i="6"/>
  <c r="I142" i="6"/>
  <c r="K142" i="6"/>
  <c r="G143" i="6"/>
  <c r="E143" i="6"/>
  <c r="F143" i="6" s="1"/>
  <c r="H142" i="6"/>
  <c r="M142" i="6"/>
  <c r="J142" i="6"/>
  <c r="L190" i="5" a="1"/>
  <c r="L190" i="5" s="1"/>
  <c r="M190" i="5" s="1"/>
  <c r="F191" i="5"/>
  <c r="H191" i="5"/>
  <c r="I191" i="5"/>
  <c r="G192" i="5"/>
  <c r="Q191" i="5"/>
  <c r="J192" i="5" l="1"/>
  <c r="N192" i="5" s="1"/>
  <c r="K192" i="5"/>
  <c r="L142" i="6" a="1"/>
  <c r="L142" i="6" s="1"/>
  <c r="M143" i="6"/>
  <c r="H143" i="6"/>
  <c r="I143" i="6"/>
  <c r="K143" i="6"/>
  <c r="J143" i="6"/>
  <c r="E144" i="6"/>
  <c r="F144" i="6" s="1"/>
  <c r="G144" i="6"/>
  <c r="N142" i="6"/>
  <c r="O142" i="6"/>
  <c r="Q192" i="5"/>
  <c r="H192" i="5"/>
  <c r="G193" i="5"/>
  <c r="E192" i="5"/>
  <c r="I192" i="5" s="1"/>
  <c r="L191" i="5" a="1"/>
  <c r="L191" i="5" s="1"/>
  <c r="M191" i="5" s="1"/>
  <c r="M192" i="5" l="1"/>
  <c r="O192" i="5"/>
  <c r="K193" i="5"/>
  <c r="O193" i="5" s="1"/>
  <c r="J193" i="5"/>
  <c r="N193" i="5" s="1"/>
  <c r="K144" i="6"/>
  <c r="G145" i="6"/>
  <c r="I144" i="6"/>
  <c r="H144" i="6"/>
  <c r="M144" i="6"/>
  <c r="E145" i="6"/>
  <c r="F145" i="6" s="1"/>
  <c r="J144" i="6"/>
  <c r="L144" i="6" s="1" a="1"/>
  <c r="L144" i="6" s="1"/>
  <c r="L143" i="6" a="1"/>
  <c r="L143" i="6" s="1"/>
  <c r="N143" i="6"/>
  <c r="O143" i="6"/>
  <c r="M193" i="5"/>
  <c r="H193" i="5"/>
  <c r="G194" i="5"/>
  <c r="K194" i="5" s="1"/>
  <c r="O194" i="5" s="1"/>
  <c r="Q193" i="5"/>
  <c r="E193" i="5"/>
  <c r="F193" i="5" s="1"/>
  <c r="L192" i="5" a="1"/>
  <c r="L192" i="5" s="1"/>
  <c r="F192" i="5"/>
  <c r="J194" i="5" l="1"/>
  <c r="N194" i="5" s="1"/>
  <c r="E194" i="5"/>
  <c r="E195" i="5" s="1" a="1"/>
  <c r="E195" i="5" s="1"/>
  <c r="F195" i="5" s="1"/>
  <c r="O144" i="6"/>
  <c r="N144" i="6"/>
  <c r="M145" i="6"/>
  <c r="M146" i="6" s="1"/>
  <c r="K145" i="6"/>
  <c r="I145" i="6"/>
  <c r="I146" i="6" s="1"/>
  <c r="J145" i="6"/>
  <c r="L145" i="6" s="1" a="1"/>
  <c r="L145" i="6" s="1"/>
  <c r="H145" i="6"/>
  <c r="G146" i="6" a="1"/>
  <c r="G146" i="6" s="1"/>
  <c r="E146" i="6" a="1"/>
  <c r="E146" i="6" s="1"/>
  <c r="F146" i="6" s="1"/>
  <c r="G195" i="5" a="1"/>
  <c r="G195" i="5" s="1"/>
  <c r="G196" i="5" s="1"/>
  <c r="J196" i="5" s="1" a="1"/>
  <c r="J196" i="5" s="1"/>
  <c r="N196" i="5" s="1"/>
  <c r="L193" i="5" a="1"/>
  <c r="L193" i="5" s="1"/>
  <c r="F194" i="5"/>
  <c r="I193" i="5"/>
  <c r="H194" i="5"/>
  <c r="I194" i="5"/>
  <c r="Q194" i="5"/>
  <c r="K196" i="5" l="1" a="1"/>
  <c r="K196" i="5" s="1"/>
  <c r="O196" i="5" s="1"/>
  <c r="E147" i="6"/>
  <c r="H146" i="6"/>
  <c r="G147" i="6"/>
  <c r="O145" i="6"/>
  <c r="N145" i="6"/>
  <c r="K147" i="6" a="1"/>
  <c r="K147" i="6" s="1"/>
  <c r="M194" i="5"/>
  <c r="M195" i="5" s="1"/>
  <c r="Q195" i="5"/>
  <c r="H195" i="5"/>
  <c r="I195" i="5"/>
  <c r="E33" i="9"/>
  <c r="M12" i="9" s="1"/>
  <c r="C9" i="5"/>
  <c r="H196" i="5"/>
  <c r="Q196" i="5"/>
  <c r="G197" i="5"/>
  <c r="L194" i="5" a="1"/>
  <c r="L194" i="5" s="1"/>
  <c r="E196" i="5"/>
  <c r="I196" i="5" s="1"/>
  <c r="K197" i="5" l="1"/>
  <c r="O197" i="5" s="1"/>
  <c r="J197" i="5"/>
  <c r="N197" i="5" s="1"/>
  <c r="N147" i="6"/>
  <c r="O147" i="6"/>
  <c r="G148" i="6"/>
  <c r="J147" i="6" a="1"/>
  <c r="J147" i="6" s="1"/>
  <c r="L147" i="6" s="1" a="1"/>
  <c r="L147" i="6" s="1"/>
  <c r="E148" i="6"/>
  <c r="F148" i="6" s="1"/>
  <c r="M147" i="6"/>
  <c r="H147" i="6"/>
  <c r="I147" i="6"/>
  <c r="F147" i="6"/>
  <c r="L14" i="5"/>
  <c r="M14" i="5" s="1"/>
  <c r="N12" i="9"/>
  <c r="L196" i="5" a="1"/>
  <c r="L196" i="5" s="1"/>
  <c r="M196" i="5" s="1"/>
  <c r="C10" i="11"/>
  <c r="C11" i="6"/>
  <c r="F196" i="5"/>
  <c r="H197" i="5"/>
  <c r="G198" i="5"/>
  <c r="Q197" i="5"/>
  <c r="E197" i="5"/>
  <c r="F197" i="5" s="1"/>
  <c r="J198" i="5" l="1"/>
  <c r="N198" i="5" s="1"/>
  <c r="K198" i="5"/>
  <c r="O198" i="5" s="1"/>
  <c r="H148" i="6"/>
  <c r="I148" i="6"/>
  <c r="J148" i="6"/>
  <c r="M148" i="6"/>
  <c r="K148" i="6"/>
  <c r="E149" i="6"/>
  <c r="G149" i="6"/>
  <c r="Q198" i="5"/>
  <c r="H198" i="5"/>
  <c r="G199" i="5"/>
  <c r="E198" i="5"/>
  <c r="F198" i="5" s="1"/>
  <c r="L197" i="5" a="1"/>
  <c r="L197" i="5" s="1"/>
  <c r="I197" i="5"/>
  <c r="M197" i="5" l="1"/>
  <c r="K199" i="5"/>
  <c r="J199" i="5"/>
  <c r="N199" i="5" s="1"/>
  <c r="F149" i="6"/>
  <c r="E150" i="6"/>
  <c r="F150" i="6" s="1"/>
  <c r="J149" i="6"/>
  <c r="H149" i="6"/>
  <c r="M149" i="6"/>
  <c r="K149" i="6"/>
  <c r="I149" i="6"/>
  <c r="G150" i="6"/>
  <c r="O148" i="6"/>
  <c r="N148" i="6"/>
  <c r="L148" i="6" a="1"/>
  <c r="L148" i="6" s="1"/>
  <c r="H199" i="5"/>
  <c r="G200" i="5"/>
  <c r="E200" i="5" s="1"/>
  <c r="F200" i="5" s="1"/>
  <c r="Q199" i="5"/>
  <c r="E199" i="5"/>
  <c r="I199" i="5" s="1"/>
  <c r="I198" i="5"/>
  <c r="L198" i="5" a="1"/>
  <c r="L198" i="5" s="1"/>
  <c r="M198" i="5" l="1"/>
  <c r="M199" i="5"/>
  <c r="O199" i="5"/>
  <c r="J200" i="5"/>
  <c r="N200" i="5" s="1"/>
  <c r="K200" i="5"/>
  <c r="L149" i="6" a="1"/>
  <c r="L149" i="6" s="1"/>
  <c r="E151" i="6"/>
  <c r="K150" i="6"/>
  <c r="M150" i="6"/>
  <c r="J150" i="6"/>
  <c r="I150" i="6"/>
  <c r="H150" i="6"/>
  <c r="G151" i="6"/>
  <c r="N149" i="6"/>
  <c r="O149" i="6"/>
  <c r="L199" i="5" a="1"/>
  <c r="L199" i="5" s="1"/>
  <c r="F199" i="5"/>
  <c r="H200" i="5"/>
  <c r="Q200" i="5"/>
  <c r="I200" i="5"/>
  <c r="G201" i="5"/>
  <c r="E201" i="5" s="1"/>
  <c r="M200" i="5" l="1"/>
  <c r="O200" i="5"/>
  <c r="L150" i="6" a="1"/>
  <c r="L150" i="6" s="1"/>
  <c r="K201" i="5"/>
  <c r="O201" i="5" s="1"/>
  <c r="J201" i="5"/>
  <c r="N201" i="5" s="1"/>
  <c r="M201" i="5"/>
  <c r="O150" i="6"/>
  <c r="N150" i="6"/>
  <c r="J151" i="6"/>
  <c r="E152" i="6"/>
  <c r="F152" i="6" s="1"/>
  <c r="M151" i="6"/>
  <c r="H151" i="6"/>
  <c r="I151" i="6"/>
  <c r="K151" i="6"/>
  <c r="G152" i="6"/>
  <c r="G153" i="6" a="1"/>
  <c r="G153" i="6" s="1"/>
  <c r="F151" i="6"/>
  <c r="E153" i="6" a="1"/>
  <c r="E153" i="6" s="1"/>
  <c r="F153" i="6" s="1"/>
  <c r="F201" i="5"/>
  <c r="H201" i="5"/>
  <c r="Q201" i="5"/>
  <c r="G202" i="5"/>
  <c r="K202" i="5" s="1"/>
  <c r="O202" i="5" s="1"/>
  <c r="I201" i="5"/>
  <c r="L200" i="5" a="1"/>
  <c r="L200" i="5" s="1"/>
  <c r="J202" i="5" l="1"/>
  <c r="N202" i="5" s="1"/>
  <c r="E154" i="6"/>
  <c r="H153" i="6"/>
  <c r="G154" i="6"/>
  <c r="O151" i="6"/>
  <c r="N151" i="6"/>
  <c r="M152" i="6"/>
  <c r="M153" i="6" s="1"/>
  <c r="H152" i="6"/>
  <c r="K152" i="6"/>
  <c r="K154" i="6" s="1" a="1"/>
  <c r="K154" i="6" s="1"/>
  <c r="I152" i="6"/>
  <c r="I153" i="6" s="1"/>
  <c r="J152" i="6"/>
  <c r="L152" i="6" s="1" a="1"/>
  <c r="L152" i="6" s="1"/>
  <c r="L151" i="6" a="1"/>
  <c r="L151" i="6" s="1"/>
  <c r="H202" i="5"/>
  <c r="Q202" i="5"/>
  <c r="G203" i="5" a="1"/>
  <c r="G203" i="5" s="1"/>
  <c r="K204" i="5" s="1" a="1"/>
  <c r="K204" i="5" s="1"/>
  <c r="L201" i="5" a="1"/>
  <c r="L201" i="5" s="1"/>
  <c r="E202" i="5"/>
  <c r="N154" i="6" l="1"/>
  <c r="O154" i="6"/>
  <c r="N152" i="6"/>
  <c r="O152" i="6"/>
  <c r="G155" i="6"/>
  <c r="M154" i="6"/>
  <c r="I154" i="6"/>
  <c r="J154" i="6" a="1"/>
  <c r="J154" i="6" s="1"/>
  <c r="L154" i="6" s="1" a="1"/>
  <c r="L154" i="6" s="1"/>
  <c r="E155" i="6"/>
  <c r="F155" i="6" s="1"/>
  <c r="H154" i="6"/>
  <c r="F154" i="6"/>
  <c r="M202" i="5"/>
  <c r="M203" i="5" s="1"/>
  <c r="E34" i="9" s="1"/>
  <c r="L13" i="9" s="1"/>
  <c r="K15" i="5" s="1"/>
  <c r="L202" i="5" a="1"/>
  <c r="L202" i="5" s="1"/>
  <c r="F202" i="5"/>
  <c r="E203" i="5" a="1"/>
  <c r="E203" i="5" s="1"/>
  <c r="F203" i="5" s="1"/>
  <c r="H203" i="5"/>
  <c r="G204" i="5"/>
  <c r="J204" i="5" s="1" a="1"/>
  <c r="J204" i="5" s="1"/>
  <c r="N204" i="5" s="1"/>
  <c r="Q203" i="5"/>
  <c r="I202" i="5"/>
  <c r="I203" i="5" s="1"/>
  <c r="O204" i="5" l="1"/>
  <c r="K155" i="6"/>
  <c r="H155" i="6"/>
  <c r="J155" i="6"/>
  <c r="M155" i="6"/>
  <c r="E156" i="6"/>
  <c r="G156" i="6"/>
  <c r="I155" i="6"/>
  <c r="L204" i="5" a="1"/>
  <c r="L204" i="5" s="1"/>
  <c r="Q204" i="5"/>
  <c r="H204" i="5"/>
  <c r="G205" i="5"/>
  <c r="K205" i="5" s="1"/>
  <c r="O205" i="5" s="1"/>
  <c r="E204" i="5"/>
  <c r="I204" i="5" s="1"/>
  <c r="M204" i="5" s="1"/>
  <c r="J205" i="5" l="1"/>
  <c r="N205" i="5" s="1"/>
  <c r="L155" i="6" a="1"/>
  <c r="L155" i="6" s="1"/>
  <c r="J156" i="6"/>
  <c r="G157" i="6"/>
  <c r="E157" i="6"/>
  <c r="F157" i="6" s="1"/>
  <c r="I156" i="6"/>
  <c r="K156" i="6"/>
  <c r="M156" i="6"/>
  <c r="H156" i="6"/>
  <c r="F156" i="6"/>
  <c r="N155" i="6"/>
  <c r="O155" i="6"/>
  <c r="E205" i="5"/>
  <c r="F205" i="5" s="1"/>
  <c r="Q205" i="5"/>
  <c r="G206" i="5"/>
  <c r="K206" i="5" s="1"/>
  <c r="O206" i="5" s="1"/>
  <c r="H205" i="5"/>
  <c r="F204" i="5"/>
  <c r="J206" i="5" l="1"/>
  <c r="N206" i="5" s="1"/>
  <c r="K157" i="6"/>
  <c r="E158" i="6"/>
  <c r="F158" i="6" s="1"/>
  <c r="J157" i="6"/>
  <c r="L157" i="6" s="1" a="1"/>
  <c r="L157" i="6" s="1"/>
  <c r="G158" i="6"/>
  <c r="H157" i="6"/>
  <c r="M157" i="6"/>
  <c r="I157" i="6"/>
  <c r="N156" i="6"/>
  <c r="O156" i="6"/>
  <c r="L156" i="6" a="1"/>
  <c r="L156" i="6" s="1"/>
  <c r="I205" i="5"/>
  <c r="L205" i="5" a="1"/>
  <c r="L205" i="5" s="1"/>
  <c r="Q206" i="5"/>
  <c r="G207" i="5"/>
  <c r="E207" i="5" s="1"/>
  <c r="F207" i="5" s="1"/>
  <c r="H206" i="5"/>
  <c r="E206" i="5"/>
  <c r="J207" i="5" l="1"/>
  <c r="N207" i="5" s="1"/>
  <c r="K207" i="5"/>
  <c r="O207" i="5" s="1"/>
  <c r="N157" i="6"/>
  <c r="O157" i="6"/>
  <c r="I158" i="6"/>
  <c r="H158" i="6"/>
  <c r="M158" i="6"/>
  <c r="J158" i="6"/>
  <c r="G159" i="6"/>
  <c r="K158" i="6"/>
  <c r="E159" i="6"/>
  <c r="F159" i="6" s="1"/>
  <c r="G160" i="6" a="1"/>
  <c r="G160" i="6" s="1"/>
  <c r="E160" i="6" a="1"/>
  <c r="E160" i="6" s="1"/>
  <c r="F160" i="6" s="1"/>
  <c r="M205" i="5"/>
  <c r="F206" i="5"/>
  <c r="I206" i="5"/>
  <c r="L206" i="5" a="1"/>
  <c r="L206" i="5" s="1"/>
  <c r="M206" i="5" s="1"/>
  <c r="Q207" i="5"/>
  <c r="I207" i="5"/>
  <c r="G208" i="5"/>
  <c r="E208" i="5" s="1"/>
  <c r="F208" i="5" s="1"/>
  <c r="H207" i="5"/>
  <c r="K208" i="5" l="1"/>
  <c r="O208" i="5" s="1"/>
  <c r="J208" i="5"/>
  <c r="N208" i="5" s="1"/>
  <c r="J159" i="6"/>
  <c r="M159" i="6"/>
  <c r="M160" i="6" s="1"/>
  <c r="K159" i="6"/>
  <c r="I159" i="6"/>
  <c r="I160" i="6" s="1"/>
  <c r="H159" i="6"/>
  <c r="E161" i="6"/>
  <c r="H160" i="6"/>
  <c r="G161" i="6"/>
  <c r="O158" i="6"/>
  <c r="N158" i="6"/>
  <c r="L158" i="6" a="1"/>
  <c r="L158" i="6" s="1"/>
  <c r="K161" i="6" a="1"/>
  <c r="K161" i="6" s="1"/>
  <c r="L207" i="5" a="1"/>
  <c r="L207" i="5" s="1"/>
  <c r="M207" i="5" s="1"/>
  <c r="Q208" i="5"/>
  <c r="I208" i="5"/>
  <c r="H208" i="5"/>
  <c r="G209" i="5"/>
  <c r="E209" i="5" s="1"/>
  <c r="J209" i="5" l="1"/>
  <c r="N209" i="5" s="1"/>
  <c r="K209" i="5"/>
  <c r="O209" i="5" s="1"/>
  <c r="O161" i="6"/>
  <c r="N161" i="6"/>
  <c r="E162" i="6"/>
  <c r="F162" i="6" s="1"/>
  <c r="M161" i="6"/>
  <c r="H161" i="6"/>
  <c r="I161" i="6"/>
  <c r="G162" i="6"/>
  <c r="J161" i="6" a="1"/>
  <c r="J161" i="6" s="1"/>
  <c r="L161" i="6" s="1" a="1"/>
  <c r="L161" i="6" s="1"/>
  <c r="F161" i="6"/>
  <c r="N159" i="6"/>
  <c r="O159" i="6"/>
  <c r="L159" i="6" a="1"/>
  <c r="L159" i="6" s="1"/>
  <c r="F209" i="5"/>
  <c r="L208" i="5" a="1"/>
  <c r="L208" i="5" s="1"/>
  <c r="M208" i="5"/>
  <c r="I209" i="5"/>
  <c r="Q209" i="5"/>
  <c r="G210" i="5"/>
  <c r="K210" i="5" s="1"/>
  <c r="O210" i="5" s="1"/>
  <c r="H209" i="5"/>
  <c r="J210" i="5" l="1"/>
  <c r="N210" i="5" s="1"/>
  <c r="G211" i="5" a="1"/>
  <c r="G211" i="5" s="1"/>
  <c r="Q211" i="5" s="1"/>
  <c r="I162" i="6"/>
  <c r="K162" i="6"/>
  <c r="M162" i="6"/>
  <c r="G163" i="6"/>
  <c r="J162" i="6"/>
  <c r="E163" i="6"/>
  <c r="H162" i="6"/>
  <c r="L209" i="5" a="1"/>
  <c r="L209" i="5" s="1"/>
  <c r="M210" i="5"/>
  <c r="M209" i="5"/>
  <c r="E210" i="5"/>
  <c r="F210" i="5" s="1"/>
  <c r="H210" i="5"/>
  <c r="Q210" i="5"/>
  <c r="H211" i="5" l="1"/>
  <c r="F163" i="6"/>
  <c r="G164" i="6"/>
  <c r="E164" i="6"/>
  <c r="F164" i="6" s="1"/>
  <c r="K163" i="6"/>
  <c r="J163" i="6"/>
  <c r="M163" i="6"/>
  <c r="H163" i="6"/>
  <c r="I163" i="6"/>
  <c r="N162" i="6"/>
  <c r="O162" i="6"/>
  <c r="L162" i="6" a="1"/>
  <c r="L162" i="6" s="1"/>
  <c r="M211" i="5"/>
  <c r="E35" i="9" s="1"/>
  <c r="M13" i="9" s="1"/>
  <c r="E211" i="5" a="1"/>
  <c r="E211" i="5" s="1"/>
  <c r="F211" i="5" s="1"/>
  <c r="I210" i="5"/>
  <c r="I211" i="5" s="1"/>
  <c r="C16" i="5"/>
  <c r="L210" i="5" a="1"/>
  <c r="L210" i="5" s="1"/>
  <c r="L163" i="6" l="1" a="1"/>
  <c r="L163" i="6" s="1"/>
  <c r="N163" i="6"/>
  <c r="O163" i="6"/>
  <c r="M164" i="6"/>
  <c r="G165" i="6"/>
  <c r="E165" i="6"/>
  <c r="F165" i="6" s="1"/>
  <c r="J164" i="6"/>
  <c r="I164" i="6"/>
  <c r="K164" i="6"/>
  <c r="H164" i="6"/>
  <c r="L15" i="5"/>
  <c r="M15" i="5" s="1"/>
  <c r="M16" i="5" s="1"/>
  <c r="N13" i="9"/>
  <c r="N14" i="9" s="1"/>
  <c r="C18" i="6"/>
  <c r="C17" i="11"/>
  <c r="L164" i="6" l="1" a="1"/>
  <c r="L164" i="6" s="1"/>
  <c r="N164" i="6"/>
  <c r="O164" i="6"/>
  <c r="M165" i="6"/>
  <c r="H165" i="6"/>
  <c r="I165" i="6"/>
  <c r="K165" i="6"/>
  <c r="J165" i="6"/>
  <c r="E166" i="6"/>
  <c r="G166" i="6"/>
  <c r="L165" i="6" l="1" a="1"/>
  <c r="L165" i="6" s="1"/>
  <c r="M166" i="6"/>
  <c r="J166" i="6"/>
  <c r="H166" i="6"/>
  <c r="I166" i="6"/>
  <c r="I167" i="6" s="1"/>
  <c r="K166" i="6"/>
  <c r="G167" i="6" a="1"/>
  <c r="G167" i="6" s="1"/>
  <c r="M167" i="6"/>
  <c r="F166" i="6"/>
  <c r="E167" i="6" a="1"/>
  <c r="E167" i="6" s="1"/>
  <c r="F167" i="6" s="1"/>
  <c r="N165" i="6"/>
  <c r="O165" i="6"/>
  <c r="K168" i="6" a="1"/>
  <c r="K168" i="6" s="1"/>
  <c r="G168" i="6" l="1"/>
  <c r="H167" i="6"/>
  <c r="E168" i="6"/>
  <c r="L166" i="6" a="1"/>
  <c r="L166" i="6" s="1"/>
  <c r="N168" i="6"/>
  <c r="O168" i="6"/>
  <c r="O166" i="6"/>
  <c r="N166" i="6"/>
  <c r="F168" i="6" l="1"/>
  <c r="I168" i="6"/>
  <c r="J168" i="6" a="1"/>
  <c r="J168" i="6" s="1"/>
  <c r="L168" i="6" s="1" a="1"/>
  <c r="L168" i="6" s="1"/>
  <c r="E169" i="6"/>
  <c r="F169" i="6" s="1"/>
  <c r="M168" i="6"/>
  <c r="G169" i="6"/>
  <c r="H168" i="6"/>
  <c r="E170" i="6" l="1"/>
  <c r="F170" i="6" s="1"/>
  <c r="J169" i="6"/>
  <c r="I169" i="6"/>
  <c r="H169" i="6"/>
  <c r="M169" i="6"/>
  <c r="K169" i="6"/>
  <c r="G170" i="6"/>
  <c r="G171" i="6" l="1"/>
  <c r="K170" i="6"/>
  <c r="J170" i="6"/>
  <c r="E171" i="6"/>
  <c r="I170" i="6"/>
  <c r="M170" i="6"/>
  <c r="H170" i="6"/>
  <c r="O169" i="6"/>
  <c r="N169" i="6"/>
  <c r="L169" i="6" a="1"/>
  <c r="L169" i="6" s="1"/>
  <c r="L170" i="6" l="1" a="1"/>
  <c r="L170" i="6" s="1"/>
  <c r="K171" i="6"/>
  <c r="J171" i="6"/>
  <c r="I171" i="6"/>
  <c r="G172" i="6"/>
  <c r="M171" i="6"/>
  <c r="E172" i="6"/>
  <c r="F172" i="6" s="1"/>
  <c r="H171" i="6"/>
  <c r="F171" i="6"/>
  <c r="O170" i="6"/>
  <c r="N170" i="6"/>
  <c r="L171" i="6" l="1" a="1"/>
  <c r="L171" i="6" s="1"/>
  <c r="I172" i="6"/>
  <c r="E173" i="6"/>
  <c r="M172" i="6"/>
  <c r="H172" i="6"/>
  <c r="J172" i="6"/>
  <c r="K172" i="6"/>
  <c r="G173" i="6"/>
  <c r="O171" i="6"/>
  <c r="N171" i="6"/>
  <c r="L172" i="6" l="1" a="1"/>
  <c r="L172" i="6" s="1"/>
  <c r="M173" i="6"/>
  <c r="M174" i="6" s="1"/>
  <c r="J173" i="6"/>
  <c r="K173" i="6"/>
  <c r="I173" i="6"/>
  <c r="I174" i="6" s="1"/>
  <c r="H173" i="6"/>
  <c r="G174" i="6"/>
  <c r="O172" i="6"/>
  <c r="N172" i="6"/>
  <c r="F173" i="6"/>
  <c r="E174" i="6" a="1"/>
  <c r="E174" i="6" s="1"/>
  <c r="F174" i="6" s="1"/>
  <c r="L173" i="6" l="1" a="1"/>
  <c r="L173" i="6" s="1"/>
  <c r="G175" i="6"/>
  <c r="H174" i="6"/>
  <c r="N173" i="6"/>
  <c r="O173" i="6"/>
  <c r="K175" i="6" a="1"/>
  <c r="K175" i="6" s="1"/>
  <c r="O175" i="6" l="1"/>
  <c r="N175" i="6"/>
  <c r="H175" i="6"/>
  <c r="I175" i="6"/>
  <c r="I181" i="6" s="1"/>
  <c r="J175" i="6" a="1"/>
  <c r="J175" i="6" s="1"/>
  <c r="L175" i="6" s="1" a="1"/>
  <c r="L175" i="6" s="1"/>
  <c r="E176" i="6"/>
  <c r="F176" i="6" s="1"/>
  <c r="G181" i="6" a="1"/>
  <c r="G181" i="6" s="1"/>
  <c r="H181" i="6" s="1"/>
  <c r="G176" i="6"/>
  <c r="M175" i="6"/>
  <c r="M181" i="6" s="1"/>
  <c r="E175" i="6"/>
  <c r="F175" i="6" l="1"/>
  <c r="E181" i="6" a="1"/>
  <c r="E181" i="6" s="1"/>
  <c r="F181" i="6" s="1"/>
  <c r="E177" i="6"/>
  <c r="F177" i="6" s="1"/>
  <c r="G177" i="6"/>
  <c r="M176" i="6"/>
  <c r="K176" i="6"/>
  <c r="I176" i="6"/>
  <c r="H176" i="6"/>
  <c r="J176" i="6"/>
  <c r="O176" i="6" l="1"/>
  <c r="N176" i="6"/>
  <c r="E178" i="6"/>
  <c r="F178" i="6" s="1"/>
  <c r="G178" i="6"/>
  <c r="H177" i="6"/>
  <c r="J177" i="6"/>
  <c r="I177" i="6"/>
  <c r="K177" i="6"/>
  <c r="M177" i="6"/>
  <c r="L176" i="6" a="1"/>
  <c r="L176" i="6" s="1"/>
  <c r="N177" i="6" l="1"/>
  <c r="O177" i="6"/>
  <c r="L177" i="6" a="1"/>
  <c r="L177" i="6" s="1"/>
  <c r="I178" i="6"/>
  <c r="M178" i="6"/>
  <c r="H178" i="6"/>
  <c r="E179" i="6"/>
  <c r="F179" i="6" s="1"/>
  <c r="K178" i="6"/>
  <c r="J178" i="6"/>
  <c r="G179" i="6"/>
  <c r="L178" i="6" l="1" a="1"/>
  <c r="L178" i="6" s="1"/>
  <c r="K179" i="6"/>
  <c r="M179" i="6"/>
  <c r="H179" i="6"/>
  <c r="E180" i="6"/>
  <c r="F180" i="6" s="1"/>
  <c r="I179" i="6"/>
  <c r="J179" i="6"/>
  <c r="G180" i="6"/>
  <c r="O178" i="6"/>
  <c r="N178" i="6"/>
  <c r="L179" i="6" l="1" a="1"/>
  <c r="L179" i="6" s="1"/>
  <c r="J180" i="6"/>
  <c r="K180" i="6"/>
  <c r="M180" i="6"/>
  <c r="H180" i="6"/>
  <c r="I180" i="6"/>
  <c r="N179" i="6"/>
  <c r="O179" i="6"/>
  <c r="L180" i="6" l="1" a="1"/>
  <c r="L180" i="6" s="1"/>
  <c r="N180" i="6"/>
  <c r="O180" i="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<sst xmlns="http://schemas.openxmlformats.org/spreadsheetml/2006/main" count="734" uniqueCount="107">
  <si>
    <t>1.融資の内容</t>
    <rPh sb="2" eb="4">
      <t>ユウシ</t>
    </rPh>
    <rPh sb="5" eb="7">
      <t>ナイヨウ</t>
    </rPh>
    <phoneticPr fontId="1"/>
  </si>
  <si>
    <t>融資期間</t>
    <rPh sb="0" eb="4">
      <t>ユウシキカン</t>
    </rPh>
    <phoneticPr fontId="1"/>
  </si>
  <si>
    <t>２．申請する利子補給金の額</t>
    <rPh sb="2" eb="4">
      <t>シンセイ</t>
    </rPh>
    <rPh sb="6" eb="11">
      <t>リシホキュウキン</t>
    </rPh>
    <rPh sb="12" eb="13">
      <t>ガク</t>
    </rPh>
    <phoneticPr fontId="1"/>
  </si>
  <si>
    <t>単位期間１</t>
    <rPh sb="0" eb="4">
      <t>タンイキカン</t>
    </rPh>
    <phoneticPr fontId="1"/>
  </si>
  <si>
    <t>単位期間２</t>
    <rPh sb="0" eb="4">
      <t>タンイキカン</t>
    </rPh>
    <phoneticPr fontId="1"/>
  </si>
  <si>
    <t>日数</t>
    <rPh sb="0" eb="2">
      <t>ニッスウ</t>
    </rPh>
    <phoneticPr fontId="1"/>
  </si>
  <si>
    <t>単位期間１ー①</t>
    <rPh sb="0" eb="4">
      <t>タンイキカン</t>
    </rPh>
    <phoneticPr fontId="1"/>
  </si>
  <si>
    <t>単位期間１ー②</t>
    <rPh sb="0" eb="4">
      <t>タンイキカン</t>
    </rPh>
    <phoneticPr fontId="1"/>
  </si>
  <si>
    <t>単位期間２ー②</t>
    <rPh sb="0" eb="4">
      <t>タンイキカン</t>
    </rPh>
    <phoneticPr fontId="1"/>
  </si>
  <si>
    <t>単位期間２ー①</t>
    <rPh sb="0" eb="4">
      <t>タンイキカン</t>
    </rPh>
    <phoneticPr fontId="1"/>
  </si>
  <si>
    <t>合計</t>
    <rPh sb="0" eb="2">
      <t>ゴウケイ</t>
    </rPh>
    <phoneticPr fontId="1"/>
  </si>
  <si>
    <t>交付対象融資残高（円）</t>
    <rPh sb="0" eb="6">
      <t>コウフタイショウユウシ</t>
    </rPh>
    <rPh sb="6" eb="8">
      <t>ザンダカ</t>
    </rPh>
    <rPh sb="9" eb="10">
      <t>エン</t>
    </rPh>
    <phoneticPr fontId="1"/>
  </si>
  <si>
    <t>利子補給率（％）</t>
    <rPh sb="0" eb="5">
      <t>リシホキュウリツ</t>
    </rPh>
    <phoneticPr fontId="1"/>
  </si>
  <si>
    <t>利子補給金申請額（円）</t>
    <rPh sb="0" eb="5">
      <t>リシホキュウキン</t>
    </rPh>
    <rPh sb="5" eb="8">
      <t>シンセイガク</t>
    </rPh>
    <rPh sb="9" eb="10">
      <t>エン</t>
    </rPh>
    <phoneticPr fontId="1"/>
  </si>
  <si>
    <t>開始日</t>
    <rPh sb="0" eb="3">
      <t>カイシビ</t>
    </rPh>
    <phoneticPr fontId="1"/>
  </si>
  <si>
    <t>曜日</t>
    <rPh sb="0" eb="2">
      <t>ヨウビ</t>
    </rPh>
    <phoneticPr fontId="1"/>
  </si>
  <si>
    <t>終了日</t>
    <rPh sb="0" eb="3">
      <t>シュウリョウビ</t>
    </rPh>
    <phoneticPr fontId="1"/>
  </si>
  <si>
    <t>元金均等返済額（円）</t>
    <rPh sb="0" eb="2">
      <t>ガンキン</t>
    </rPh>
    <rPh sb="2" eb="4">
      <t>キントウ</t>
    </rPh>
    <rPh sb="4" eb="7">
      <t>ヘンサイガク</t>
    </rPh>
    <phoneticPr fontId="1"/>
  </si>
  <si>
    <t>最終弁済額（円）</t>
    <rPh sb="0" eb="5">
      <t>サイシュウベンサイガク</t>
    </rPh>
    <phoneticPr fontId="1"/>
  </si>
  <si>
    <t>融資利率（％）</t>
    <rPh sb="0" eb="4">
      <t>ユウシリリツ</t>
    </rPh>
    <phoneticPr fontId="1"/>
  </si>
  <si>
    <t>黄色セルを入力</t>
    <rPh sb="0" eb="2">
      <t>キイロ</t>
    </rPh>
    <rPh sb="5" eb="7">
      <t>ニュウリョク</t>
    </rPh>
    <phoneticPr fontId="1"/>
  </si>
  <si>
    <t>融資額（円）</t>
    <phoneticPr fontId="1"/>
  </si>
  <si>
    <t>年度</t>
    <rPh sb="0" eb="2">
      <t>ネンド</t>
    </rPh>
    <phoneticPr fontId="1"/>
  </si>
  <si>
    <t>単位期間</t>
    <rPh sb="0" eb="4">
      <t>タンイキカン</t>
    </rPh>
    <phoneticPr fontId="1"/>
  </si>
  <si>
    <t>返済期間</t>
    <rPh sb="0" eb="4">
      <t>ヘンサイキカン</t>
    </rPh>
    <phoneticPr fontId="1"/>
  </si>
  <si>
    <t>（交付対象融資）</t>
    <rPh sb="1" eb="5">
      <t>コウフタイショウ</t>
    </rPh>
    <rPh sb="5" eb="7">
      <t>ユウシ</t>
    </rPh>
    <phoneticPr fontId="1"/>
  </si>
  <si>
    <t>利子補給金の額</t>
    <rPh sb="0" eb="5">
      <t>リシホキュウキン</t>
    </rPh>
    <rPh sb="6" eb="7">
      <t>ガク</t>
    </rPh>
    <phoneticPr fontId="1"/>
  </si>
  <si>
    <t>元金均等返済（円）</t>
    <phoneticPr fontId="1"/>
  </si>
  <si>
    <t>交付対象融資額（円）</t>
    <rPh sb="0" eb="7">
      <t>コウフタイショウユウシガク</t>
    </rPh>
    <phoneticPr fontId="1"/>
  </si>
  <si>
    <t>（自）</t>
    <phoneticPr fontId="1"/>
  </si>
  <si>
    <t>（至）</t>
    <phoneticPr fontId="1"/>
  </si>
  <si>
    <t>（融資全体）※</t>
    <rPh sb="1" eb="5">
      <t>ユウシゼンタイ</t>
    </rPh>
    <phoneticPr fontId="1"/>
  </si>
  <si>
    <t>内　交付対象融資額（円）</t>
    <rPh sb="0" eb="1">
      <t>ウチ</t>
    </rPh>
    <phoneticPr fontId="1"/>
  </si>
  <si>
    <t>交付対象融資期間</t>
    <rPh sb="0" eb="4">
      <t>コウフタイショウ</t>
    </rPh>
    <rPh sb="4" eb="8">
      <t>ユウシキカン</t>
    </rPh>
    <phoneticPr fontId="1"/>
  </si>
  <si>
    <t>単位期間１ー③</t>
    <rPh sb="0" eb="4">
      <t>タンイキカン</t>
    </rPh>
    <phoneticPr fontId="1"/>
  </si>
  <si>
    <t>単位期間１ー④</t>
    <rPh sb="0" eb="4">
      <t>タンイキカン</t>
    </rPh>
    <phoneticPr fontId="1"/>
  </si>
  <si>
    <t>単位期間１ー⑤</t>
    <rPh sb="0" eb="4">
      <t>タンイキカン</t>
    </rPh>
    <phoneticPr fontId="1"/>
  </si>
  <si>
    <t>単位期間２ー③</t>
    <rPh sb="0" eb="4">
      <t>タンイキカン</t>
    </rPh>
    <phoneticPr fontId="1"/>
  </si>
  <si>
    <t>単位期間２ー④</t>
    <rPh sb="0" eb="4">
      <t>タンイキカン</t>
    </rPh>
    <phoneticPr fontId="1"/>
  </si>
  <si>
    <t>単位期間２ー⑤</t>
    <rPh sb="0" eb="4">
      <t>タンイキカン</t>
    </rPh>
    <phoneticPr fontId="1"/>
  </si>
  <si>
    <t>単位期間１ー⑥</t>
    <rPh sb="0" eb="4">
      <t>タンイキカン</t>
    </rPh>
    <phoneticPr fontId="1"/>
  </si>
  <si>
    <t>単位期間２ー⑥</t>
    <rPh sb="0" eb="4">
      <t>タンイキカン</t>
    </rPh>
    <phoneticPr fontId="1"/>
  </si>
  <si>
    <t>※融資全体を交付対象融資として計画する場合は、「（融資全体）」の表は記載不要。</t>
    <rPh sb="25" eb="29">
      <t>ユウシゼンタイ</t>
    </rPh>
    <rPh sb="32" eb="33">
      <t>ヒョウ</t>
    </rPh>
    <rPh sb="36" eb="38">
      <t>フヨウ</t>
    </rPh>
    <phoneticPr fontId="1"/>
  </si>
  <si>
    <t>融資残高（円）</t>
    <phoneticPr fontId="1"/>
  </si>
  <si>
    <t>年度合計額</t>
    <rPh sb="0" eb="2">
      <t>ネンド</t>
    </rPh>
    <rPh sb="2" eb="5">
      <t>ゴウケイガク</t>
    </rPh>
    <phoneticPr fontId="1"/>
  </si>
  <si>
    <t>月末</t>
    <rPh sb="0" eb="2">
      <t>ゲツマツ</t>
    </rPh>
    <phoneticPr fontId="1"/>
  </si>
  <si>
    <t>２回目以降の返済日　返済月の</t>
    <rPh sb="1" eb="5">
      <t>カイメイコウ</t>
    </rPh>
    <rPh sb="6" eb="9">
      <t>ヘンサイビ</t>
    </rPh>
    <rPh sb="10" eb="12">
      <t>ヘンサイ</t>
    </rPh>
    <rPh sb="12" eb="13">
      <t>ヅキ</t>
    </rPh>
    <phoneticPr fontId="1"/>
  </si>
  <si>
    <t>返済頻度</t>
    <rPh sb="0" eb="2">
      <t>ヘンサイ</t>
    </rPh>
    <rPh sb="2" eb="4">
      <t>ヒンド</t>
    </rPh>
    <phoneticPr fontId="1"/>
  </si>
  <si>
    <t>毎月</t>
    <rPh sb="0" eb="2">
      <t>マイツキ</t>
    </rPh>
    <phoneticPr fontId="1"/>
  </si>
  <si>
    <t>隔月毎</t>
    <rPh sb="0" eb="1">
      <t>カク</t>
    </rPh>
    <rPh sb="1" eb="2">
      <t>ヅキ</t>
    </rPh>
    <rPh sb="2" eb="3">
      <t>ゴト</t>
    </rPh>
    <phoneticPr fontId="1"/>
  </si>
  <si>
    <t>四半期毎</t>
    <rPh sb="0" eb="4">
      <t>シハンキゴト</t>
    </rPh>
    <phoneticPr fontId="1"/>
  </si>
  <si>
    <t>4ヶ月に1回</t>
    <rPh sb="2" eb="3">
      <t>ゲツ</t>
    </rPh>
    <rPh sb="5" eb="6">
      <t>カイ</t>
    </rPh>
    <phoneticPr fontId="1"/>
  </si>
  <si>
    <t>6ヶ月に1回</t>
    <rPh sb="2" eb="3">
      <t>ゲツ</t>
    </rPh>
    <rPh sb="5" eb="6">
      <t>カイ</t>
    </rPh>
    <phoneticPr fontId="1"/>
  </si>
  <si>
    <t>２．利子補給金の額（実績ベース）</t>
    <rPh sb="2" eb="7">
      <t>リシホキュウキン</t>
    </rPh>
    <rPh sb="8" eb="9">
      <t>ガク</t>
    </rPh>
    <rPh sb="10" eb="12">
      <t>ジッセキ</t>
    </rPh>
    <phoneticPr fontId="1"/>
  </si>
  <si>
    <t>3. 実績額（円）</t>
    <rPh sb="3" eb="6">
      <t>ジッセキガク</t>
    </rPh>
    <rPh sb="7" eb="8">
      <t>エン</t>
    </rPh>
    <phoneticPr fontId="1"/>
  </si>
  <si>
    <t>（融資全体）</t>
    <rPh sb="1" eb="5">
      <t>ユウシゼンタイ</t>
    </rPh>
    <phoneticPr fontId="1"/>
  </si>
  <si>
    <t>非表示</t>
    <rPh sb="0" eb="3">
      <t>ヒヒョウジ</t>
    </rPh>
    <phoneticPr fontId="1"/>
  </si>
  <si>
    <t>単位期間１</t>
  </si>
  <si>
    <t>※単位期間終了後、NEDOに提出※</t>
    <rPh sb="1" eb="5">
      <t>タンイキカン</t>
    </rPh>
    <rPh sb="5" eb="8">
      <t>シュウリョウゴ</t>
    </rPh>
    <rPh sb="14" eb="16">
      <t>テイシュツ</t>
    </rPh>
    <phoneticPr fontId="1"/>
  </si>
  <si>
    <t>利子補給金の額（据置期間）</t>
    <rPh sb="0" eb="5">
      <t>リシホキュウキン</t>
    </rPh>
    <rPh sb="6" eb="7">
      <t>ガク</t>
    </rPh>
    <rPh sb="8" eb="10">
      <t>スエオキ</t>
    </rPh>
    <rPh sb="10" eb="12">
      <t>キカン</t>
    </rPh>
    <phoneticPr fontId="1"/>
  </si>
  <si>
    <t>据置期間の有無</t>
    <rPh sb="0" eb="2">
      <t>スエオキ</t>
    </rPh>
    <rPh sb="2" eb="4">
      <t>キカン</t>
    </rPh>
    <rPh sb="5" eb="7">
      <t>ウム</t>
    </rPh>
    <phoneticPr fontId="1"/>
  </si>
  <si>
    <t>有</t>
    <rPh sb="0" eb="1">
      <t>アリ</t>
    </rPh>
    <phoneticPr fontId="1"/>
  </si>
  <si>
    <t>無</t>
    <rPh sb="0" eb="1">
      <t>ナシ</t>
    </rPh>
    <phoneticPr fontId="1"/>
  </si>
  <si>
    <t>単位期間２</t>
    <rPh sb="0" eb="2">
      <t>タンイ</t>
    </rPh>
    <rPh sb="2" eb="4">
      <t>キカン</t>
    </rPh>
    <phoneticPr fontId="1"/>
  </si>
  <si>
    <t>3. 単位期間毎の合計額及び年度毎の利子補給金申請額（円）</t>
    <rPh sb="3" eb="5">
      <t>タンイ</t>
    </rPh>
    <rPh sb="5" eb="7">
      <t>キカン</t>
    </rPh>
    <rPh sb="7" eb="8">
      <t>ゴト</t>
    </rPh>
    <rPh sb="9" eb="12">
      <t>ゴウケイガク</t>
    </rPh>
    <rPh sb="12" eb="13">
      <t>オヨ</t>
    </rPh>
    <rPh sb="14" eb="16">
      <t>ネンド</t>
    </rPh>
    <rPh sb="16" eb="17">
      <t>マイ</t>
    </rPh>
    <rPh sb="18" eb="20">
      <t>リシ</t>
    </rPh>
    <rPh sb="20" eb="22">
      <t>ホキュウ</t>
    </rPh>
    <rPh sb="22" eb="23">
      <t>キン</t>
    </rPh>
    <rPh sb="23" eb="25">
      <t>シンセイ</t>
    </rPh>
    <rPh sb="25" eb="26">
      <t>ガク</t>
    </rPh>
    <rPh sb="27" eb="28">
      <t>エン</t>
    </rPh>
    <phoneticPr fontId="1"/>
  </si>
  <si>
    <t>単位期間１</t>
    <phoneticPr fontId="1"/>
  </si>
  <si>
    <t>利子補給申請額</t>
    <rPh sb="0" eb="4">
      <t>リシホキュウ</t>
    </rPh>
    <rPh sb="4" eb="6">
      <t>シンセイ</t>
    </rPh>
    <rPh sb="6" eb="7">
      <t>ガク</t>
    </rPh>
    <phoneticPr fontId="1"/>
  </si>
  <si>
    <t>据置期間</t>
    <rPh sb="0" eb="4">
      <t>スエオキキカン</t>
    </rPh>
    <phoneticPr fontId="1"/>
  </si>
  <si>
    <t>それ以外</t>
    <rPh sb="2" eb="4">
      <t>イガイ</t>
    </rPh>
    <phoneticPr fontId="1"/>
  </si>
  <si>
    <t>単位期間１(合計額)</t>
    <rPh sb="6" eb="9">
      <t>ゴウケイガク</t>
    </rPh>
    <phoneticPr fontId="1"/>
  </si>
  <si>
    <t>単位期間２（合計額）</t>
    <rPh sb="0" eb="2">
      <t>タンイ</t>
    </rPh>
    <rPh sb="2" eb="4">
      <t>キカン</t>
    </rPh>
    <rPh sb="6" eb="9">
      <t>ゴウケイガク</t>
    </rPh>
    <phoneticPr fontId="1"/>
  </si>
  <si>
    <t>(据置期間がない場合は、次の表のみ入力）</t>
    <phoneticPr fontId="1"/>
  </si>
  <si>
    <t>(据置期間がある場合は、次の２つの表に入力）</t>
    <rPh sb="1" eb="2">
      <t>ス</t>
    </rPh>
    <rPh sb="8" eb="10">
      <t>バアイ</t>
    </rPh>
    <rPh sb="12" eb="13">
      <t>ツギ</t>
    </rPh>
    <rPh sb="17" eb="18">
      <t>ヒョウ</t>
    </rPh>
    <rPh sb="19" eb="21">
      <t>ニュウリョク</t>
    </rPh>
    <phoneticPr fontId="1"/>
  </si>
  <si>
    <t>（据置期間後の）最初の返済日</t>
    <rPh sb="1" eb="5">
      <t>スエオキキカン</t>
    </rPh>
    <rPh sb="5" eb="6">
      <t>ゴ</t>
    </rPh>
    <rPh sb="8" eb="10">
      <t>サイショ</t>
    </rPh>
    <rPh sb="11" eb="14">
      <t>ヘンサイビ</t>
    </rPh>
    <phoneticPr fontId="1"/>
  </si>
  <si>
    <t>終了日</t>
  </si>
  <si>
    <t>開始日</t>
  </si>
  <si>
    <t>開始日/終了日</t>
    <rPh sb="0" eb="3">
      <t>カイシビ</t>
    </rPh>
    <rPh sb="4" eb="7">
      <t>シュウリョウビ</t>
    </rPh>
    <phoneticPr fontId="1"/>
  </si>
  <si>
    <t>単位期間１</t>
    <rPh sb="0" eb="2">
      <t>タンイ</t>
    </rPh>
    <rPh sb="2" eb="4">
      <t>キカン</t>
    </rPh>
    <phoneticPr fontId="1"/>
  </si>
  <si>
    <t>単位期間１ー⑦</t>
  </si>
  <si>
    <t>単位期間１ー⑦</t>
    <rPh sb="0" eb="4">
      <t>タンイキカン</t>
    </rPh>
    <phoneticPr fontId="1"/>
  </si>
  <si>
    <t>単位期間２ー⑦</t>
  </si>
  <si>
    <t>単位期間２ー⑦</t>
    <rPh sb="0" eb="4">
      <t>タンイキカン</t>
    </rPh>
    <phoneticPr fontId="1"/>
  </si>
  <si>
    <t>単位期間２ー⑥</t>
  </si>
  <si>
    <t>単位期間１ー①</t>
  </si>
  <si>
    <t>単位期間１ー②</t>
  </si>
  <si>
    <t>単位期間１ー③</t>
  </si>
  <si>
    <t>単位期間１ー④</t>
  </si>
  <si>
    <t>単位期間１ー⑤</t>
  </si>
  <si>
    <t>単位期間１ー⑥</t>
  </si>
  <si>
    <t>単位期間２ー①</t>
  </si>
  <si>
    <t>単位期間２ー②</t>
  </si>
  <si>
    <t>単位期間２ー③</t>
  </si>
  <si>
    <t>単位期間２ー④</t>
  </si>
  <si>
    <t>単位期間２ー⑤</t>
  </si>
  <si>
    <t>最終返済額（円）</t>
    <rPh sb="0" eb="2">
      <t>サイシュウ</t>
    </rPh>
    <rPh sb="2" eb="4">
      <t>ヘンサイ</t>
    </rPh>
    <rPh sb="4" eb="5">
      <t>ガク</t>
    </rPh>
    <phoneticPr fontId="1"/>
  </si>
  <si>
    <t>前</t>
    <rPh sb="0" eb="1">
      <t>ゼン</t>
    </rPh>
    <phoneticPr fontId="1"/>
  </si>
  <si>
    <t>後</t>
    <rPh sb="0" eb="1">
      <t>ゴ</t>
    </rPh>
    <phoneticPr fontId="1"/>
  </si>
  <si>
    <t>利子補給金の額（据置期間後）</t>
    <rPh sb="0" eb="5">
      <t>リシホキュウキン</t>
    </rPh>
    <rPh sb="6" eb="7">
      <t>ガク</t>
    </rPh>
    <rPh sb="8" eb="10">
      <t>スエオキ</t>
    </rPh>
    <rPh sb="10" eb="12">
      <t>キカン</t>
    </rPh>
    <rPh sb="12" eb="13">
      <t>ゴ</t>
    </rPh>
    <phoneticPr fontId="1"/>
  </si>
  <si>
    <t>（据置期間後の）最初の返済日</t>
    <rPh sb="1" eb="5">
      <t>スエオキキカン</t>
    </rPh>
    <rPh sb="5" eb="6">
      <t>ゴ</t>
    </rPh>
    <rPh sb="8" eb="10">
      <t>サイショ</t>
    </rPh>
    <rPh sb="11" eb="13">
      <t>ヘンサイ</t>
    </rPh>
    <rPh sb="13" eb="14">
      <t>ヒ</t>
    </rPh>
    <phoneticPr fontId="1"/>
  </si>
  <si>
    <t>２回目以降の返済日　返済月の</t>
    <rPh sb="1" eb="5">
      <t>カイメイコウ</t>
    </rPh>
    <rPh sb="6" eb="8">
      <t>ヘンサイ</t>
    </rPh>
    <rPh sb="8" eb="9">
      <t>ビ</t>
    </rPh>
    <rPh sb="10" eb="12">
      <t>ヘンサイ</t>
    </rPh>
    <rPh sb="12" eb="13">
      <t>ヅキ</t>
    </rPh>
    <phoneticPr fontId="1"/>
  </si>
  <si>
    <t>別紙１（様式第１関係）</t>
    <rPh sb="0" eb="2">
      <t>ベッシ</t>
    </rPh>
    <rPh sb="4" eb="6">
      <t>ヨウシキ</t>
    </rPh>
    <rPh sb="6" eb="7">
      <t>ダイ</t>
    </rPh>
    <rPh sb="8" eb="10">
      <t>カンケイ</t>
    </rPh>
    <phoneticPr fontId="1"/>
  </si>
  <si>
    <t>別紙（様式第4関係）</t>
  </si>
  <si>
    <t>別紙（様式第4関係）</t>
    <rPh sb="0" eb="2">
      <t>ベッシ</t>
    </rPh>
    <rPh sb="3" eb="5">
      <t>ヨウシキ</t>
    </rPh>
    <rPh sb="5" eb="6">
      <t>ダイ</t>
    </rPh>
    <rPh sb="7" eb="9">
      <t>カンケイ</t>
    </rPh>
    <phoneticPr fontId="1"/>
  </si>
  <si>
    <t>別紙（様式第4関係）</t>
    <phoneticPr fontId="1"/>
  </si>
  <si>
    <t>実績報告（据置期間以外）</t>
    <rPh sb="0" eb="2">
      <t>ジッセキ</t>
    </rPh>
    <rPh sb="2" eb="4">
      <t>ホウコク</t>
    </rPh>
    <rPh sb="5" eb="9">
      <t>スエオキキカン</t>
    </rPh>
    <rPh sb="9" eb="11">
      <t>イガイ</t>
    </rPh>
    <phoneticPr fontId="1"/>
  </si>
  <si>
    <t>実績報告（据置期間）</t>
    <rPh sb="0" eb="2">
      <t>ジッセキ</t>
    </rPh>
    <rPh sb="2" eb="4">
      <t>ホウコク</t>
    </rPh>
    <rPh sb="5" eb="9">
      <t>スエオキキカン</t>
    </rPh>
    <phoneticPr fontId="1"/>
  </si>
  <si>
    <t>融資計画書</t>
    <rPh sb="0" eb="2">
      <t>ユウシ</t>
    </rPh>
    <rPh sb="2" eb="5">
      <t>ケイカクショ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</si>
</sst>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Red]&quot;¥&quot;\-#,##0"/>
    <numFmt numFmtId="176" formatCode="####&quot;年度&quot;"/>
    <numFmt numFmtId="177" formatCode="yyyy&quot;年&quot;m&quot;月&quot;d&quot;日&quot;;@"/>
    <numFmt numFmtId="178" formatCode="##&quot; 日&quot;"/>
    <numFmt numFmtId="179" formatCode="0.000%"/>
    <numFmt numFmtId="180" formatCode="&quot;¥&quot;#,##0_);[Red]\(&quot;¥&quot;#,##0\)"/>
  </numFmts>
  <fonts count="18" x14ac:knownFonts="1">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b/>
      <sz val="11"/>
      <name val="游ゴシック"/>
      <family val="3"/>
      <charset val="128"/>
      <scheme val="minor"/>
    </font>
    <font>
      <sz val="11"/>
      <name val="游ゴシック"/>
      <family val="3"/>
      <charset val="128"/>
      <scheme val="minor"/>
    </font>
    <font>
      <sz val="11"/>
      <color rgb="FFFF0000"/>
      <name val="游ゴシック"/>
      <family val="3"/>
      <charset val="128"/>
      <scheme val="minor"/>
    </font>
    <font>
      <sz val="12"/>
      <color theme="1"/>
      <name val="游ゴシック"/>
      <family val="2"/>
      <charset val="128"/>
      <scheme val="minor"/>
    </font>
    <font>
      <sz val="12"/>
      <color theme="1"/>
      <name val="游ゴシック"/>
      <family val="3"/>
      <charset val="128"/>
      <scheme val="minor"/>
    </font>
    <font>
      <b/>
      <sz val="14"/>
      <name val="游ゴシック"/>
      <family val="3"/>
      <charset val="128"/>
      <scheme val="minor"/>
    </font>
    <font>
      <b/>
      <sz val="14"/>
      <color theme="1"/>
      <name val="游ゴシック"/>
      <family val="3"/>
      <charset val="128"/>
      <scheme val="minor"/>
    </font>
    <font>
      <sz val="14"/>
      <color theme="1"/>
      <name val="游ゴシック"/>
      <family val="2"/>
      <charset val="128"/>
      <scheme val="minor"/>
    </font>
    <font>
      <sz val="14"/>
      <color theme="1"/>
      <name val="游ゴシック"/>
      <family val="3"/>
      <charset val="128"/>
      <scheme val="minor"/>
    </font>
    <font>
      <sz val="16"/>
      <color theme="1"/>
      <name val="游ゴシック"/>
      <family val="3"/>
      <charset val="128"/>
      <scheme val="minor"/>
    </font>
    <font>
      <sz val="14"/>
      <name val="游ゴシック"/>
      <family val="3"/>
      <charset val="128"/>
      <scheme val="minor"/>
    </font>
    <font>
      <sz val="16"/>
      <name val="游ゴシック"/>
      <family val="3"/>
      <charset val="128"/>
      <scheme val="minor"/>
    </font>
    <font>
      <sz val="11"/>
      <color rgb="FFFF0000"/>
      <name val="游ゴシック"/>
      <family val="2"/>
      <charset val="128"/>
      <scheme val="minor"/>
    </font>
    <font>
      <b/>
      <sz val="11"/>
      <color theme="1"/>
      <name val="游ゴシック"/>
      <family val="3"/>
      <charset val="128"/>
      <scheme val="minor"/>
    </font>
    <font>
      <b/>
      <sz val="12"/>
      <color rgb="FFFF0000"/>
      <name val="游ゴシック"/>
      <family val="3"/>
      <charset val="128"/>
      <scheme val="minor"/>
    </font>
  </fonts>
  <fills count="5">
    <fill>
      <patternFill patternType="none"/>
    </fill>
    <fill>
      <patternFill patternType="gray125"/>
    </fill>
    <fill>
      <patternFill patternType="solid">
        <fgColor rgb="FFFFFF00"/>
        <bgColor indexed="64"/>
      </patternFill>
    </fill>
    <fill>
      <patternFill patternType="solid">
        <fgColor theme="9" tint="0.59999389629810485"/>
        <bgColor indexed="64"/>
      </patternFill>
    </fill>
    <fill>
      <patternFill patternType="solid">
        <fgColor theme="0"/>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medium">
        <color indexed="64"/>
      </top>
      <bottom style="thin">
        <color indexed="64"/>
      </bottom>
      <diagonal/>
    </border>
    <border>
      <left style="medium">
        <color indexed="64"/>
      </left>
      <right/>
      <top/>
      <bottom/>
      <diagonal/>
    </border>
    <border>
      <left style="thin">
        <color indexed="64"/>
      </left>
      <right style="thin">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diagonalDown="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diagonalDown="1">
      <left style="medium">
        <color indexed="64"/>
      </left>
      <right style="thin">
        <color indexed="64"/>
      </right>
      <top style="medium">
        <color indexed="64"/>
      </top>
      <bottom style="medium">
        <color indexed="64"/>
      </bottom>
      <diagonal style="thin">
        <color indexed="64"/>
      </diagonal>
    </border>
    <border diagonalDown="1">
      <left/>
      <right style="medium">
        <color indexed="64"/>
      </right>
      <top style="medium">
        <color indexed="64"/>
      </top>
      <bottom style="medium">
        <color indexed="64"/>
      </bottom>
      <diagonal style="thin">
        <color indexed="64"/>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70C0"/>
      </left>
      <right style="thin">
        <color rgb="FF0070C0"/>
      </right>
      <top style="thin">
        <color rgb="FF0070C0"/>
      </top>
      <bottom/>
      <diagonal/>
    </border>
    <border>
      <left style="thin">
        <color rgb="FF0070C0"/>
      </left>
      <right style="thin">
        <color rgb="FF0070C0"/>
      </right>
      <top/>
      <bottom/>
      <diagonal/>
    </border>
    <border>
      <left style="thin">
        <color rgb="FF0070C0"/>
      </left>
      <right style="thin">
        <color rgb="FF0070C0"/>
      </right>
      <top/>
      <bottom style="thin">
        <color rgb="FF0070C0"/>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right style="thin">
        <color indexed="64"/>
      </right>
      <top style="thin">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thin">
        <color indexed="64"/>
      </right>
      <top/>
      <bottom style="medium">
        <color indexed="64"/>
      </bottom>
      <diagonal/>
    </border>
    <border diagonalDown="1">
      <left/>
      <right style="thin">
        <color indexed="64"/>
      </right>
      <top style="medium">
        <color indexed="64"/>
      </top>
      <bottom style="medium">
        <color indexed="64"/>
      </bottom>
      <diagonal style="thin">
        <color indexed="64"/>
      </diagonal>
    </border>
    <border>
      <left style="thin">
        <color indexed="64"/>
      </left>
      <right style="medium">
        <color indexed="64"/>
      </right>
      <top/>
      <bottom/>
      <diagonal/>
    </border>
  </borders>
  <cellStyleXfs count="3">
    <xf numFmtId="0" fontId="0" fillId="0" borderId="0">
      <alignment vertical="center"/>
    </xf>
    <xf numFmtId="38" fontId="2" fillId="0" borderId="0" applyFont="0" applyFill="0" applyBorder="0" applyAlignment="0" applyProtection="0">
      <alignment vertical="center"/>
    </xf>
    <xf numFmtId="9" fontId="2" fillId="0" borderId="0" applyFont="0" applyFill="0" applyBorder="0" applyAlignment="0" applyProtection="0">
      <alignment vertical="center"/>
    </xf>
  </cellStyleXfs>
  <cellXfs count="281">
    <xf numFmtId="0" fontId="0" fillId="0" borderId="0" xfId="0">
      <alignment vertical="center"/>
    </xf>
    <xf numFmtId="0" fontId="0" fillId="0" borderId="0" xfId="0" applyProtection="1">
      <alignment vertical="center"/>
    </xf>
    <xf numFmtId="0" fontId="0" fillId="0" borderId="0" xfId="0" applyFill="1" applyProtection="1">
      <alignment vertical="center"/>
    </xf>
    <xf numFmtId="0" fontId="0" fillId="0" borderId="0" xfId="0" applyBorder="1" applyProtection="1">
      <alignment vertical="center"/>
    </xf>
    <xf numFmtId="14" fontId="0" fillId="0" borderId="0" xfId="0" applyNumberFormat="1" applyBorder="1" applyProtection="1">
      <alignment vertical="center"/>
    </xf>
    <xf numFmtId="0" fontId="0" fillId="0" borderId="1" xfId="0" applyBorder="1" applyProtection="1">
      <alignment vertical="center"/>
    </xf>
    <xf numFmtId="0" fontId="0" fillId="0" borderId="1" xfId="0" applyFill="1" applyBorder="1" applyProtection="1">
      <alignment vertical="center"/>
    </xf>
    <xf numFmtId="178" fontId="0" fillId="0" borderId="1" xfId="0" applyNumberFormat="1" applyBorder="1" applyProtection="1">
      <alignment vertical="center"/>
    </xf>
    <xf numFmtId="6" fontId="7" fillId="0" borderId="28" xfId="1" applyNumberFormat="1" applyFont="1" applyBorder="1" applyAlignment="1" applyProtection="1">
      <alignment horizontal="right" vertical="center"/>
    </xf>
    <xf numFmtId="38" fontId="4" fillId="2" borderId="3" xfId="1" applyFont="1" applyFill="1" applyBorder="1" applyProtection="1">
      <alignment vertical="center"/>
      <protection locked="0"/>
    </xf>
    <xf numFmtId="38" fontId="4" fillId="2" borderId="5" xfId="1" applyFont="1" applyFill="1" applyBorder="1" applyProtection="1">
      <alignment vertical="center"/>
      <protection locked="0"/>
    </xf>
    <xf numFmtId="31" fontId="4" fillId="2" borderId="5" xfId="0" applyNumberFormat="1" applyFont="1" applyFill="1" applyBorder="1" applyAlignment="1" applyProtection="1">
      <alignment horizontal="right" vertical="center"/>
      <protection locked="0"/>
    </xf>
    <xf numFmtId="0" fontId="0" fillId="0" borderId="0" xfId="0" applyProtection="1">
      <alignment vertical="center"/>
    </xf>
    <xf numFmtId="0" fontId="0" fillId="0" borderId="0" xfId="0" applyFill="1" applyProtection="1">
      <alignment vertical="center"/>
    </xf>
    <xf numFmtId="0" fontId="0" fillId="0" borderId="0" xfId="0" applyBorder="1" applyProtection="1">
      <alignment vertical="center"/>
    </xf>
    <xf numFmtId="0" fontId="4" fillId="0" borderId="7" xfId="0" applyFont="1" applyFill="1" applyBorder="1" applyAlignment="1" applyProtection="1">
      <alignment horizontal="center" vertical="center"/>
    </xf>
    <xf numFmtId="0" fontId="0" fillId="0" borderId="0" xfId="0" applyFill="1" applyBorder="1" applyProtection="1">
      <alignment vertical="center"/>
    </xf>
    <xf numFmtId="0" fontId="0" fillId="0" borderId="0" xfId="0" applyBorder="1" applyProtection="1">
      <alignment vertical="center"/>
      <protection hidden="1"/>
    </xf>
    <xf numFmtId="0" fontId="4" fillId="0" borderId="7" xfId="0" applyFont="1" applyFill="1" applyBorder="1" applyAlignment="1" applyProtection="1">
      <alignment horizontal="center" vertical="center"/>
      <protection hidden="1"/>
    </xf>
    <xf numFmtId="14" fontId="4" fillId="0" borderId="9" xfId="0" applyNumberFormat="1" applyFont="1" applyFill="1" applyBorder="1" applyProtection="1">
      <alignment vertical="center"/>
      <protection hidden="1"/>
    </xf>
    <xf numFmtId="14" fontId="4" fillId="0" borderId="1" xfId="0" applyNumberFormat="1" applyFont="1" applyFill="1" applyBorder="1" applyProtection="1">
      <alignment vertical="center"/>
      <protection hidden="1"/>
    </xf>
    <xf numFmtId="14" fontId="4" fillId="0" borderId="26" xfId="0" applyNumberFormat="1" applyFont="1" applyFill="1" applyBorder="1" applyProtection="1">
      <alignment vertical="center"/>
      <protection hidden="1"/>
    </xf>
    <xf numFmtId="14" fontId="4" fillId="0" borderId="7" xfId="0" applyNumberFormat="1" applyFont="1" applyFill="1" applyBorder="1" applyProtection="1">
      <alignment vertical="center"/>
      <protection hidden="1"/>
    </xf>
    <xf numFmtId="38" fontId="4" fillId="0" borderId="5" xfId="1" applyFont="1" applyFill="1" applyBorder="1" applyProtection="1">
      <alignment vertical="center"/>
    </xf>
    <xf numFmtId="0" fontId="4" fillId="0" borderId="0" xfId="0" applyFont="1" applyProtection="1">
      <alignment vertical="center"/>
    </xf>
    <xf numFmtId="0" fontId="3" fillId="2" borderId="0" xfId="0" applyFont="1" applyFill="1" applyAlignment="1" applyProtection="1">
      <alignment horizontal="center" vertical="center"/>
    </xf>
    <xf numFmtId="0" fontId="3" fillId="0" borderId="0" xfId="0" applyFont="1" applyProtection="1">
      <alignment vertical="center"/>
    </xf>
    <xf numFmtId="0" fontId="4" fillId="0" borderId="2" xfId="0" applyFont="1" applyBorder="1" applyProtection="1">
      <alignment vertical="center"/>
    </xf>
    <xf numFmtId="0" fontId="4" fillId="0" borderId="4" xfId="0" applyFont="1" applyBorder="1" applyProtection="1">
      <alignment vertical="center"/>
    </xf>
    <xf numFmtId="38" fontId="4" fillId="0" borderId="0" xfId="0" applyNumberFormat="1" applyFont="1" applyProtection="1">
      <alignment vertical="center"/>
    </xf>
    <xf numFmtId="31" fontId="0" fillId="0" borderId="0" xfId="0" applyNumberFormat="1" applyFill="1" applyProtection="1">
      <alignment vertical="center"/>
    </xf>
    <xf numFmtId="0" fontId="4" fillId="0" borderId="6" xfId="0" applyFont="1" applyBorder="1" applyProtection="1">
      <alignment vertical="center"/>
    </xf>
    <xf numFmtId="0" fontId="4" fillId="0" borderId="0" xfId="0" applyFont="1" applyBorder="1" applyProtection="1">
      <alignment vertical="center"/>
    </xf>
    <xf numFmtId="0" fontId="5" fillId="0" borderId="0" xfId="0" applyFont="1" applyProtection="1">
      <alignment vertical="center"/>
    </xf>
    <xf numFmtId="0" fontId="0" fillId="0" borderId="0" xfId="0" applyBorder="1" applyAlignment="1" applyProtection="1">
      <alignment horizontal="right" vertical="center"/>
    </xf>
    <xf numFmtId="0" fontId="0" fillId="0" borderId="0" xfId="0" applyFill="1" applyBorder="1" applyAlignment="1" applyProtection="1">
      <alignment horizontal="right" vertical="center"/>
    </xf>
    <xf numFmtId="38" fontId="0" fillId="0" borderId="0" xfId="0" applyNumberFormat="1" applyProtection="1">
      <alignment vertical="center"/>
    </xf>
    <xf numFmtId="56" fontId="0" fillId="0" borderId="0" xfId="0" applyNumberFormat="1" applyBorder="1" applyProtection="1">
      <alignment vertical="center"/>
    </xf>
    <xf numFmtId="0" fontId="4" fillId="0" borderId="0" xfId="0" applyFont="1" applyFill="1" applyProtection="1">
      <alignment vertical="center"/>
    </xf>
    <xf numFmtId="0" fontId="4" fillId="0" borderId="0" xfId="0" applyFont="1" applyAlignment="1" applyProtection="1">
      <alignment vertical="center" wrapText="1"/>
    </xf>
    <xf numFmtId="0" fontId="4" fillId="0" borderId="6" xfId="0" applyFont="1" applyBorder="1" applyAlignment="1" applyProtection="1">
      <alignment horizontal="center" vertical="center"/>
    </xf>
    <xf numFmtId="0" fontId="4" fillId="0" borderId="7" xfId="0" applyFont="1" applyBorder="1" applyAlignment="1" applyProtection="1">
      <alignment horizontal="center" vertical="center"/>
    </xf>
    <xf numFmtId="0" fontId="4" fillId="0" borderId="16" xfId="0" applyFont="1" applyBorder="1" applyAlignment="1" applyProtection="1">
      <alignment horizontal="center" vertical="center"/>
    </xf>
    <xf numFmtId="0" fontId="4" fillId="0" borderId="22" xfId="0" applyFont="1" applyBorder="1" applyAlignment="1" applyProtection="1">
      <alignment horizontal="center" vertical="center"/>
    </xf>
    <xf numFmtId="0" fontId="4" fillId="0" borderId="23" xfId="0" applyFont="1" applyBorder="1" applyAlignment="1" applyProtection="1">
      <alignment horizontal="center" vertical="center"/>
    </xf>
    <xf numFmtId="0" fontId="4" fillId="0" borderId="9" xfId="0" applyFont="1" applyBorder="1" applyProtection="1">
      <alignment vertical="center"/>
    </xf>
    <xf numFmtId="0" fontId="4" fillId="0" borderId="9" xfId="0" applyNumberFormat="1" applyFont="1" applyFill="1" applyBorder="1" applyAlignment="1" applyProtection="1">
      <alignment horizontal="center" vertical="center"/>
    </xf>
    <xf numFmtId="0" fontId="4" fillId="0" borderId="9" xfId="0" applyNumberFormat="1" applyFont="1" applyFill="1" applyBorder="1" applyProtection="1">
      <alignment vertical="center"/>
    </xf>
    <xf numFmtId="38" fontId="4" fillId="0" borderId="9" xfId="1" applyFont="1" applyFill="1" applyBorder="1" applyProtection="1">
      <alignment vertical="center"/>
    </xf>
    <xf numFmtId="0" fontId="4" fillId="0" borderId="1" xfId="0" applyFont="1" applyBorder="1" applyProtection="1">
      <alignment vertical="center"/>
    </xf>
    <xf numFmtId="38" fontId="4" fillId="0" borderId="1" xfId="1" applyFont="1" applyFill="1" applyBorder="1" applyProtection="1">
      <alignment vertical="center"/>
    </xf>
    <xf numFmtId="0" fontId="4" fillId="0" borderId="26" xfId="0" applyFont="1" applyBorder="1" applyProtection="1">
      <alignment vertical="center"/>
    </xf>
    <xf numFmtId="0" fontId="4" fillId="0" borderId="12" xfId="0" applyNumberFormat="1" applyFont="1" applyFill="1" applyBorder="1" applyAlignment="1" applyProtection="1">
      <alignment horizontal="center" vertical="center"/>
    </xf>
    <xf numFmtId="0" fontId="4" fillId="0" borderId="12" xfId="0" applyNumberFormat="1" applyFont="1" applyFill="1" applyBorder="1" applyProtection="1">
      <alignment vertical="center"/>
    </xf>
    <xf numFmtId="0" fontId="4" fillId="0" borderId="10" xfId="0" applyFont="1" applyBorder="1" applyProtection="1">
      <alignment vertical="center"/>
    </xf>
    <xf numFmtId="38" fontId="4" fillId="0" borderId="10" xfId="1" applyFont="1" applyFill="1" applyBorder="1" applyProtection="1">
      <alignment vertical="center"/>
    </xf>
    <xf numFmtId="38" fontId="4" fillId="0" borderId="26" xfId="1" applyFont="1" applyFill="1" applyBorder="1" applyProtection="1">
      <alignment vertical="center"/>
    </xf>
    <xf numFmtId="0" fontId="4" fillId="0" borderId="30" xfId="0" applyFont="1" applyBorder="1" applyProtection="1">
      <alignment vertical="center"/>
    </xf>
    <xf numFmtId="38" fontId="4" fillId="0" borderId="31" xfId="1" applyFont="1" applyFill="1" applyBorder="1" applyProtection="1">
      <alignment vertical="center"/>
    </xf>
    <xf numFmtId="0" fontId="4" fillId="0" borderId="32" xfId="0" applyNumberFormat="1" applyFont="1" applyFill="1" applyBorder="1" applyAlignment="1" applyProtection="1">
      <alignment horizontal="center" vertical="center"/>
    </xf>
    <xf numFmtId="0" fontId="4" fillId="0" borderId="32" xfId="0" applyNumberFormat="1" applyFont="1" applyFill="1" applyBorder="1" applyProtection="1">
      <alignment vertical="center"/>
    </xf>
    <xf numFmtId="38" fontId="4" fillId="0" borderId="3" xfId="1" applyFont="1" applyBorder="1" applyAlignment="1" applyProtection="1">
      <alignment vertical="center" wrapText="1"/>
    </xf>
    <xf numFmtId="38" fontId="4" fillId="0" borderId="13" xfId="1" applyFont="1" applyBorder="1" applyAlignment="1" applyProtection="1">
      <alignment vertical="center" wrapText="1"/>
    </xf>
    <xf numFmtId="38" fontId="4" fillId="0" borderId="24" xfId="1" applyFont="1" applyBorder="1" applyProtection="1">
      <alignment vertical="center"/>
    </xf>
    <xf numFmtId="38" fontId="4" fillId="0" borderId="15" xfId="1" applyFont="1" applyBorder="1" applyAlignment="1" applyProtection="1">
      <alignment vertical="center" wrapText="1"/>
    </xf>
    <xf numFmtId="38" fontId="4" fillId="0" borderId="4" xfId="1" applyFont="1" applyBorder="1" applyAlignment="1" applyProtection="1">
      <alignment vertical="center" wrapText="1"/>
    </xf>
    <xf numFmtId="38" fontId="4" fillId="0" borderId="21" xfId="1" applyFont="1" applyBorder="1" applyProtection="1">
      <alignment vertical="center"/>
    </xf>
    <xf numFmtId="38" fontId="4" fillId="0" borderId="29" xfId="1" applyFont="1" applyBorder="1" applyAlignment="1" applyProtection="1">
      <alignment vertical="center" wrapText="1"/>
    </xf>
    <xf numFmtId="38" fontId="4" fillId="0" borderId="22" xfId="1" applyFont="1" applyBorder="1" applyAlignment="1" applyProtection="1">
      <alignment vertical="center" wrapText="1"/>
    </xf>
    <xf numFmtId="38" fontId="4" fillId="0" borderId="27" xfId="1" applyFont="1" applyBorder="1" applyProtection="1">
      <alignment vertical="center"/>
    </xf>
    <xf numFmtId="38" fontId="4" fillId="3" borderId="33" xfId="1" applyFont="1" applyFill="1" applyBorder="1" applyAlignment="1" applyProtection="1">
      <alignment vertical="center" wrapText="1"/>
    </xf>
    <xf numFmtId="38" fontId="4" fillId="0" borderId="34" xfId="1" applyFont="1" applyBorder="1" applyProtection="1">
      <alignment vertical="center"/>
    </xf>
    <xf numFmtId="38" fontId="4" fillId="0" borderId="35" xfId="1" applyFont="1" applyBorder="1" applyProtection="1">
      <alignment vertical="center"/>
    </xf>
    <xf numFmtId="177" fontId="4" fillId="0" borderId="1" xfId="0" applyNumberFormat="1" applyFont="1" applyFill="1" applyBorder="1" applyProtection="1">
      <alignment vertical="center"/>
    </xf>
    <xf numFmtId="177" fontId="4" fillId="0" borderId="26" xfId="0" applyNumberFormat="1" applyFont="1" applyFill="1" applyBorder="1" applyProtection="1">
      <alignment vertical="center"/>
    </xf>
    <xf numFmtId="177" fontId="4" fillId="0" borderId="32" xfId="1" applyNumberFormat="1" applyFont="1" applyFill="1" applyBorder="1" applyProtection="1">
      <alignment vertical="center"/>
    </xf>
    <xf numFmtId="177" fontId="4" fillId="2" borderId="9" xfId="0" applyNumberFormat="1" applyFont="1" applyFill="1" applyBorder="1" applyProtection="1">
      <alignment vertical="center"/>
      <protection locked="0"/>
    </xf>
    <xf numFmtId="0" fontId="4" fillId="0" borderId="22" xfId="0" applyFont="1" applyBorder="1" applyProtection="1">
      <alignment vertical="center"/>
    </xf>
    <xf numFmtId="0" fontId="0" fillId="0" borderId="0" xfId="0" applyBorder="1" applyAlignment="1" applyProtection="1">
      <alignment horizontal="left" vertical="center"/>
    </xf>
    <xf numFmtId="0" fontId="0" fillId="0" borderId="1" xfId="0" applyFill="1" applyBorder="1" applyProtection="1">
      <alignment vertical="center"/>
    </xf>
    <xf numFmtId="178" fontId="4" fillId="2" borderId="23" xfId="0" applyNumberFormat="1" applyFont="1" applyFill="1" applyBorder="1" applyAlignment="1" applyProtection="1">
      <alignment horizontal="right" vertical="center"/>
      <protection locked="0"/>
    </xf>
    <xf numFmtId="179" fontId="4" fillId="2" borderId="8" xfId="2" applyNumberFormat="1" applyFont="1" applyFill="1" applyBorder="1" applyProtection="1">
      <alignment vertical="center"/>
      <protection locked="0"/>
    </xf>
    <xf numFmtId="179" fontId="4" fillId="0" borderId="9" xfId="2" applyNumberFormat="1" applyFont="1" applyBorder="1" applyAlignment="1" applyProtection="1">
      <alignment horizontal="center" vertical="center" wrapText="1"/>
    </xf>
    <xf numFmtId="179" fontId="4" fillId="0" borderId="12" xfId="2" applyNumberFormat="1" applyFont="1" applyBorder="1" applyAlignment="1" applyProtection="1">
      <alignment horizontal="center" vertical="center" wrapText="1"/>
    </xf>
    <xf numFmtId="179" fontId="4" fillId="0" borderId="31" xfId="1" applyNumberFormat="1" applyFont="1" applyFill="1" applyBorder="1" applyProtection="1">
      <alignment vertical="center"/>
    </xf>
    <xf numFmtId="179" fontId="4" fillId="0" borderId="10" xfId="2" applyNumberFormat="1" applyFont="1" applyBorder="1" applyAlignment="1" applyProtection="1">
      <alignment horizontal="center" vertical="center" wrapText="1"/>
    </xf>
    <xf numFmtId="0" fontId="8" fillId="0" borderId="0" xfId="0" applyFont="1" applyProtection="1">
      <alignment vertical="center"/>
    </xf>
    <xf numFmtId="0" fontId="9" fillId="0" borderId="0" xfId="0" applyFont="1" applyProtection="1">
      <alignment vertical="center"/>
    </xf>
    <xf numFmtId="177" fontId="4" fillId="2" borderId="5" xfId="0" applyNumberFormat="1" applyFont="1" applyFill="1" applyBorder="1" applyAlignment="1" applyProtection="1">
      <alignment horizontal="right" vertical="center"/>
      <protection locked="0"/>
    </xf>
    <xf numFmtId="38" fontId="4" fillId="0" borderId="0" xfId="0" applyNumberFormat="1" applyFont="1" applyFill="1" applyProtection="1">
      <alignment vertical="center"/>
    </xf>
    <xf numFmtId="0" fontId="0" fillId="0" borderId="0" xfId="0" applyNumberFormat="1" applyBorder="1" applyProtection="1">
      <alignment vertical="center"/>
    </xf>
    <xf numFmtId="14" fontId="0" fillId="0" borderId="0" xfId="0" applyNumberFormat="1" applyBorder="1" applyAlignment="1" applyProtection="1">
      <alignment horizontal="left" vertical="center"/>
    </xf>
    <xf numFmtId="0" fontId="4" fillId="0" borderId="8" xfId="0" applyFont="1" applyBorder="1" applyAlignment="1" applyProtection="1">
      <alignment horizontal="center" vertical="center"/>
    </xf>
    <xf numFmtId="176" fontId="0" fillId="0" borderId="0" xfId="0" applyNumberFormat="1" applyBorder="1" applyProtection="1">
      <alignment vertical="center"/>
    </xf>
    <xf numFmtId="176" fontId="0" fillId="0" borderId="26" xfId="0" applyNumberFormat="1" applyBorder="1" applyProtection="1">
      <alignment vertical="center"/>
    </xf>
    <xf numFmtId="176" fontId="0" fillId="0" borderId="12" xfId="0" applyNumberFormat="1" applyBorder="1" applyProtection="1">
      <alignment vertical="center"/>
    </xf>
    <xf numFmtId="176" fontId="0" fillId="0" borderId="9" xfId="0" applyNumberFormat="1" applyBorder="1" applyProtection="1">
      <alignment vertical="center"/>
    </xf>
    <xf numFmtId="176" fontId="0" fillId="0" borderId="38" xfId="0" applyNumberFormat="1" applyBorder="1" applyProtection="1">
      <alignment vertical="center"/>
    </xf>
    <xf numFmtId="176" fontId="0" fillId="0" borderId="39" xfId="0" applyNumberFormat="1" applyBorder="1" applyProtection="1">
      <alignment vertical="center"/>
    </xf>
    <xf numFmtId="176" fontId="0" fillId="0" borderId="40" xfId="0" applyNumberFormat="1" applyBorder="1" applyProtection="1">
      <alignment vertical="center"/>
    </xf>
    <xf numFmtId="177" fontId="4" fillId="2" borderId="1" xfId="0" applyNumberFormat="1" applyFont="1" applyFill="1" applyBorder="1" applyProtection="1">
      <alignment vertical="center"/>
      <protection locked="0"/>
    </xf>
    <xf numFmtId="0" fontId="4" fillId="0" borderId="42" xfId="0" applyFont="1" applyBorder="1" applyProtection="1">
      <alignment vertical="center"/>
    </xf>
    <xf numFmtId="177" fontId="4" fillId="2" borderId="9" xfId="0" applyNumberFormat="1" applyFont="1" applyFill="1" applyBorder="1" applyProtection="1">
      <alignment vertical="center"/>
    </xf>
    <xf numFmtId="0" fontId="10" fillId="0" borderId="28" xfId="0" applyFont="1" applyBorder="1" applyAlignment="1" applyProtection="1">
      <alignment horizontal="center" vertical="center"/>
    </xf>
    <xf numFmtId="0" fontId="4" fillId="0" borderId="0" xfId="0" applyFont="1" applyBorder="1" applyAlignment="1" applyProtection="1">
      <alignment horizontal="center" vertical="center" wrapText="1"/>
    </xf>
    <xf numFmtId="0" fontId="4" fillId="0" borderId="0" xfId="0" applyFont="1" applyBorder="1" applyAlignment="1" applyProtection="1">
      <alignment horizontal="center" vertical="center"/>
    </xf>
    <xf numFmtId="38" fontId="4" fillId="0" borderId="0" xfId="1" applyFont="1" applyBorder="1" applyProtection="1">
      <alignment vertical="center"/>
    </xf>
    <xf numFmtId="38" fontId="4" fillId="0" borderId="0" xfId="1" applyFont="1" applyFill="1" applyBorder="1" applyProtection="1">
      <alignment vertical="center"/>
    </xf>
    <xf numFmtId="38" fontId="4" fillId="0" borderId="3" xfId="1" applyFont="1" applyFill="1" applyBorder="1" applyProtection="1">
      <alignment vertical="center"/>
    </xf>
    <xf numFmtId="31" fontId="4" fillId="0" borderId="5" xfId="0" applyNumberFormat="1" applyFont="1" applyFill="1" applyBorder="1" applyAlignment="1" applyProtection="1">
      <alignment horizontal="right" vertical="center"/>
    </xf>
    <xf numFmtId="179" fontId="4" fillId="0" borderId="8" xfId="2" applyNumberFormat="1" applyFont="1" applyFill="1" applyBorder="1" applyProtection="1">
      <alignment vertical="center"/>
    </xf>
    <xf numFmtId="177" fontId="4" fillId="0" borderId="5" xfId="0" applyNumberFormat="1" applyFont="1" applyFill="1" applyBorder="1" applyAlignment="1" applyProtection="1">
      <alignment horizontal="right" vertical="center"/>
    </xf>
    <xf numFmtId="178" fontId="4" fillId="0" borderId="23" xfId="0" applyNumberFormat="1" applyFont="1" applyFill="1" applyBorder="1" applyAlignment="1" applyProtection="1">
      <alignment horizontal="right" vertical="center"/>
    </xf>
    <xf numFmtId="0" fontId="4" fillId="2" borderId="9" xfId="0" applyNumberFormat="1" applyFont="1" applyFill="1" applyBorder="1" applyAlignment="1" applyProtection="1">
      <alignment horizontal="center" vertical="center"/>
      <protection locked="0"/>
    </xf>
    <xf numFmtId="177" fontId="4" fillId="2" borderId="10" xfId="0" applyNumberFormat="1" applyFont="1" applyFill="1" applyBorder="1" applyProtection="1">
      <alignment vertical="center"/>
      <protection locked="0"/>
    </xf>
    <xf numFmtId="0" fontId="4" fillId="2" borderId="10" xfId="0" applyNumberFormat="1" applyFont="1" applyFill="1" applyBorder="1" applyProtection="1">
      <alignment vertical="center"/>
      <protection locked="0"/>
    </xf>
    <xf numFmtId="38" fontId="4" fillId="2" borderId="9" xfId="1" applyFont="1" applyFill="1" applyBorder="1" applyProtection="1">
      <alignment vertical="center"/>
      <protection locked="0"/>
    </xf>
    <xf numFmtId="179" fontId="4" fillId="2" borderId="9" xfId="2" applyNumberFormat="1" applyFont="1" applyFill="1" applyBorder="1" applyAlignment="1" applyProtection="1">
      <alignment horizontal="center" vertical="center" wrapText="1"/>
      <protection locked="0"/>
    </xf>
    <xf numFmtId="38" fontId="4" fillId="2" borderId="15" xfId="1" applyFont="1" applyFill="1" applyBorder="1" applyAlignment="1" applyProtection="1">
      <alignment vertical="center" wrapText="1"/>
      <protection locked="0"/>
    </xf>
    <xf numFmtId="38" fontId="4" fillId="2" borderId="13" xfId="1" applyFont="1" applyFill="1" applyBorder="1" applyAlignment="1" applyProtection="1">
      <alignment vertical="center" wrapText="1"/>
      <protection locked="0"/>
    </xf>
    <xf numFmtId="177" fontId="4" fillId="2" borderId="26" xfId="0" applyNumberFormat="1" applyFont="1" applyFill="1" applyBorder="1" applyProtection="1">
      <alignment vertical="center"/>
      <protection locked="0"/>
    </xf>
    <xf numFmtId="0" fontId="4" fillId="2" borderId="9" xfId="0" applyNumberFormat="1" applyFont="1" applyFill="1" applyBorder="1" applyProtection="1">
      <alignment vertical="center"/>
      <protection locked="0"/>
    </xf>
    <xf numFmtId="38" fontId="4" fillId="2" borderId="1" xfId="1" applyFont="1" applyFill="1" applyBorder="1" applyProtection="1">
      <alignment vertical="center"/>
      <protection locked="0"/>
    </xf>
    <xf numFmtId="38" fontId="4" fillId="2" borderId="4" xfId="1" applyFont="1" applyFill="1" applyBorder="1" applyAlignment="1" applyProtection="1">
      <alignment vertical="center" wrapText="1"/>
      <protection locked="0"/>
    </xf>
    <xf numFmtId="38" fontId="4" fillId="2" borderId="21" xfId="1" applyFont="1" applyFill="1" applyBorder="1" applyProtection="1">
      <alignment vertical="center"/>
      <protection locked="0"/>
    </xf>
    <xf numFmtId="0" fontId="4" fillId="2" borderId="43" xfId="0" applyNumberFormat="1" applyFont="1" applyFill="1" applyBorder="1" applyAlignment="1" applyProtection="1">
      <alignment horizontal="center" vertical="center"/>
      <protection locked="0"/>
    </xf>
    <xf numFmtId="0" fontId="4" fillId="2" borderId="41" xfId="0" applyNumberFormat="1" applyFont="1" applyFill="1" applyBorder="1" applyAlignment="1" applyProtection="1">
      <alignment horizontal="center" vertical="center"/>
      <protection locked="0"/>
    </xf>
    <xf numFmtId="0" fontId="4" fillId="2" borderId="12" xfId="0" applyNumberFormat="1" applyFont="1" applyFill="1" applyBorder="1" applyAlignment="1" applyProtection="1">
      <alignment horizontal="center" vertical="center"/>
      <protection locked="0"/>
    </xf>
    <xf numFmtId="0" fontId="4" fillId="2" borderId="12" xfId="0" applyNumberFormat="1" applyFont="1" applyFill="1" applyBorder="1" applyProtection="1">
      <alignment vertical="center"/>
      <protection locked="0"/>
    </xf>
    <xf numFmtId="38" fontId="4" fillId="2" borderId="29" xfId="1" applyFont="1" applyFill="1" applyBorder="1" applyAlignment="1" applyProtection="1">
      <alignment vertical="center" wrapText="1"/>
      <protection locked="0"/>
    </xf>
    <xf numFmtId="38" fontId="4" fillId="2" borderId="22" xfId="1" applyFont="1" applyFill="1" applyBorder="1" applyAlignment="1" applyProtection="1">
      <alignment vertical="center" wrapText="1"/>
      <protection locked="0"/>
    </xf>
    <xf numFmtId="38" fontId="4" fillId="2" borderId="24" xfId="1" applyFont="1" applyFill="1" applyBorder="1" applyProtection="1">
      <alignment vertical="center"/>
      <protection locked="0"/>
    </xf>
    <xf numFmtId="38" fontId="4" fillId="2" borderId="26" xfId="1" applyFont="1" applyFill="1" applyBorder="1" applyProtection="1">
      <alignment vertical="center"/>
      <protection locked="0"/>
    </xf>
    <xf numFmtId="38" fontId="4" fillId="2" borderId="27" xfId="1" applyFont="1" applyFill="1" applyBorder="1" applyProtection="1">
      <alignment vertical="center"/>
      <protection locked="0"/>
    </xf>
    <xf numFmtId="0" fontId="11" fillId="2" borderId="28" xfId="0" applyFont="1" applyFill="1" applyBorder="1" applyAlignment="1" applyProtection="1">
      <alignment horizontal="center" vertical="center"/>
      <protection locked="0"/>
    </xf>
    <xf numFmtId="0" fontId="4" fillId="0" borderId="10" xfId="0" applyNumberFormat="1" applyFont="1" applyFill="1" applyBorder="1" applyAlignment="1" applyProtection="1">
      <alignment horizontal="center" vertical="center"/>
    </xf>
    <xf numFmtId="0" fontId="4" fillId="0" borderId="10" xfId="0" applyNumberFormat="1" applyFont="1" applyFill="1" applyBorder="1" applyProtection="1">
      <alignment vertical="center"/>
    </xf>
    <xf numFmtId="0" fontId="4" fillId="0" borderId="7" xfId="0" applyNumberFormat="1" applyFont="1" applyFill="1" applyBorder="1" applyAlignment="1" applyProtection="1">
      <alignment horizontal="center" vertical="center"/>
    </xf>
    <xf numFmtId="0" fontId="4" fillId="0" borderId="7" xfId="0" applyNumberFormat="1" applyFont="1" applyFill="1" applyBorder="1" applyProtection="1">
      <alignment vertical="center"/>
    </xf>
    <xf numFmtId="0" fontId="0" fillId="0" borderId="28" xfId="0" applyBorder="1" applyProtection="1">
      <alignment vertical="center"/>
    </xf>
    <xf numFmtId="0" fontId="7" fillId="0" borderId="28" xfId="0" applyFont="1" applyBorder="1" applyAlignment="1" applyProtection="1">
      <alignment horizontal="center" vertical="center"/>
    </xf>
    <xf numFmtId="0" fontId="0" fillId="0" borderId="1" xfId="0" applyBorder="1">
      <alignment vertical="center"/>
    </xf>
    <xf numFmtId="0" fontId="7" fillId="0" borderId="28" xfId="0" applyFont="1" applyBorder="1" applyAlignment="1" applyProtection="1">
      <alignment horizontal="center" vertical="center"/>
    </xf>
    <xf numFmtId="0" fontId="4" fillId="0" borderId="0" xfId="0" applyFont="1" applyBorder="1" applyAlignment="1" applyProtection="1">
      <alignment vertical="center"/>
    </xf>
    <xf numFmtId="0" fontId="0" fillId="0" borderId="1" xfId="0" applyBorder="1" applyAlignment="1">
      <alignment horizontal="center" vertical="center"/>
    </xf>
    <xf numFmtId="38" fontId="0" fillId="0" borderId="1" xfId="0" applyNumberFormat="1" applyBorder="1">
      <alignment vertical="center"/>
    </xf>
    <xf numFmtId="0" fontId="16" fillId="0" borderId="0" xfId="0" applyFont="1">
      <alignment vertical="center"/>
    </xf>
    <xf numFmtId="0" fontId="17" fillId="0" borderId="0" xfId="0" applyFont="1" applyProtection="1">
      <alignment vertical="center"/>
    </xf>
    <xf numFmtId="38" fontId="4" fillId="0" borderId="7" xfId="1" applyFont="1" applyFill="1" applyBorder="1" applyProtection="1">
      <alignment vertical="center"/>
    </xf>
    <xf numFmtId="179" fontId="4" fillId="0" borderId="7" xfId="2" applyNumberFormat="1" applyFont="1" applyBorder="1" applyAlignment="1" applyProtection="1">
      <alignment horizontal="center" vertical="center" wrapText="1"/>
    </xf>
    <xf numFmtId="38" fontId="4" fillId="0" borderId="8" xfId="1" applyFont="1" applyBorder="1" applyAlignment="1" applyProtection="1">
      <alignment vertical="center" wrapText="1"/>
    </xf>
    <xf numFmtId="38" fontId="4" fillId="0" borderId="51" xfId="1" applyFont="1" applyBorder="1" applyAlignment="1" applyProtection="1">
      <alignment vertical="center" wrapText="1"/>
    </xf>
    <xf numFmtId="0" fontId="4" fillId="0" borderId="26" xfId="0" applyNumberFormat="1" applyFont="1" applyFill="1" applyBorder="1" applyAlignment="1" applyProtection="1">
      <alignment horizontal="center" vertical="center"/>
    </xf>
    <xf numFmtId="0" fontId="4" fillId="0" borderId="26" xfId="0" applyNumberFormat="1" applyFont="1" applyFill="1" applyBorder="1" applyProtection="1">
      <alignment vertical="center"/>
    </xf>
    <xf numFmtId="179" fontId="4" fillId="0" borderId="26" xfId="2" applyNumberFormat="1" applyFont="1" applyBorder="1" applyAlignment="1" applyProtection="1">
      <alignment horizontal="center" vertical="center" wrapText="1"/>
    </xf>
    <xf numFmtId="38" fontId="4" fillId="0" borderId="23" xfId="1" applyFont="1" applyBorder="1" applyAlignment="1" applyProtection="1">
      <alignment vertical="center" wrapText="1"/>
    </xf>
    <xf numFmtId="0" fontId="4" fillId="0" borderId="45" xfId="0" applyFont="1" applyBorder="1" applyAlignment="1" applyProtection="1">
      <alignment horizontal="center" vertical="center"/>
    </xf>
    <xf numFmtId="0" fontId="4" fillId="0" borderId="56" xfId="0" applyFont="1" applyBorder="1" applyProtection="1">
      <alignment vertical="center"/>
    </xf>
    <xf numFmtId="177" fontId="4" fillId="2" borderId="7" xfId="0" applyNumberFormat="1" applyFont="1" applyFill="1" applyBorder="1" applyProtection="1">
      <alignment vertical="center"/>
      <protection locked="0"/>
    </xf>
    <xf numFmtId="38" fontId="4" fillId="2" borderId="10" xfId="1" applyFont="1" applyFill="1" applyBorder="1" applyProtection="1">
      <alignment vertical="center"/>
      <protection locked="0"/>
    </xf>
    <xf numFmtId="38" fontId="4" fillId="2" borderId="7" xfId="1" applyFont="1" applyFill="1" applyBorder="1" applyProtection="1">
      <alignment vertical="center"/>
      <protection locked="0"/>
    </xf>
    <xf numFmtId="177" fontId="4" fillId="2" borderId="0" xfId="0" applyNumberFormat="1" applyFont="1" applyFill="1" applyBorder="1" applyProtection="1">
      <alignment vertical="center"/>
      <protection locked="0"/>
    </xf>
    <xf numFmtId="0" fontId="4" fillId="0" borderId="58" xfId="0" applyFont="1" applyBorder="1" applyAlignment="1" applyProtection="1">
      <alignment horizontal="center" vertical="center"/>
    </xf>
    <xf numFmtId="14" fontId="0" fillId="0" borderId="0" xfId="0" applyNumberFormat="1" applyProtection="1">
      <alignment vertical="center"/>
    </xf>
    <xf numFmtId="176" fontId="0" fillId="0" borderId="0" xfId="0" applyNumberFormat="1" applyProtection="1">
      <alignment vertical="center"/>
    </xf>
    <xf numFmtId="0" fontId="7" fillId="0" borderId="28" xfId="1" applyNumberFormat="1" applyFont="1" applyBorder="1" applyAlignment="1" applyProtection="1">
      <alignment horizontal="right" vertical="center"/>
    </xf>
    <xf numFmtId="177" fontId="4" fillId="0" borderId="9" xfId="0" applyNumberFormat="1" applyFont="1" applyFill="1" applyBorder="1" applyProtection="1">
      <alignment vertical="center"/>
    </xf>
    <xf numFmtId="0" fontId="13" fillId="0" borderId="2" xfId="0" applyFont="1" applyBorder="1" applyAlignment="1" applyProtection="1">
      <alignment horizontal="left" vertical="center"/>
    </xf>
    <xf numFmtId="0" fontId="4" fillId="2" borderId="10" xfId="0" applyNumberFormat="1" applyFont="1" applyFill="1" applyBorder="1" applyAlignment="1" applyProtection="1">
      <alignment horizontal="center" vertical="center"/>
      <protection locked="0"/>
    </xf>
    <xf numFmtId="179" fontId="4" fillId="2" borderId="10" xfId="2" applyNumberFormat="1" applyFont="1" applyFill="1" applyBorder="1" applyAlignment="1" applyProtection="1">
      <alignment horizontal="center" vertical="center" wrapText="1"/>
      <protection locked="0"/>
    </xf>
    <xf numFmtId="38" fontId="4" fillId="2" borderId="3" xfId="1" applyFont="1" applyFill="1" applyBorder="1" applyAlignment="1" applyProtection="1">
      <alignment vertical="center" wrapText="1"/>
      <protection locked="0"/>
    </xf>
    <xf numFmtId="0" fontId="13" fillId="0" borderId="6" xfId="0" applyFont="1" applyBorder="1" applyAlignment="1" applyProtection="1">
      <alignment horizontal="left" vertical="center"/>
    </xf>
    <xf numFmtId="0" fontId="4" fillId="2" borderId="7" xfId="0" applyNumberFormat="1" applyFont="1" applyFill="1" applyBorder="1" applyAlignment="1" applyProtection="1">
      <alignment horizontal="center" vertical="center"/>
      <protection locked="0"/>
    </xf>
    <xf numFmtId="0" fontId="4" fillId="2" borderId="7" xfId="0" applyNumberFormat="1" applyFont="1" applyFill="1" applyBorder="1" applyProtection="1">
      <alignment vertical="center"/>
      <protection locked="0"/>
    </xf>
    <xf numFmtId="179" fontId="4" fillId="2" borderId="7" xfId="2" applyNumberFormat="1" applyFont="1" applyFill="1" applyBorder="1" applyAlignment="1" applyProtection="1">
      <alignment horizontal="center" vertical="center" wrapText="1"/>
      <protection locked="0"/>
    </xf>
    <xf numFmtId="38" fontId="4" fillId="2" borderId="8" xfId="1" applyFont="1" applyFill="1" applyBorder="1" applyAlignment="1" applyProtection="1">
      <alignment vertical="center" wrapText="1"/>
      <protection locked="0"/>
    </xf>
    <xf numFmtId="0" fontId="15" fillId="0" borderId="0" xfId="0" applyFont="1" applyAlignment="1" applyProtection="1">
      <alignment horizontal="left" vertical="center"/>
    </xf>
    <xf numFmtId="0" fontId="4" fillId="0" borderId="56" xfId="0" applyFont="1" applyBorder="1" applyAlignment="1" applyProtection="1">
      <alignment horizontal="center" vertical="center"/>
    </xf>
    <xf numFmtId="0" fontId="4" fillId="0" borderId="32" xfId="0" applyFont="1" applyFill="1" applyBorder="1" applyAlignment="1" applyProtection="1">
      <alignment horizontal="center" vertical="center"/>
    </xf>
    <xf numFmtId="0" fontId="4" fillId="0" borderId="32" xfId="0" applyFont="1" applyBorder="1" applyAlignment="1" applyProtection="1">
      <alignment horizontal="center" vertical="center"/>
    </xf>
    <xf numFmtId="0" fontId="4" fillId="0" borderId="48" xfId="0" applyFont="1" applyBorder="1" applyAlignment="1" applyProtection="1">
      <alignment horizontal="center" vertical="center"/>
    </xf>
    <xf numFmtId="0" fontId="4" fillId="0" borderId="1" xfId="0" applyNumberFormat="1" applyFont="1" applyFill="1" applyBorder="1" applyAlignment="1" applyProtection="1">
      <alignment horizontal="center" vertical="center"/>
    </xf>
    <xf numFmtId="0" fontId="4" fillId="0" borderId="1" xfId="0" applyNumberFormat="1" applyFont="1" applyFill="1" applyBorder="1" applyProtection="1">
      <alignment vertical="center"/>
    </xf>
    <xf numFmtId="179" fontId="4" fillId="0" borderId="1" xfId="2" applyNumberFormat="1" applyFont="1" applyBorder="1" applyAlignment="1" applyProtection="1">
      <alignment horizontal="center" vertical="center" wrapText="1"/>
    </xf>
    <xf numFmtId="38" fontId="4" fillId="0" borderId="42" xfId="1" applyFont="1" applyBorder="1" applyAlignment="1" applyProtection="1">
      <alignment vertical="center" wrapText="1"/>
    </xf>
    <xf numFmtId="38" fontId="4" fillId="0" borderId="46" xfId="1" applyFont="1" applyBorder="1" applyProtection="1">
      <alignment vertical="center"/>
    </xf>
    <xf numFmtId="0" fontId="4" fillId="0" borderId="7" xfId="0" applyFont="1" applyBorder="1" applyProtection="1">
      <alignment vertical="center"/>
    </xf>
    <xf numFmtId="177" fontId="4" fillId="0" borderId="7" xfId="0" applyNumberFormat="1" applyFont="1" applyFill="1" applyBorder="1" applyProtection="1">
      <alignment vertical="center"/>
    </xf>
    <xf numFmtId="38" fontId="4" fillId="0" borderId="16" xfId="1" applyFont="1" applyBorder="1" applyAlignment="1" applyProtection="1">
      <alignment vertical="center" wrapText="1"/>
    </xf>
    <xf numFmtId="38" fontId="4" fillId="0" borderId="6" xfId="1" applyFont="1" applyBorder="1" applyAlignment="1" applyProtection="1">
      <alignment vertical="center" wrapText="1"/>
    </xf>
    <xf numFmtId="38" fontId="4" fillId="0" borderId="47" xfId="1" applyFont="1" applyBorder="1" applyProtection="1">
      <alignment vertical="center"/>
    </xf>
    <xf numFmtId="38" fontId="4" fillId="4" borderId="1" xfId="1" applyFont="1" applyFill="1" applyBorder="1" applyProtection="1">
      <alignment vertical="center"/>
    </xf>
    <xf numFmtId="0" fontId="4" fillId="0" borderId="7" xfId="0" applyFont="1" applyBorder="1" applyAlignment="1" applyProtection="1">
      <alignment horizontal="center" vertical="center"/>
    </xf>
    <xf numFmtId="0" fontId="7" fillId="0" borderId="28" xfId="0" applyFont="1" applyBorder="1" applyAlignment="1" applyProtection="1">
      <alignment horizontal="center" vertical="center"/>
    </xf>
    <xf numFmtId="0" fontId="4" fillId="0" borderId="52" xfId="0" applyFont="1" applyBorder="1" applyAlignment="1" applyProtection="1">
      <alignment horizontal="centerContinuous" vertical="center"/>
    </xf>
    <xf numFmtId="0" fontId="4" fillId="0" borderId="10" xfId="0" applyFont="1" applyBorder="1" applyAlignment="1" applyProtection="1">
      <alignment horizontal="centerContinuous" vertical="center"/>
    </xf>
    <xf numFmtId="0" fontId="4" fillId="0" borderId="3" xfId="0" applyFont="1" applyBorder="1" applyAlignment="1" applyProtection="1">
      <alignment horizontal="centerContinuous" vertical="center"/>
    </xf>
    <xf numFmtId="6" fontId="0" fillId="0" borderId="0" xfId="0" applyNumberFormat="1" applyBorder="1" applyAlignment="1" applyProtection="1">
      <alignment vertical="center"/>
    </xf>
    <xf numFmtId="6" fontId="7" fillId="0" borderId="28" xfId="1" applyNumberFormat="1" applyFont="1" applyBorder="1" applyAlignment="1" applyProtection="1">
      <alignment vertical="center"/>
    </xf>
    <xf numFmtId="6" fontId="0" fillId="0" borderId="28" xfId="0" applyNumberFormat="1" applyBorder="1" applyAlignment="1" applyProtection="1">
      <alignment vertical="center"/>
    </xf>
    <xf numFmtId="38" fontId="4" fillId="0" borderId="5" xfId="1" applyFont="1" applyBorder="1" applyAlignment="1" applyProtection="1">
      <alignment vertical="center" wrapText="1"/>
    </xf>
    <xf numFmtId="177" fontId="4" fillId="0" borderId="12" xfId="0" applyNumberFormat="1" applyFont="1" applyFill="1" applyBorder="1" applyProtection="1">
      <alignment vertical="center"/>
    </xf>
    <xf numFmtId="38" fontId="4" fillId="0" borderId="5" xfId="1" applyFont="1" applyBorder="1" applyProtection="1">
      <alignment vertical="center"/>
    </xf>
    <xf numFmtId="38" fontId="4" fillId="0" borderId="43" xfId="1" applyFont="1" applyBorder="1" applyAlignment="1" applyProtection="1">
      <alignment vertical="center" wrapText="1"/>
    </xf>
    <xf numFmtId="38" fontId="4" fillId="0" borderId="49" xfId="1" applyFont="1" applyBorder="1" applyAlignment="1" applyProtection="1">
      <alignment vertical="center" wrapText="1"/>
    </xf>
    <xf numFmtId="38" fontId="4" fillId="0" borderId="62" xfId="1" applyFont="1" applyBorder="1" applyProtection="1">
      <alignment vertical="center"/>
    </xf>
    <xf numFmtId="38" fontId="4" fillId="0" borderId="57" xfId="1" applyFont="1" applyBorder="1" applyAlignment="1" applyProtection="1">
      <alignment vertical="center" wrapText="1"/>
    </xf>
    <xf numFmtId="38" fontId="4" fillId="0" borderId="63" xfId="1" applyFont="1" applyBorder="1" applyAlignment="1" applyProtection="1">
      <alignment vertical="center" wrapText="1"/>
    </xf>
    <xf numFmtId="38" fontId="4" fillId="3" borderId="48" xfId="1" applyFont="1" applyFill="1" applyBorder="1" applyAlignment="1" applyProtection="1">
      <alignment vertical="center" wrapText="1"/>
    </xf>
    <xf numFmtId="0" fontId="6" fillId="0" borderId="36" xfId="0" applyFont="1" applyBorder="1" applyAlignment="1" applyProtection="1">
      <alignment horizontal="center" vertical="center"/>
    </xf>
    <xf numFmtId="176" fontId="7" fillId="0" borderId="36" xfId="0" applyNumberFormat="1" applyFont="1" applyBorder="1" applyAlignment="1" applyProtection="1">
      <alignment horizontal="center" vertical="center"/>
    </xf>
    <xf numFmtId="0" fontId="0" fillId="0" borderId="0" xfId="0" applyAlignment="1" applyProtection="1">
      <alignment horizontal="center" vertical="center"/>
    </xf>
    <xf numFmtId="0" fontId="0" fillId="0" borderId="0" xfId="0" applyFill="1" applyAlignment="1" applyProtection="1">
      <alignment vertical="center"/>
    </xf>
    <xf numFmtId="0" fontId="3" fillId="0" borderId="0" xfId="0" applyFont="1" applyFill="1" applyAlignment="1" applyProtection="1">
      <alignment horizontal="center" vertical="center"/>
    </xf>
    <xf numFmtId="0" fontId="6" fillId="0" borderId="0" xfId="0" applyFont="1" applyAlignment="1" applyProtection="1">
      <alignment horizontal="center" vertical="center"/>
    </xf>
    <xf numFmtId="0" fontId="7" fillId="0" borderId="0" xfId="0" applyFont="1" applyFill="1" applyProtection="1">
      <alignment vertical="center"/>
    </xf>
    <xf numFmtId="0" fontId="10" fillId="0" borderId="0" xfId="0" applyFont="1" applyFill="1" applyAlignment="1" applyProtection="1">
      <alignment vertical="center"/>
    </xf>
    <xf numFmtId="0" fontId="3" fillId="0" borderId="0" xfId="0" applyFont="1" applyFill="1" applyAlignment="1" applyProtection="1">
      <alignment horizontal="centerContinuous" vertical="center"/>
    </xf>
    <xf numFmtId="0" fontId="15" fillId="0" borderId="0" xfId="0" applyFont="1" applyAlignment="1" applyProtection="1">
      <alignment horizontal="centerContinuous" vertical="center"/>
    </xf>
    <xf numFmtId="0" fontId="0" fillId="0" borderId="0" xfId="0" applyFill="1" applyAlignment="1" applyProtection="1">
      <alignment horizontal="centerContinuous" vertical="center"/>
    </xf>
    <xf numFmtId="0" fontId="0" fillId="0" borderId="0" xfId="0" applyAlignment="1" applyProtection="1">
      <alignment horizontal="centerContinuous" vertical="center"/>
    </xf>
    <xf numFmtId="0" fontId="10" fillId="0" borderId="0" xfId="0" applyFont="1" applyFill="1" applyAlignment="1" applyProtection="1">
      <alignment horizontal="centerContinuous" vertical="center"/>
    </xf>
    <xf numFmtId="0" fontId="0" fillId="0" borderId="0" xfId="0" applyAlignment="1" applyProtection="1">
      <alignment horizontal="left" vertical="center"/>
    </xf>
    <xf numFmtId="0" fontId="14" fillId="0" borderId="0" xfId="0" applyFont="1" applyAlignment="1" applyProtection="1">
      <alignment vertical="center"/>
    </xf>
    <xf numFmtId="0" fontId="14" fillId="0" borderId="0" xfId="0" applyFont="1" applyProtection="1">
      <alignment vertical="center"/>
    </xf>
    <xf numFmtId="0" fontId="10" fillId="2" borderId="0" xfId="0" applyFont="1" applyFill="1" applyAlignment="1" applyProtection="1">
      <alignment horizontal="center" vertical="center" shrinkToFit="1"/>
      <protection locked="0"/>
    </xf>
    <xf numFmtId="0" fontId="0" fillId="0" borderId="0" xfId="0" applyAlignment="1" applyProtection="1">
      <alignment horizontal="center" vertical="center"/>
    </xf>
    <xf numFmtId="0" fontId="4" fillId="0" borderId="58"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18" xfId="0" applyFont="1" applyBorder="1" applyAlignment="1" applyProtection="1">
      <alignment horizontal="center" vertical="center" wrapText="1"/>
    </xf>
    <xf numFmtId="0" fontId="4" fillId="0" borderId="20" xfId="0" applyFont="1" applyBorder="1" applyAlignment="1" applyProtection="1">
      <alignment horizontal="center" vertical="center" wrapText="1"/>
    </xf>
    <xf numFmtId="0" fontId="4" fillId="0" borderId="53" xfId="0" applyFont="1" applyBorder="1" applyAlignment="1" applyProtection="1">
      <alignment horizontal="center" vertical="center"/>
    </xf>
    <xf numFmtId="0" fontId="4" fillId="0" borderId="54" xfId="0" applyFont="1" applyBorder="1" applyAlignment="1" applyProtection="1">
      <alignment horizontal="center" vertical="center"/>
    </xf>
    <xf numFmtId="176" fontId="4" fillId="0" borderId="58" xfId="0" applyNumberFormat="1" applyFont="1" applyFill="1" applyBorder="1" applyAlignment="1" applyProtection="1">
      <alignment horizontal="center" vertical="center"/>
    </xf>
    <xf numFmtId="176" fontId="4" fillId="0" borderId="59" xfId="0" applyNumberFormat="1" applyFont="1" applyFill="1" applyBorder="1" applyAlignment="1" applyProtection="1">
      <alignment horizontal="center" vertical="center"/>
    </xf>
    <xf numFmtId="176" fontId="4" fillId="0" borderId="53" xfId="0" applyNumberFormat="1" applyFont="1" applyFill="1" applyBorder="1" applyAlignment="1" applyProtection="1">
      <alignment horizontal="center" vertical="center"/>
    </xf>
    <xf numFmtId="176" fontId="4" fillId="0" borderId="54" xfId="0" applyNumberFormat="1" applyFont="1" applyFill="1" applyBorder="1" applyAlignment="1" applyProtection="1">
      <alignment horizontal="center" vertical="center"/>
    </xf>
    <xf numFmtId="176" fontId="4" fillId="0" borderId="55" xfId="0" applyNumberFormat="1" applyFont="1" applyFill="1" applyBorder="1" applyAlignment="1" applyProtection="1">
      <alignment horizontal="center" vertical="center"/>
    </xf>
    <xf numFmtId="0" fontId="4" fillId="0" borderId="41" xfId="0" applyFont="1" applyBorder="1" applyAlignment="1" applyProtection="1">
      <alignment horizontal="center" vertical="center"/>
    </xf>
    <xf numFmtId="0" fontId="4" fillId="0" borderId="9" xfId="0" applyFont="1" applyBorder="1" applyAlignment="1" applyProtection="1">
      <alignment horizontal="center" vertical="center"/>
    </xf>
    <xf numFmtId="0" fontId="4" fillId="0" borderId="45" xfId="0" applyFont="1" applyBorder="1" applyAlignment="1" applyProtection="1">
      <alignment horizontal="center" vertical="center"/>
    </xf>
    <xf numFmtId="0" fontId="4" fillId="0" borderId="7" xfId="0" applyFont="1" applyBorder="1" applyAlignment="1" applyProtection="1">
      <alignment horizontal="center" vertical="center"/>
    </xf>
    <xf numFmtId="0" fontId="4" fillId="0" borderId="52" xfId="0" applyFont="1" applyBorder="1" applyAlignment="1" applyProtection="1">
      <alignment horizontal="center" vertical="center"/>
    </xf>
    <xf numFmtId="0" fontId="4" fillId="0" borderId="10" xfId="0" applyFont="1" applyBorder="1" applyAlignment="1" applyProtection="1">
      <alignment horizontal="center" vertical="center"/>
    </xf>
    <xf numFmtId="0" fontId="4" fillId="0" borderId="50" xfId="0" applyFont="1" applyBorder="1" applyAlignment="1" applyProtection="1">
      <alignment horizontal="center" vertical="center"/>
    </xf>
    <xf numFmtId="0" fontId="4" fillId="0" borderId="26" xfId="0" applyFont="1" applyBorder="1" applyAlignment="1" applyProtection="1">
      <alignment horizontal="center" vertical="center"/>
    </xf>
    <xf numFmtId="176" fontId="4" fillId="0" borderId="60" xfId="0" applyNumberFormat="1" applyFont="1" applyFill="1" applyBorder="1" applyAlignment="1" applyProtection="1">
      <alignment horizontal="center" vertical="center"/>
    </xf>
    <xf numFmtId="0" fontId="4" fillId="0" borderId="49" xfId="0" applyFont="1" applyBorder="1" applyAlignment="1" applyProtection="1">
      <alignment horizontal="left" vertical="center"/>
    </xf>
    <xf numFmtId="0" fontId="4" fillId="0" borderId="57" xfId="0" applyFont="1" applyBorder="1" applyAlignment="1" applyProtection="1">
      <alignment horizontal="left" vertical="center"/>
    </xf>
    <xf numFmtId="0" fontId="4" fillId="0" borderId="13" xfId="0" applyFont="1" applyBorder="1" applyAlignment="1" applyProtection="1">
      <alignment horizontal="left" vertical="center"/>
    </xf>
    <xf numFmtId="0" fontId="4" fillId="0" borderId="14" xfId="0" applyFont="1" applyBorder="1" applyAlignment="1" applyProtection="1">
      <alignment horizontal="left" vertical="center"/>
    </xf>
    <xf numFmtId="0" fontId="0" fillId="0" borderId="61" xfId="0" applyBorder="1" applyAlignment="1">
      <alignment horizontal="left" vertical="center"/>
    </xf>
    <xf numFmtId="176" fontId="7" fillId="0" borderId="28" xfId="0" applyNumberFormat="1" applyFont="1" applyBorder="1" applyAlignment="1" applyProtection="1">
      <alignment horizontal="center" vertical="center"/>
    </xf>
    <xf numFmtId="6" fontId="7" fillId="0" borderId="36" xfId="1" applyNumberFormat="1" applyFont="1" applyBorder="1" applyAlignment="1" applyProtection="1">
      <alignment horizontal="right" vertical="center"/>
    </xf>
    <xf numFmtId="6" fontId="7" fillId="0" borderId="37" xfId="1" applyNumberFormat="1" applyFont="1" applyBorder="1" applyAlignment="1" applyProtection="1">
      <alignment horizontal="right" vertical="center"/>
    </xf>
    <xf numFmtId="6" fontId="0" fillId="0" borderId="36" xfId="0" applyNumberFormat="1" applyBorder="1" applyAlignment="1" applyProtection="1">
      <alignment horizontal="center" vertical="center"/>
    </xf>
    <xf numFmtId="0" fontId="0" fillId="0" borderId="37" xfId="0" applyBorder="1" applyAlignment="1" applyProtection="1">
      <alignment horizontal="center" vertical="center"/>
    </xf>
    <xf numFmtId="0" fontId="6" fillId="0" borderId="28" xfId="0" applyFont="1" applyBorder="1" applyAlignment="1" applyProtection="1">
      <alignment horizontal="center" vertical="center"/>
    </xf>
    <xf numFmtId="0" fontId="7" fillId="0" borderId="28" xfId="0" applyFont="1" applyBorder="1" applyAlignment="1" applyProtection="1">
      <alignment horizontal="center" vertical="center"/>
    </xf>
    <xf numFmtId="176" fontId="12" fillId="0" borderId="28" xfId="0" applyNumberFormat="1" applyFont="1" applyFill="1" applyBorder="1" applyAlignment="1" applyProtection="1">
      <alignment horizontal="center" vertical="center"/>
    </xf>
    <xf numFmtId="180" fontId="12" fillId="0" borderId="28" xfId="1" applyNumberFormat="1" applyFont="1" applyBorder="1" applyAlignment="1" applyProtection="1">
      <alignment horizontal="center" vertical="center"/>
    </xf>
    <xf numFmtId="0" fontId="0" fillId="0" borderId="0" xfId="0" applyFill="1" applyAlignment="1" applyProtection="1">
      <alignment horizontal="center" vertical="center"/>
    </xf>
    <xf numFmtId="176" fontId="4" fillId="0" borderId="13" xfId="0" applyNumberFormat="1" applyFont="1" applyFill="1" applyBorder="1" applyAlignment="1" applyProtection="1">
      <alignment horizontal="center" vertical="center"/>
    </xf>
    <xf numFmtId="176" fontId="4" fillId="0" borderId="14" xfId="0" applyNumberFormat="1" applyFont="1" applyFill="1" applyBorder="1" applyAlignment="1" applyProtection="1">
      <alignment horizontal="center" vertical="center"/>
    </xf>
    <xf numFmtId="176" fontId="4" fillId="0" borderId="25" xfId="0" applyNumberFormat="1" applyFont="1" applyFill="1" applyBorder="1" applyAlignment="1" applyProtection="1">
      <alignment horizontal="center" vertical="center"/>
    </xf>
    <xf numFmtId="176" fontId="4" fillId="0" borderId="17" xfId="0" applyNumberFormat="1" applyFont="1" applyFill="1" applyBorder="1" applyAlignment="1" applyProtection="1">
      <alignment horizontal="center" vertical="center"/>
    </xf>
    <xf numFmtId="0" fontId="4" fillId="0" borderId="12" xfId="0" applyFont="1" applyBorder="1" applyAlignment="1" applyProtection="1">
      <alignment horizontal="left" vertical="center"/>
    </xf>
    <xf numFmtId="0" fontId="4" fillId="0" borderId="11" xfId="0" applyFont="1" applyBorder="1" applyAlignment="1" applyProtection="1">
      <alignment horizontal="left" vertical="center"/>
    </xf>
    <xf numFmtId="176" fontId="14" fillId="2" borderId="58" xfId="0" applyNumberFormat="1" applyFont="1" applyFill="1" applyBorder="1" applyAlignment="1" applyProtection="1">
      <alignment horizontal="center" vertical="center"/>
      <protection locked="0"/>
    </xf>
    <xf numFmtId="176" fontId="14" fillId="2" borderId="59" xfId="0" applyNumberFormat="1" applyFont="1" applyFill="1" applyBorder="1" applyAlignment="1" applyProtection="1">
      <alignment horizontal="center" vertical="center"/>
      <protection locked="0"/>
    </xf>
    <xf numFmtId="0" fontId="4" fillId="0" borderId="44" xfId="0" applyFont="1" applyBorder="1" applyAlignment="1" applyProtection="1">
      <alignment horizontal="center" vertical="center" wrapText="1"/>
    </xf>
    <xf numFmtId="0" fontId="4" fillId="0" borderId="24" xfId="0" applyFont="1" applyBorder="1" applyAlignment="1" applyProtection="1">
      <alignment horizontal="center" vertical="center" wrapText="1"/>
    </xf>
    <xf numFmtId="0" fontId="4" fillId="0" borderId="18" xfId="0" applyFont="1" applyBorder="1" applyAlignment="1" applyProtection="1">
      <alignment horizontal="center" vertical="center"/>
    </xf>
    <xf numFmtId="0" fontId="4" fillId="0" borderId="17" xfId="0" applyFont="1" applyBorder="1" applyAlignment="1" applyProtection="1">
      <alignment horizontal="center" vertical="center"/>
    </xf>
    <xf numFmtId="0" fontId="4" fillId="0" borderId="19" xfId="0" applyFont="1" applyBorder="1" applyAlignment="1" applyProtection="1">
      <alignment horizontal="center" vertical="center"/>
    </xf>
    <xf numFmtId="176" fontId="14" fillId="2" borderId="13" xfId="0" applyNumberFormat="1" applyFont="1" applyFill="1" applyBorder="1" applyAlignment="1" applyProtection="1">
      <alignment horizontal="center" vertical="center"/>
      <protection locked="0"/>
    </xf>
    <xf numFmtId="176" fontId="14" fillId="2" borderId="14" xfId="0" applyNumberFormat="1" applyFont="1" applyFill="1" applyBorder="1" applyAlignment="1" applyProtection="1">
      <alignment horizontal="center" vertical="center"/>
      <protection locked="0"/>
    </xf>
    <xf numFmtId="176" fontId="14" fillId="2" borderId="25" xfId="0" applyNumberFormat="1" applyFont="1" applyFill="1" applyBorder="1" applyAlignment="1" applyProtection="1">
      <alignment horizontal="center" vertical="center"/>
      <protection locked="0"/>
    </xf>
    <xf numFmtId="176" fontId="14" fillId="2" borderId="17" xfId="0" applyNumberFormat="1" applyFont="1" applyFill="1" applyBorder="1" applyAlignment="1" applyProtection="1">
      <alignment horizontal="center" vertical="center"/>
      <protection locked="0"/>
    </xf>
    <xf numFmtId="0" fontId="13" fillId="0" borderId="12" xfId="0" applyFont="1" applyBorder="1" applyAlignment="1" applyProtection="1">
      <alignment horizontal="left" vertical="center"/>
    </xf>
    <xf numFmtId="0" fontId="13" fillId="0" borderId="11" xfId="0" applyFont="1" applyBorder="1" applyAlignment="1" applyProtection="1">
      <alignment horizontal="left" vertical="center"/>
    </xf>
  </cellXfs>
  <cellStyles count="3">
    <cellStyle name="パーセント" xfId="2" builtinId="5"/>
    <cellStyle name="桁区切り" xfId="1" builtinId="6"/>
    <cellStyle name="標準" xfId="0" builtinId="0"/>
  </cellStyles>
  <dxfs count="23">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0070C0"/>
      </font>
    </dxf>
    <dxf>
      <font>
        <color rgb="FFFF0000"/>
      </font>
    </dxf>
    <dxf>
      <font>
        <color rgb="FFFF0000"/>
      </font>
    </dxf>
    <dxf>
      <font>
        <color rgb="FF0070C0"/>
      </font>
    </dxf>
    <dxf>
      <font>
        <color rgb="FF0070C0"/>
      </font>
    </dxf>
    <dxf>
      <font>
        <color rgb="FFFF0000"/>
      </font>
    </dxf>
    <dxf>
      <font>
        <color rgb="FFFF0000"/>
      </font>
    </dxf>
    <dxf>
      <font>
        <color rgb="FF0070C0"/>
      </font>
    </dxf>
    <dxf>
      <font>
        <color rgb="FFFF0000"/>
      </font>
    </dxf>
    <dxf>
      <font>
        <color rgb="FFFF0000"/>
      </font>
    </dxf>
    <dxf>
      <font>
        <color rgb="FF0070C0"/>
      </font>
    </dxf>
    <dxf>
      <font>
        <color rgb="FF0070C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drawings/drawing1.xml><?xml version="1.0" encoding="utf-8"?>
<xdr:wsDr xmlns:xdr="http://schemas.openxmlformats.org/drawingml/2006/spreadsheetDrawing" xmlns:a="http://schemas.openxmlformats.org/drawingml/2006/main">
  <xdr:twoCellAnchor>
    <xdr:from>
      <xdr:col>3</xdr:col>
      <xdr:colOff>415636</xdr:colOff>
      <xdr:row>13</xdr:row>
      <xdr:rowOff>89647</xdr:rowOff>
    </xdr:from>
    <xdr:to>
      <xdr:col>8</xdr:col>
      <xdr:colOff>381001</xdr:colOff>
      <xdr:row>23</xdr:row>
      <xdr:rowOff>69272</xdr:rowOff>
    </xdr:to>
    <xdr:sp macro="" textlink="">
      <xdr:nvSpPr>
        <xdr:cNvPr id="5" name="吹き出し: 折線 4">
          <a:extLst>
            <a:ext uri="{FF2B5EF4-FFF2-40B4-BE49-F238E27FC236}">
              <a16:creationId xmlns:a16="http://schemas.microsoft.com/office/drawing/2014/main" id="{25CD090C-F921-4CD9-9F65-080555331D8F}"/>
            </a:ext>
          </a:extLst>
        </xdr:cNvPr>
        <xdr:cNvSpPr/>
      </xdr:nvSpPr>
      <xdr:spPr>
        <a:xfrm>
          <a:off x="5144518" y="3216088"/>
          <a:ext cx="4783895" cy="2467331"/>
        </a:xfrm>
        <a:prstGeom prst="borderCallout2">
          <a:avLst>
            <a:gd name="adj1" fmla="val 51656"/>
            <a:gd name="adj2" fmla="val -384"/>
            <a:gd name="adj3" fmla="val 51199"/>
            <a:gd name="adj4" fmla="val -4696"/>
            <a:gd name="adj5" fmla="val 46906"/>
            <a:gd name="adj6" fmla="val -8640"/>
          </a:avLst>
        </a:prstGeom>
        <a:solidFill>
          <a:schemeClr val="accent5"/>
        </a:solidFill>
        <a:ln>
          <a:solidFill>
            <a:schemeClr val="accent1">
              <a:lumMod val="60000"/>
              <a:lumOff val="40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36000" bIns="36000" rtlCol="0" anchor="t"/>
        <a:lstStyle/>
        <a:p>
          <a:pPr marL="171450" marR="0" lvl="0" indent="-17145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1" lang="ja-JP" altLang="ja-JP" sz="1200">
              <a:solidFill>
                <a:schemeClr val="lt1"/>
              </a:solidFill>
              <a:effectLst/>
              <a:latin typeface="+mn-lt"/>
              <a:ea typeface="+mn-ea"/>
              <a:cs typeface="+mn-cs"/>
            </a:rPr>
            <a:t>返済日を返済後とする場合（いわゆる片端の場合）は、返済日は実際の返済日の一日前を</a:t>
          </a:r>
          <a:r>
            <a:rPr kumimoji="1" lang="ja-JP" altLang="en-US" sz="1200">
              <a:solidFill>
                <a:schemeClr val="lt1"/>
              </a:solidFill>
              <a:effectLst/>
              <a:latin typeface="+mn-lt"/>
              <a:ea typeface="+mn-ea"/>
              <a:cs typeface="+mn-cs"/>
            </a:rPr>
            <a:t>御</a:t>
          </a:r>
          <a:r>
            <a:rPr kumimoji="1" lang="ja-JP" altLang="ja-JP" sz="1200">
              <a:solidFill>
                <a:schemeClr val="lt1"/>
              </a:solidFill>
              <a:effectLst/>
              <a:latin typeface="+mn-lt"/>
              <a:ea typeface="+mn-ea"/>
              <a:cs typeface="+mn-cs"/>
            </a:rPr>
            <a:t>記入してください。</a:t>
          </a:r>
          <a:endParaRPr kumimoji="1" lang="en-US" altLang="ja-JP" sz="1200">
            <a:solidFill>
              <a:schemeClr val="lt1"/>
            </a:solidFill>
            <a:effectLst/>
            <a:latin typeface="+mn-lt"/>
            <a:ea typeface="+mn-ea"/>
            <a:cs typeface="+mn-cs"/>
          </a:endParaRPr>
        </a:p>
        <a:p>
          <a:pPr marL="171450" marR="0" lvl="0" indent="-17145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1" lang="en-US" altLang="ja-JP" sz="1200">
              <a:solidFill>
                <a:schemeClr val="lt1"/>
              </a:solidFill>
              <a:effectLst/>
              <a:latin typeface="+mn-lt"/>
              <a:ea typeface="+mn-ea"/>
              <a:cs typeface="+mn-cs"/>
            </a:rPr>
            <a:t>29</a:t>
          </a:r>
          <a:r>
            <a:rPr kumimoji="1" lang="ja-JP" altLang="en-US" sz="1200">
              <a:solidFill>
                <a:schemeClr val="lt1"/>
              </a:solidFill>
              <a:effectLst/>
              <a:latin typeface="+mn-lt"/>
              <a:ea typeface="+mn-ea"/>
              <a:cs typeface="+mn-cs"/>
            </a:rPr>
            <a:t>日又は</a:t>
          </a:r>
          <a:r>
            <a:rPr kumimoji="1" lang="en-US" altLang="ja-JP" sz="1200">
              <a:solidFill>
                <a:schemeClr val="lt1"/>
              </a:solidFill>
              <a:effectLst/>
              <a:latin typeface="+mn-lt"/>
              <a:ea typeface="+mn-ea"/>
              <a:cs typeface="+mn-cs"/>
            </a:rPr>
            <a:t>30</a:t>
          </a:r>
          <a:r>
            <a:rPr kumimoji="1" lang="ja-JP" altLang="en-US" sz="1200">
              <a:solidFill>
                <a:schemeClr val="lt1"/>
              </a:solidFill>
              <a:effectLst/>
              <a:latin typeface="+mn-lt"/>
              <a:ea typeface="+mn-ea"/>
              <a:cs typeface="+mn-cs"/>
            </a:rPr>
            <a:t>日を指定した場合、単位期間に</a:t>
          </a:r>
          <a:r>
            <a:rPr kumimoji="1" lang="en-US" altLang="ja-JP" sz="1200">
              <a:solidFill>
                <a:schemeClr val="lt1"/>
              </a:solidFill>
              <a:effectLst/>
              <a:latin typeface="+mn-lt"/>
              <a:ea typeface="+mn-ea"/>
              <a:cs typeface="+mn-cs"/>
            </a:rPr>
            <a:t>2</a:t>
          </a:r>
          <a:r>
            <a:rPr kumimoji="1" lang="ja-JP" altLang="en-US" sz="1200">
              <a:solidFill>
                <a:schemeClr val="lt1"/>
              </a:solidFill>
              <a:effectLst/>
              <a:latin typeface="+mn-lt"/>
              <a:ea typeface="+mn-ea"/>
              <a:cs typeface="+mn-cs"/>
            </a:rPr>
            <a:t>月が含まれる期間については、終了日を手入力でご修正ください。</a:t>
          </a:r>
          <a:endParaRPr kumimoji="1" lang="en-US" altLang="ja-JP" sz="1200">
            <a:solidFill>
              <a:schemeClr val="lt1"/>
            </a:solidFill>
            <a:effectLst/>
            <a:latin typeface="+mn-lt"/>
            <a:ea typeface="+mn-ea"/>
            <a:cs typeface="+mn-cs"/>
          </a:endParaRPr>
        </a:p>
        <a:p>
          <a:pPr marL="171450" marR="0" lvl="0" indent="-17145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ja-JP" altLang="en-US" sz="1200">
              <a:effectLst/>
            </a:rPr>
            <a:t>返済日を月末で設定した</a:t>
          </a:r>
          <a:r>
            <a:rPr lang="ja-JP" altLang="ja-JP" sz="1200">
              <a:solidFill>
                <a:schemeClr val="bg1"/>
              </a:solidFill>
              <a:effectLst/>
              <a:latin typeface="+mn-lt"/>
              <a:ea typeface="+mn-ea"/>
              <a:cs typeface="+mn-cs"/>
            </a:rPr>
            <a:t>場合は、２．の単位期間について、以下をご確認ください。</a:t>
          </a:r>
          <a:r>
            <a:rPr lang="ja-JP" altLang="en-US" sz="1200">
              <a:effectLst/>
            </a:rPr>
            <a:t>単位期間の終了日が土日になることから終了日を手入力で変更した場合、単位期間の最終行に自動で計算結果が入ってしまいますが、手入力の日付以降を翌単位期間とする場合には、単位期間最終行の計算式を削除してください。</a:t>
          </a:r>
          <a:endParaRPr lang="ja-JP" altLang="ja-JP" sz="1200">
            <a:effectLst/>
          </a:endParaRPr>
        </a:p>
        <a:p>
          <a:pPr algn="l"/>
          <a:endParaRPr kumimoji="1" lang="ja-JP" altLang="en-US" sz="1200"/>
        </a:p>
      </xdr:txBody>
    </xdr:sp>
    <xdr:clientData/>
  </xdr:twoCellAnchor>
  <xdr:twoCellAnchor>
    <xdr:from>
      <xdr:col>3</xdr:col>
      <xdr:colOff>415637</xdr:colOff>
      <xdr:row>8</xdr:row>
      <xdr:rowOff>145676</xdr:rowOff>
    </xdr:from>
    <xdr:to>
      <xdr:col>8</xdr:col>
      <xdr:colOff>381001</xdr:colOff>
      <xdr:row>12</xdr:row>
      <xdr:rowOff>246529</xdr:rowOff>
    </xdr:to>
    <xdr:sp macro="" textlink="">
      <xdr:nvSpPr>
        <xdr:cNvPr id="8" name="吹き出し: 折線 7">
          <a:extLst>
            <a:ext uri="{FF2B5EF4-FFF2-40B4-BE49-F238E27FC236}">
              <a16:creationId xmlns:a16="http://schemas.microsoft.com/office/drawing/2014/main" id="{632F8E11-7F1E-49CA-8B7A-B2D223F2877A}"/>
            </a:ext>
          </a:extLst>
        </xdr:cNvPr>
        <xdr:cNvSpPr/>
      </xdr:nvSpPr>
      <xdr:spPr>
        <a:xfrm>
          <a:off x="5144519" y="1983441"/>
          <a:ext cx="4783894" cy="1131794"/>
        </a:xfrm>
        <a:prstGeom prst="borderCallout2">
          <a:avLst>
            <a:gd name="adj1" fmla="val 58383"/>
            <a:gd name="adj2" fmla="val -1018"/>
            <a:gd name="adj3" fmla="val 60946"/>
            <a:gd name="adj4" fmla="val -4462"/>
            <a:gd name="adj5" fmla="val 155270"/>
            <a:gd name="adj6" fmla="val -8654"/>
          </a:avLst>
        </a:prstGeom>
        <a:solidFill>
          <a:schemeClr val="accent5"/>
        </a:solidFill>
        <a:ln>
          <a:solidFill>
            <a:schemeClr val="accent1">
              <a:lumMod val="60000"/>
              <a:lumOff val="40000"/>
            </a:schemeClr>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marL="171450" indent="-171450">
            <a:buFont typeface="Arial" panose="020B0604020202020204" pitchFamily="34" charset="0"/>
            <a:buChar char="•"/>
          </a:pPr>
          <a:r>
            <a:rPr kumimoji="1" lang="ja-JP" altLang="ja-JP" sz="1200">
              <a:solidFill>
                <a:schemeClr val="lt1"/>
              </a:solidFill>
              <a:effectLst/>
              <a:latin typeface="+mn-lt"/>
              <a:ea typeface="+mn-ea"/>
              <a:cs typeface="+mn-cs"/>
            </a:rPr>
            <a:t>交付対象融資が</a:t>
          </a:r>
          <a:r>
            <a:rPr kumimoji="1" lang="en-US" altLang="ja-JP" sz="1200">
              <a:solidFill>
                <a:schemeClr val="lt1"/>
              </a:solidFill>
              <a:effectLst/>
              <a:latin typeface="+mn-lt"/>
              <a:ea typeface="+mn-ea"/>
              <a:cs typeface="+mn-cs"/>
            </a:rPr>
            <a:t>11</a:t>
          </a:r>
          <a:r>
            <a:rPr kumimoji="1" lang="ja-JP" altLang="ja-JP" sz="1200">
              <a:solidFill>
                <a:schemeClr val="lt1"/>
              </a:solidFill>
              <a:effectLst/>
              <a:latin typeface="+mn-lt"/>
              <a:ea typeface="+mn-ea"/>
              <a:cs typeface="+mn-cs"/>
            </a:rPr>
            <a:t>年度以内に収まる場合は交付対象融残高が「０」になる年月日が表示されます。</a:t>
          </a:r>
          <a:br>
            <a:rPr kumimoji="0" lang="en-US" altLang="ja-JP" sz="1200">
              <a:solidFill>
                <a:schemeClr val="lt1"/>
              </a:solidFill>
              <a:effectLst/>
              <a:latin typeface="+mn-lt"/>
              <a:ea typeface="+mn-ea"/>
              <a:cs typeface="+mn-cs"/>
            </a:rPr>
          </a:br>
          <a:r>
            <a:rPr kumimoji="1" lang="ja-JP" altLang="ja-JP" sz="1200">
              <a:solidFill>
                <a:schemeClr val="lt1"/>
              </a:solidFill>
              <a:effectLst/>
              <a:latin typeface="+mn-lt"/>
              <a:ea typeface="+mn-ea"/>
              <a:cs typeface="+mn-cs"/>
            </a:rPr>
            <a:t>交付対象融資期間が</a:t>
          </a:r>
          <a:r>
            <a:rPr kumimoji="1" lang="en-US" altLang="ja-JP" sz="1200">
              <a:solidFill>
                <a:schemeClr val="lt1"/>
              </a:solidFill>
              <a:effectLst/>
              <a:latin typeface="+mn-lt"/>
              <a:ea typeface="+mn-ea"/>
              <a:cs typeface="+mn-cs"/>
            </a:rPr>
            <a:t>11</a:t>
          </a:r>
          <a:r>
            <a:rPr kumimoji="1" lang="ja-JP" altLang="ja-JP" sz="1200">
              <a:solidFill>
                <a:schemeClr val="lt1"/>
              </a:solidFill>
              <a:effectLst/>
              <a:latin typeface="+mn-lt"/>
              <a:ea typeface="+mn-ea"/>
              <a:cs typeface="+mn-cs"/>
            </a:rPr>
            <a:t>年度より長くなる場合は手入力で年月日を記載ください。</a:t>
          </a:r>
          <a:endParaRPr lang="ja-JP" altLang="ja-JP" sz="1200">
            <a:effectLst/>
          </a:endParaRPr>
        </a:p>
        <a:p>
          <a:pPr algn="l"/>
          <a:endParaRPr kumimoji="1" lang="ja-JP" altLang="en-US" sz="1200"/>
        </a:p>
      </xdr:txBody>
    </xdr:sp>
    <xdr:clientData/>
  </xdr:twoCellAnchor>
  <xdr:twoCellAnchor>
    <xdr:from>
      <xdr:col>9</xdr:col>
      <xdr:colOff>103908</xdr:colOff>
      <xdr:row>20</xdr:row>
      <xdr:rowOff>225137</xdr:rowOff>
    </xdr:from>
    <xdr:to>
      <xdr:col>12</xdr:col>
      <xdr:colOff>519545</xdr:colOff>
      <xdr:row>23</xdr:row>
      <xdr:rowOff>138546</xdr:rowOff>
    </xdr:to>
    <xdr:sp macro="" textlink="">
      <xdr:nvSpPr>
        <xdr:cNvPr id="9" name="吹き出し: 折線 8">
          <a:extLst>
            <a:ext uri="{FF2B5EF4-FFF2-40B4-BE49-F238E27FC236}">
              <a16:creationId xmlns:a16="http://schemas.microsoft.com/office/drawing/2014/main" id="{BA35DB5F-5B05-4919-99DF-961993E26847}"/>
            </a:ext>
          </a:extLst>
        </xdr:cNvPr>
        <xdr:cNvSpPr/>
      </xdr:nvSpPr>
      <xdr:spPr>
        <a:xfrm>
          <a:off x="10133173" y="5054872"/>
          <a:ext cx="5514313" cy="697821"/>
        </a:xfrm>
        <a:prstGeom prst="borderCallout2">
          <a:avLst>
            <a:gd name="adj1" fmla="val 97572"/>
            <a:gd name="adj2" fmla="val 174"/>
            <a:gd name="adj3" fmla="val 98405"/>
            <a:gd name="adj4" fmla="val -18950"/>
            <a:gd name="adj5" fmla="val 149085"/>
            <a:gd name="adj6" fmla="val -27554"/>
          </a:avLst>
        </a:prstGeom>
        <a:solidFill>
          <a:schemeClr val="accent5"/>
        </a:solidFill>
        <a:ln>
          <a:solidFill>
            <a:schemeClr val="accent1">
              <a:lumMod val="60000"/>
              <a:lumOff val="40000"/>
            </a:schemeClr>
          </a:solid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marL="171450" marR="0" lvl="0" indent="-17145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1" lang="ja-JP" altLang="en-US" sz="1200">
              <a:solidFill>
                <a:schemeClr val="lt1"/>
              </a:solidFill>
              <a:effectLst/>
              <a:latin typeface="+mn-lt"/>
              <a:ea typeface="+mn-ea"/>
              <a:cs typeface="+mn-cs"/>
            </a:rPr>
            <a:t>「１．融資の内容（交付対象融資）」において回答した返済頻度・日付が自動表示されますが、当該日付とずれる場合は手入力で御修正ください。</a:t>
          </a:r>
          <a:endParaRPr kumimoji="1" lang="ja-JP" altLang="en-US" sz="1200"/>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141AC-ADFD-4708-8317-D3653B07C270}">
  <sheetPr>
    <tabColor theme="4"/>
    <pageSetUpPr fitToPage="1"/>
  </sheetPr>
  <dimension ref="A1:AC227"/>
  <sheetViews>
    <sheetView tabSelected="1" zoomScale="70" zoomScaleNormal="70" workbookViewId="0">
      <selection activeCell="G47" sqref="G47"/>
    </sheetView>
  </sheetViews>
  <sheetFormatPr defaultRowHeight="18.75" x14ac:dyDescent="0.4"/>
  <cols>
    <col min="1" max="1" width="10" style="12" bestFit="1" customWidth="1"/>
    <col min="2" max="2" width="27.5" style="1" customWidth="1"/>
    <col min="3" max="3" width="24.625" style="1" customWidth="1"/>
    <col min="4" max="4" width="17.125" style="1" customWidth="1"/>
    <col min="5" max="5" width="15.625" style="2" customWidth="1"/>
    <col min="6" max="6" width="7.5" style="1" customWidth="1"/>
    <col min="7" max="7" width="15.625" style="12" customWidth="1"/>
    <col min="8" max="8" width="7.5" style="1" customWidth="1"/>
    <col min="9" max="9" width="6.375" style="1" customWidth="1"/>
    <col min="10" max="10" width="19.875" style="1" customWidth="1"/>
    <col min="11" max="11" width="23.625" style="1" customWidth="1"/>
    <col min="12" max="12" width="23.375" style="1" bestFit="1" customWidth="1"/>
    <col min="13" max="13" width="23.5" style="1" bestFit="1" customWidth="1"/>
    <col min="14" max="14" width="23.5" style="1" customWidth="1"/>
    <col min="15" max="15" width="21.375" style="1" bestFit="1" customWidth="1"/>
    <col min="16" max="16" width="5.25" style="1" hidden="1" customWidth="1"/>
    <col min="17" max="17" width="12.625" style="2" hidden="1" customWidth="1"/>
    <col min="18" max="18" width="3" style="1" hidden="1" customWidth="1"/>
    <col min="19" max="19" width="6.5" style="1" hidden="1" customWidth="1"/>
    <col min="20" max="20" width="1.75" style="1" hidden="1" customWidth="1"/>
    <col min="21" max="21" width="11.375" style="1" hidden="1" customWidth="1"/>
    <col min="22" max="22" width="3.125" style="1" hidden="1" customWidth="1"/>
    <col min="23" max="23" width="1.75" style="1" hidden="1" customWidth="1"/>
    <col min="24" max="24" width="3.875" style="1" hidden="1" customWidth="1"/>
    <col min="25" max="25" width="10" style="12" hidden="1" customWidth="1"/>
    <col min="26" max="26" width="14" style="12" hidden="1" customWidth="1"/>
    <col min="27" max="27" width="11.375" style="163" hidden="1" customWidth="1"/>
    <col min="28" max="28" width="0" style="1" hidden="1" customWidth="1"/>
    <col min="29" max="29" width="12.625" style="163" hidden="1" customWidth="1"/>
    <col min="30" max="16384" width="9" style="1"/>
  </cols>
  <sheetData>
    <row r="1" spans="2:29" x14ac:dyDescent="0.4">
      <c r="B1" s="24"/>
      <c r="C1" s="25" t="s">
        <v>20</v>
      </c>
      <c r="D1" s="24" t="s">
        <v>42</v>
      </c>
      <c r="E1" s="13"/>
      <c r="F1" s="12"/>
      <c r="H1" s="12"/>
      <c r="I1" s="12"/>
      <c r="J1" s="12"/>
      <c r="K1" s="12"/>
      <c r="L1" s="12"/>
      <c r="M1" s="12"/>
      <c r="N1" s="12"/>
      <c r="O1" s="12"/>
      <c r="P1" s="226" t="s">
        <v>56</v>
      </c>
      <c r="Q1" s="226"/>
      <c r="R1" s="226"/>
      <c r="S1" s="226"/>
      <c r="T1" s="226"/>
      <c r="U1" s="226"/>
      <c r="V1" s="226"/>
      <c r="W1" s="226"/>
      <c r="X1" s="226"/>
      <c r="Y1" s="226"/>
      <c r="Z1" s="226"/>
      <c r="AA1" s="226"/>
      <c r="AB1" s="226"/>
      <c r="AC1" s="226"/>
    </row>
    <row r="2" spans="2:29" s="12" customFormat="1" ht="24" customHeight="1" x14ac:dyDescent="0.4">
      <c r="B2" s="224" t="s">
        <v>106</v>
      </c>
      <c r="C2" s="213"/>
      <c r="D2" s="24"/>
      <c r="E2" s="13"/>
      <c r="N2" s="225" t="s">
        <v>100</v>
      </c>
      <c r="O2" s="225"/>
      <c r="P2" s="211"/>
      <c r="Q2" s="214" t="s">
        <v>100</v>
      </c>
      <c r="R2" s="211"/>
      <c r="S2" s="211"/>
      <c r="T2" s="211"/>
      <c r="U2" s="211"/>
      <c r="V2" s="211"/>
      <c r="W2" s="211"/>
      <c r="X2" s="211"/>
      <c r="Y2" s="211"/>
      <c r="Z2" s="211"/>
      <c r="AA2" s="211"/>
      <c r="AB2" s="211"/>
      <c r="AC2" s="211"/>
    </row>
    <row r="3" spans="2:29" ht="24.75" thickBot="1" x14ac:dyDescent="0.45">
      <c r="B3" s="86" t="s">
        <v>0</v>
      </c>
      <c r="C3" s="24"/>
      <c r="D3" s="12"/>
      <c r="E3" s="13"/>
      <c r="F3" s="12"/>
      <c r="I3" s="12"/>
      <c r="J3" s="87" t="s">
        <v>64</v>
      </c>
      <c r="K3" s="12"/>
      <c r="L3" s="12"/>
      <c r="M3" s="12"/>
      <c r="N3" s="12"/>
      <c r="O3" s="12"/>
      <c r="P3" s="12"/>
      <c r="Q3" s="215" t="s">
        <v>102</v>
      </c>
    </row>
    <row r="4" spans="2:29" ht="20.25" thickBot="1" x14ac:dyDescent="0.45">
      <c r="B4" s="26" t="s">
        <v>31</v>
      </c>
      <c r="C4" s="24"/>
      <c r="D4" s="24"/>
      <c r="E4" s="13"/>
      <c r="F4" s="12"/>
      <c r="I4" s="12"/>
      <c r="J4" s="209" t="s">
        <v>22</v>
      </c>
      <c r="K4" s="140" t="s">
        <v>69</v>
      </c>
      <c r="L4" s="140" t="s">
        <v>70</v>
      </c>
      <c r="M4" s="193" t="s">
        <v>44</v>
      </c>
      <c r="N4" s="12"/>
      <c r="O4" s="12"/>
      <c r="P4" s="13"/>
      <c r="Q4" s="1"/>
      <c r="X4" s="12"/>
      <c r="Z4" s="163"/>
      <c r="AA4" s="1"/>
      <c r="AB4" s="163"/>
      <c r="AC4" s="1"/>
    </row>
    <row r="5" spans="2:29" ht="20.25" thickBot="1" x14ac:dyDescent="0.45">
      <c r="B5" s="27" t="s">
        <v>21</v>
      </c>
      <c r="C5" s="9">
        <v>20000000000</v>
      </c>
      <c r="D5" s="24"/>
      <c r="E5" s="13"/>
      <c r="F5" s="12"/>
      <c r="I5" s="12"/>
      <c r="J5" s="210">
        <f>IF(C17="無",B36,B27)</f>
        <v>2022</v>
      </c>
      <c r="K5" s="8">
        <f>'（計算シート）非表示にする'!L3</f>
        <v>1857534</v>
      </c>
      <c r="L5" s="8">
        <f>'（計算シート）非表示にする'!M3</f>
        <v>2991780</v>
      </c>
      <c r="M5" s="198">
        <f t="shared" ref="M5:M15" si="0">IF(AND(K5="-",L5="-"),"-",IF(K5="-",L5,IF(L5="-",K5,K5+L5)))</f>
        <v>4849314</v>
      </c>
      <c r="N5" s="12"/>
      <c r="O5" s="12"/>
      <c r="P5" s="13"/>
      <c r="Q5" s="1"/>
      <c r="X5" s="12"/>
      <c r="Z5" s="163"/>
      <c r="AA5" s="1"/>
      <c r="AB5" s="163"/>
      <c r="AC5" s="1"/>
    </row>
    <row r="6" spans="2:29" ht="20.25" thickBot="1" x14ac:dyDescent="0.45">
      <c r="B6" s="28" t="s">
        <v>17</v>
      </c>
      <c r="C6" s="10">
        <v>350000000</v>
      </c>
      <c r="D6" s="24"/>
      <c r="E6" s="13"/>
      <c r="F6" s="12"/>
      <c r="I6" s="12"/>
      <c r="J6" s="210">
        <f t="shared" ref="J6:J15" si="1">J5+1</f>
        <v>2023</v>
      </c>
      <c r="K6" s="8">
        <f>'（計算シート）非表示にする'!L4</f>
        <v>2955286</v>
      </c>
      <c r="L6" s="8">
        <f>'（計算シート）非表示にする'!M4</f>
        <v>2797354</v>
      </c>
      <c r="M6" s="198">
        <f t="shared" si="0"/>
        <v>5752640</v>
      </c>
      <c r="N6" s="12"/>
      <c r="O6" s="12"/>
      <c r="P6" s="2"/>
      <c r="Q6" s="1"/>
      <c r="X6" s="12"/>
      <c r="Z6" s="163"/>
      <c r="AA6" s="1"/>
      <c r="AB6" s="163"/>
      <c r="AC6" s="1"/>
    </row>
    <row r="7" spans="2:29" ht="20.25" thickBot="1" x14ac:dyDescent="0.45">
      <c r="B7" s="28" t="s">
        <v>94</v>
      </c>
      <c r="C7" s="10">
        <f>IF(C6="","",MOD(C5,C6))</f>
        <v>50000000</v>
      </c>
      <c r="D7" s="29"/>
      <c r="E7" s="13"/>
      <c r="F7" s="12"/>
      <c r="I7" s="12"/>
      <c r="J7" s="210">
        <f t="shared" si="1"/>
        <v>2024</v>
      </c>
      <c r="K7" s="8">
        <f>'（計算シート）非表示にする'!L5</f>
        <v>2639136</v>
      </c>
      <c r="L7" s="8">
        <f>'（計算シート）非表示にする'!M5</f>
        <v>2468218</v>
      </c>
      <c r="M7" s="198">
        <f t="shared" si="0"/>
        <v>5107354</v>
      </c>
      <c r="N7" s="12"/>
      <c r="O7" s="12"/>
      <c r="P7" s="13"/>
      <c r="Q7" s="1"/>
      <c r="X7" s="12"/>
      <c r="Z7" s="163"/>
      <c r="AA7" s="1"/>
      <c r="AB7" s="163"/>
      <c r="AC7" s="1"/>
    </row>
    <row r="8" spans="2:29" ht="20.25" thickBot="1" x14ac:dyDescent="0.45">
      <c r="B8" s="28" t="s">
        <v>1</v>
      </c>
      <c r="C8" s="11">
        <v>44652</v>
      </c>
      <c r="D8" s="24" t="s">
        <v>29</v>
      </c>
      <c r="E8" s="13"/>
      <c r="F8" s="12"/>
      <c r="I8" s="12"/>
      <c r="J8" s="210">
        <f t="shared" si="1"/>
        <v>2025</v>
      </c>
      <c r="K8" s="8">
        <f>'（計算シート）非表示にする'!L6</f>
        <v>2323273</v>
      </c>
      <c r="L8" s="8">
        <f>'（計算シート）非表示にする'!M6</f>
        <v>2154080</v>
      </c>
      <c r="M8" s="198">
        <f t="shared" si="0"/>
        <v>4477353</v>
      </c>
      <c r="N8" s="12"/>
      <c r="O8" s="12"/>
      <c r="P8" s="13"/>
      <c r="Q8" s="1"/>
      <c r="X8" s="12"/>
      <c r="Z8" s="163"/>
      <c r="AA8" s="1"/>
      <c r="AB8" s="163"/>
      <c r="AC8" s="1"/>
    </row>
    <row r="9" spans="2:29" ht="20.25" thickBot="1" x14ac:dyDescent="0.45">
      <c r="B9" s="28"/>
      <c r="C9" s="11">
        <f>IF(C8="","",VLOOKUP(VLOOKUP(0,J36:P195,7,FALSE)-1,P36:Q195,2,FALSE))</f>
        <v>48548</v>
      </c>
      <c r="D9" s="24" t="s">
        <v>30</v>
      </c>
      <c r="E9" s="30"/>
      <c r="F9" s="12"/>
      <c r="I9" s="12"/>
      <c r="J9" s="210">
        <f t="shared" si="1"/>
        <v>2026</v>
      </c>
      <c r="K9" s="8">
        <f>'（計算シート）非表示にする'!L7</f>
        <v>2007409</v>
      </c>
      <c r="L9" s="8">
        <f>'（計算シート）非表示にする'!M7</f>
        <v>1839943</v>
      </c>
      <c r="M9" s="198">
        <f t="shared" si="0"/>
        <v>3847352</v>
      </c>
      <c r="N9" s="12"/>
      <c r="O9" s="12"/>
      <c r="P9" s="13"/>
      <c r="Q9" s="1"/>
      <c r="X9" s="12"/>
      <c r="Z9" s="163"/>
      <c r="AA9" s="1"/>
      <c r="AB9" s="163"/>
      <c r="AC9" s="1"/>
    </row>
    <row r="10" spans="2:29" ht="20.25" thickBot="1" x14ac:dyDescent="0.45">
      <c r="B10" s="31" t="s">
        <v>19</v>
      </c>
      <c r="C10" s="81">
        <v>3.5499999999999997E-2</v>
      </c>
      <c r="D10" s="24"/>
      <c r="E10" s="13"/>
      <c r="F10" s="12"/>
      <c r="I10" s="12"/>
      <c r="J10" s="210">
        <f t="shared" si="1"/>
        <v>2027</v>
      </c>
      <c r="K10" s="8">
        <f>'（計算シート）非表示にする'!L8</f>
        <v>1691547</v>
      </c>
      <c r="L10" s="8">
        <f>'（計算シート）非表示にする'!M8</f>
        <v>1533903</v>
      </c>
      <c r="M10" s="198">
        <f t="shared" si="0"/>
        <v>3225450</v>
      </c>
      <c r="N10" s="12"/>
      <c r="O10" s="12"/>
      <c r="P10" s="13"/>
      <c r="Q10" s="1"/>
      <c r="X10" s="12"/>
      <c r="Z10" s="163"/>
      <c r="AA10" s="1"/>
      <c r="AB10" s="163"/>
      <c r="AC10" s="1"/>
    </row>
    <row r="11" spans="2:29" ht="20.25" thickBot="1" x14ac:dyDescent="0.45">
      <c r="B11" s="26" t="s">
        <v>25</v>
      </c>
      <c r="C11" s="24"/>
      <c r="D11" s="24"/>
      <c r="E11" s="13"/>
      <c r="F11" s="12"/>
      <c r="I11" s="12"/>
      <c r="J11" s="210">
        <f t="shared" si="1"/>
        <v>2028</v>
      </c>
      <c r="K11" s="8">
        <f>'（計算シート）非表示にする'!L9</f>
        <v>1375684</v>
      </c>
      <c r="L11" s="8">
        <f>'（計算シート）非表示にする'!M9</f>
        <v>1211669</v>
      </c>
      <c r="M11" s="198">
        <f t="shared" si="0"/>
        <v>2587353</v>
      </c>
      <c r="N11" s="12"/>
      <c r="O11" s="12"/>
      <c r="P11" s="13"/>
      <c r="Q11" s="1"/>
      <c r="X11" s="12"/>
      <c r="Z11" s="163"/>
      <c r="AA11" s="1"/>
      <c r="AB11" s="163"/>
      <c r="AC11" s="1"/>
    </row>
    <row r="12" spans="2:29" ht="20.25" thickBot="1" x14ac:dyDescent="0.45">
      <c r="B12" s="27" t="s">
        <v>32</v>
      </c>
      <c r="C12" s="9">
        <v>2000000000</v>
      </c>
      <c r="D12" s="32"/>
      <c r="E12" s="16"/>
      <c r="F12" s="14"/>
      <c r="I12" s="12"/>
      <c r="J12" s="210">
        <f t="shared" si="1"/>
        <v>2029</v>
      </c>
      <c r="K12" s="8">
        <f>'（計算シート）非表示にする'!L10</f>
        <v>1059820</v>
      </c>
      <c r="L12" s="8">
        <f>'（計算シート）非表示にする'!M10</f>
        <v>897532</v>
      </c>
      <c r="M12" s="198">
        <f t="shared" si="0"/>
        <v>1957352</v>
      </c>
      <c r="N12" s="12"/>
      <c r="O12" s="12"/>
      <c r="P12" s="13"/>
      <c r="Q12" s="1"/>
      <c r="X12" s="12"/>
      <c r="Z12" s="163"/>
      <c r="AA12" s="1"/>
      <c r="AB12" s="163"/>
      <c r="AC12" s="1"/>
    </row>
    <row r="13" spans="2:29" ht="20.25" thickBot="1" x14ac:dyDescent="0.45">
      <c r="B13" s="28" t="s">
        <v>17</v>
      </c>
      <c r="C13" s="10">
        <v>35000000</v>
      </c>
      <c r="D13" s="32"/>
      <c r="E13" s="16"/>
      <c r="F13" s="14"/>
      <c r="I13" s="12"/>
      <c r="J13" s="210">
        <f t="shared" si="1"/>
        <v>2030</v>
      </c>
      <c r="K13" s="8">
        <f>'（計算シート）非表示にする'!L11</f>
        <v>743957</v>
      </c>
      <c r="L13" s="8">
        <f>'（計算シート）非表示にする'!M11</f>
        <v>583396</v>
      </c>
      <c r="M13" s="198">
        <f t="shared" si="0"/>
        <v>1327353</v>
      </c>
      <c r="N13" s="12"/>
      <c r="O13" s="12"/>
      <c r="P13" s="13"/>
      <c r="Q13" s="1"/>
      <c r="X13" s="12"/>
      <c r="Z13" s="163"/>
      <c r="AA13" s="1"/>
      <c r="AB13" s="163"/>
      <c r="AC13" s="1"/>
    </row>
    <row r="14" spans="2:29" ht="20.25" thickBot="1" x14ac:dyDescent="0.45">
      <c r="B14" s="28" t="s">
        <v>94</v>
      </c>
      <c r="C14" s="10">
        <f>IF(C13="","",MOD(C12,C13))</f>
        <v>5000000</v>
      </c>
      <c r="D14" s="32"/>
      <c r="E14" s="16"/>
      <c r="F14" s="14"/>
      <c r="I14" s="12"/>
      <c r="J14" s="210">
        <f t="shared" si="1"/>
        <v>2031</v>
      </c>
      <c r="K14" s="8">
        <f>'（計算シート）非表示にする'!L12</f>
        <v>428095</v>
      </c>
      <c r="L14" s="8">
        <f>'（計算シート）非表示にする'!M12</f>
        <v>270450</v>
      </c>
      <c r="M14" s="198">
        <f t="shared" si="0"/>
        <v>698545</v>
      </c>
      <c r="N14" s="12"/>
      <c r="O14" s="12"/>
      <c r="P14" s="13"/>
      <c r="Q14" s="1"/>
      <c r="X14" s="12"/>
      <c r="Z14" s="163"/>
      <c r="AA14" s="1"/>
      <c r="AB14" s="163"/>
      <c r="AC14" s="1"/>
    </row>
    <row r="15" spans="2:29" ht="20.25" customHeight="1" thickBot="1" x14ac:dyDescent="0.45">
      <c r="B15" s="28" t="s">
        <v>33</v>
      </c>
      <c r="C15" s="88">
        <v>44722</v>
      </c>
      <c r="D15" s="24" t="s">
        <v>29</v>
      </c>
      <c r="E15" s="13"/>
      <c r="F15" s="34"/>
      <c r="I15" s="12"/>
      <c r="J15" s="210">
        <f t="shared" si="1"/>
        <v>2032</v>
      </c>
      <c r="K15" s="8">
        <f>'（計算シート）非表示にする'!L13</f>
        <v>112231</v>
      </c>
      <c r="L15" s="8">
        <f>'（計算シート）非表示にする'!M13</f>
        <v>2506</v>
      </c>
      <c r="M15" s="198">
        <f t="shared" si="0"/>
        <v>114737</v>
      </c>
      <c r="N15" s="12"/>
      <c r="O15" s="12"/>
      <c r="P15" s="13"/>
      <c r="Q15" s="1"/>
      <c r="X15" s="12"/>
      <c r="Z15" s="163"/>
      <c r="AA15" s="1"/>
      <c r="AB15" s="163"/>
      <c r="AC15" s="1"/>
    </row>
    <row r="16" spans="2:29" ht="19.5" thickBot="1" x14ac:dyDescent="0.45">
      <c r="B16" s="28"/>
      <c r="C16" s="11">
        <f>IF(C15="","",VLOOKUP(VLOOKUP(0,K36:P211,6,FALSE)-1,P36:Q211,2,FALSE))</f>
        <v>48548</v>
      </c>
      <c r="D16" s="24" t="s">
        <v>30</v>
      </c>
      <c r="E16" s="35"/>
      <c r="F16" s="34"/>
      <c r="H16" s="12"/>
      <c r="I16" s="12"/>
      <c r="J16" s="12"/>
      <c r="K16" s="12"/>
      <c r="L16" s="139" t="s">
        <v>10</v>
      </c>
      <c r="M16" s="199">
        <f>SUM(M5:M15)</f>
        <v>33944803</v>
      </c>
      <c r="N16" s="12"/>
      <c r="O16" s="12"/>
      <c r="P16" s="13"/>
      <c r="Q16" s="1"/>
      <c r="X16" s="12"/>
      <c r="Z16" s="163"/>
      <c r="AA16" s="1"/>
      <c r="AB16" s="163"/>
      <c r="AC16" s="1"/>
    </row>
    <row r="17" spans="1:29" s="12" customFormat="1" x14ac:dyDescent="0.4">
      <c r="B17" s="77" t="s">
        <v>60</v>
      </c>
      <c r="C17" s="11" t="s">
        <v>61</v>
      </c>
      <c r="D17" s="24"/>
      <c r="E17" s="35"/>
      <c r="F17" s="34"/>
      <c r="L17" s="14"/>
      <c r="M17" s="197"/>
      <c r="N17" s="197"/>
      <c r="Q17" s="13"/>
      <c r="AA17" s="163"/>
      <c r="AC17" s="163"/>
    </row>
    <row r="18" spans="1:29" x14ac:dyDescent="0.4">
      <c r="B18" s="77" t="s">
        <v>98</v>
      </c>
      <c r="C18" s="11">
        <v>45077</v>
      </c>
      <c r="D18" s="24"/>
      <c r="E18" s="35"/>
      <c r="F18" s="34"/>
      <c r="G18" s="78"/>
      <c r="H18" s="34"/>
      <c r="I18" s="12"/>
      <c r="J18" s="36"/>
      <c r="K18" s="12"/>
      <c r="L18" s="12"/>
      <c r="M18" s="197"/>
      <c r="N18" s="197"/>
      <c r="O18" s="12"/>
      <c r="P18" s="12"/>
      <c r="Q18" s="13"/>
    </row>
    <row r="19" spans="1:29" x14ac:dyDescent="0.4">
      <c r="B19" s="77" t="s">
        <v>99</v>
      </c>
      <c r="C19" s="80">
        <v>30</v>
      </c>
      <c r="D19" s="24"/>
      <c r="E19" s="35"/>
      <c r="F19" s="34"/>
      <c r="G19" s="78"/>
      <c r="H19" s="34"/>
      <c r="I19" s="12"/>
      <c r="J19" s="36"/>
      <c r="K19" s="12"/>
      <c r="L19" s="12"/>
      <c r="M19" s="12"/>
      <c r="N19" s="12"/>
      <c r="O19" s="12"/>
      <c r="P19" s="12"/>
      <c r="Q19" s="13"/>
    </row>
    <row r="20" spans="1:29" x14ac:dyDescent="0.4">
      <c r="B20" s="77" t="s">
        <v>47</v>
      </c>
      <c r="C20" s="80" t="s">
        <v>49</v>
      </c>
      <c r="D20" s="24"/>
      <c r="E20" s="35"/>
      <c r="F20" s="34"/>
      <c r="G20" s="78"/>
      <c r="H20" s="34"/>
      <c r="I20" s="12"/>
      <c r="J20" s="36"/>
      <c r="K20" s="12"/>
      <c r="L20" s="12"/>
      <c r="M20" s="12"/>
      <c r="N20" s="12"/>
      <c r="O20" s="12"/>
      <c r="P20" s="12"/>
      <c r="Q20" s="13"/>
    </row>
    <row r="21" spans="1:29" ht="19.5" thickBot="1" x14ac:dyDescent="0.45">
      <c r="B21" s="31" t="s">
        <v>19</v>
      </c>
      <c r="C21" s="81">
        <v>3.5499999999999997E-2</v>
      </c>
      <c r="D21" s="32"/>
      <c r="E21" s="16"/>
      <c r="F21" s="14"/>
      <c r="G21" s="37"/>
      <c r="H21" s="14"/>
      <c r="I21" s="12"/>
      <c r="J21" s="36"/>
      <c r="K21" s="12"/>
      <c r="L21" s="12"/>
      <c r="M21" s="12"/>
      <c r="N21" s="12"/>
      <c r="O21" s="12"/>
      <c r="P21" s="12"/>
      <c r="Q21" s="13"/>
    </row>
    <row r="22" spans="1:29" x14ac:dyDescent="0.4">
      <c r="B22" s="12"/>
      <c r="C22" s="33" t="str">
        <f>IF(C15&lt;C8,"※交付対象融資期間に正しい日付を入れてください。","")</f>
        <v/>
      </c>
      <c r="D22" s="12"/>
      <c r="E22" s="13"/>
      <c r="F22" s="12"/>
      <c r="H22" s="12"/>
      <c r="I22" s="12"/>
      <c r="J22" s="12"/>
      <c r="K22" s="12"/>
      <c r="L22" s="12"/>
      <c r="M22" s="12"/>
      <c r="N22" s="12"/>
      <c r="O22" s="12"/>
    </row>
    <row r="23" spans="1:29" ht="24" x14ac:dyDescent="0.4">
      <c r="B23" s="86" t="s">
        <v>2</v>
      </c>
      <c r="C23" s="24"/>
      <c r="D23" s="24"/>
      <c r="E23" s="38"/>
      <c r="F23" s="24"/>
      <c r="G23" s="33"/>
      <c r="H23" s="24"/>
      <c r="I23" s="24"/>
      <c r="J23" s="24"/>
      <c r="K23" s="24"/>
      <c r="L23" s="24"/>
      <c r="M23" s="39"/>
      <c r="N23" s="39"/>
      <c r="O23" s="24"/>
      <c r="P23" s="12"/>
      <c r="Q23" s="13"/>
    </row>
    <row r="24" spans="1:29" s="12" customFormat="1" ht="20.25" thickBot="1" x14ac:dyDescent="0.45">
      <c r="B24" s="147" t="s">
        <v>72</v>
      </c>
      <c r="C24" s="24"/>
      <c r="D24" s="24"/>
      <c r="E24" s="38"/>
      <c r="F24" s="24"/>
      <c r="G24" s="33"/>
      <c r="H24" s="24"/>
      <c r="I24" s="24"/>
      <c r="J24" s="24"/>
      <c r="K24" s="24"/>
      <c r="L24" s="24"/>
      <c r="M24" s="39"/>
      <c r="N24" s="39"/>
      <c r="O24" s="24"/>
      <c r="Q24" s="13"/>
      <c r="AA24" s="163"/>
      <c r="AC24" s="163"/>
    </row>
    <row r="25" spans="1:29" s="12" customFormat="1" x14ac:dyDescent="0.4">
      <c r="B25" s="231" t="s">
        <v>22</v>
      </c>
      <c r="C25" s="194" t="s">
        <v>59</v>
      </c>
      <c r="D25" s="195"/>
      <c r="E25" s="195"/>
      <c r="F25" s="195"/>
      <c r="G25" s="195"/>
      <c r="H25" s="195"/>
      <c r="I25" s="195"/>
      <c r="J25" s="195"/>
      <c r="K25" s="195"/>
      <c r="L25" s="195"/>
      <c r="M25" s="196"/>
      <c r="N25" s="39"/>
      <c r="O25" s="24"/>
      <c r="Q25" s="13"/>
      <c r="AA25" s="163"/>
      <c r="AC25" s="163"/>
    </row>
    <row r="26" spans="1:29" s="12" customFormat="1" ht="19.5" thickBot="1" x14ac:dyDescent="0.45">
      <c r="B26" s="232"/>
      <c r="C26" s="240" t="s">
        <v>23</v>
      </c>
      <c r="D26" s="241"/>
      <c r="E26" s="15" t="s">
        <v>14</v>
      </c>
      <c r="F26" s="41" t="s">
        <v>15</v>
      </c>
      <c r="G26" s="41" t="s">
        <v>16</v>
      </c>
      <c r="H26" s="192" t="s">
        <v>15</v>
      </c>
      <c r="I26" s="41" t="s">
        <v>5</v>
      </c>
      <c r="J26" s="41" t="s">
        <v>43</v>
      </c>
      <c r="K26" s="41" t="s">
        <v>11</v>
      </c>
      <c r="L26" s="41" t="s">
        <v>12</v>
      </c>
      <c r="M26" s="92" t="s">
        <v>13</v>
      </c>
      <c r="N26" s="39"/>
      <c r="O26" s="24"/>
      <c r="Q26" s="13"/>
      <c r="AA26" s="163" t="s">
        <v>75</v>
      </c>
      <c r="AC26" s="163" t="s">
        <v>74</v>
      </c>
    </row>
    <row r="27" spans="1:29" s="12" customFormat="1" x14ac:dyDescent="0.4">
      <c r="A27" s="164">
        <f>B27</f>
        <v>2022</v>
      </c>
      <c r="B27" s="233">
        <f>IF(OR(C15="",C17="無"),"",YEAR(EDATE(C15,-3)))</f>
        <v>2022</v>
      </c>
      <c r="C27" s="238" t="s">
        <v>3</v>
      </c>
      <c r="D27" s="239"/>
      <c r="E27" s="76" cm="1">
        <f t="array" ref="E27">_xlfn.IFS($C$17="無","",$C$17="有",IF($C$15&gt;DATE(B27,9,30),"",$C$15))</f>
        <v>44722</v>
      </c>
      <c r="F27" s="46" t="str">
        <f t="shared" ref="F27:H27" si="2">IF(E27="","",TEXT(E27,"aaa"))</f>
        <v>金</v>
      </c>
      <c r="G27" s="76">
        <f>AC34</f>
        <v>44834</v>
      </c>
      <c r="H27" s="46" t="str">
        <f t="shared" si="2"/>
        <v>金</v>
      </c>
      <c r="I27" s="47">
        <f t="shared" ref="I27:I32" si="3">IF(G27="","",DATEDIF(E27,G27,"D")+1)</f>
        <v>113</v>
      </c>
      <c r="J27" s="116">
        <f t="shared" ref="J27:J32" si="4">IF(G27&lt;&gt;"",IF($C$5="","",$C$5),"")</f>
        <v>20000000000</v>
      </c>
      <c r="K27" s="48">
        <f t="shared" ref="K27:K32" si="5">IF(G27&lt;&gt;"",IF($C$12="","",$C$12),"")</f>
        <v>2000000000</v>
      </c>
      <c r="L27" s="82" cm="1">
        <f t="array" ref="L27">IF(AND(OR(J27=0,J27=""),OR(K27=0,K27="")),"",_xlfn.IFS($C$21&gt;=0.0035,0.003,$C$21&lt;0.0005,0,$C$21&lt;0.0035,$C$21-0.0005))</f>
        <v>3.0000000000000001E-3</v>
      </c>
      <c r="M27" s="151">
        <f t="shared" ref="M27:M32" si="6">IF(G27="",0,IF(OR(K27="",K27=0),0,ROUNDDOWN(K27*(I27/365)*L27,0)))</f>
        <v>1857534</v>
      </c>
      <c r="N27" s="143"/>
      <c r="O27" s="24"/>
      <c r="Q27" s="13"/>
      <c r="Y27" s="164">
        <f>$B$27</f>
        <v>2022</v>
      </c>
      <c r="Z27" s="226" t="s">
        <v>77</v>
      </c>
      <c r="AA27" s="163">
        <f>E27</f>
        <v>44722</v>
      </c>
      <c r="AC27" s="163" cm="1">
        <f t="array" ref="AC27">_xlfn.IFS($C$17="無","",$C$17="有",IF(OR($E$27="",$C$18="",$C$19=""),"",IF($C$19="月末",IF(EOMONTH(C15,VLOOKUP($C$20,$U$35:$V$39,2,FALSE)-1)&gt;DATE(Y27,9,30),DATE(Y27,9,30),IF(EOMONTH(C15,VLOOKUP($C$20,$U$35:$V$39,2,FALSE)-2)&gt;$C$15,EOMONTH(C15,VLOOKUP($C$20,$U$35:$V$39,2,FALSE)-2),EOMONTH(C15,VLOOKUP($C$20,$U$35:$V$39,2,FALSE)-1))),IF(EOMONTH(C15,VLOOKUP($C$20,$U$35:$V$39,2,FALSE)-2)+$C$19&gt;DATE(Y27,9,30),DATE(Y27,9,30),IF(EOMONTH($C$15,VLOOKUP($C$20,$U$35:$V$39,2,FALSE)-2)+$C$19&gt;$C$15,EOMONTH(C15,VLOOKUP($C$20,$U$35:$V$39,2,FALSE)-2)+$C$19,IF(EOMONTH(C15,VLOOKUP($C$20,$U$35:$V$39,2,FALSE)-1)+$C$19&lt;$C$18,EOMONTH(C15,VLOOKUP($C$20,$U$35:$V$39,2,FALSE)-1)+$C$19,EOMONTH(C15,VLOOKUP($C$20,$U$35:$V$39,2,FALSE)-1)+$C$19-1))))))</f>
        <v>44772</v>
      </c>
    </row>
    <row r="28" spans="1:29" s="12" customFormat="1" ht="19.5" thickBot="1" x14ac:dyDescent="0.45">
      <c r="A28" s="164">
        <f>B27</f>
        <v>2022</v>
      </c>
      <c r="B28" s="234"/>
      <c r="C28" s="244" t="s">
        <v>4</v>
      </c>
      <c r="D28" s="245"/>
      <c r="E28" s="120" cm="1">
        <f t="array" ref="E28">_xlfn.IFS($C$17="無","",$C$17="有",IF(C15&gt;=DATE(B27,10,1),C15,IF(EOMONTH(G27,1)&lt;$C$18-1,G27+1,"")))</f>
        <v>44835</v>
      </c>
      <c r="F28" s="152" t="str">
        <f>IF(E28="","",TEXT(E28,"aaa"))</f>
        <v>土</v>
      </c>
      <c r="G28" s="76">
        <f>AC42</f>
        <v>45016</v>
      </c>
      <c r="H28" s="152" t="str">
        <f>IF(G28="","",TEXT(G28,"aaa"))</f>
        <v>金</v>
      </c>
      <c r="I28" s="153">
        <f t="shared" si="3"/>
        <v>182</v>
      </c>
      <c r="J28" s="132">
        <f t="shared" si="4"/>
        <v>20000000000</v>
      </c>
      <c r="K28" s="56">
        <f t="shared" si="5"/>
        <v>2000000000</v>
      </c>
      <c r="L28" s="154" cm="1">
        <f t="array" ref="L28">IF(AND(OR(J28=0,J28=""),OR(K28=0,K28="")),"",_xlfn.IFS($C$21&gt;=0.0035,0.003,$C$21&lt;0.0005,0,$C$21&lt;0.0035,$C$21-0.0005))</f>
        <v>3.0000000000000001E-3</v>
      </c>
      <c r="M28" s="155">
        <f t="shared" si="6"/>
        <v>2991780</v>
      </c>
      <c r="N28" s="143"/>
      <c r="O28" s="24"/>
      <c r="Q28" s="13"/>
      <c r="Y28" s="164">
        <f t="shared" ref="Y28:Y42" si="7">$B$27</f>
        <v>2022</v>
      </c>
      <c r="Z28" s="226"/>
      <c r="AA28" s="163">
        <f>IF(AC27="","",IF(AC28="","",IF(AC27+1&gt;DATE(Y28,9,30),"",AC27+1)))</f>
        <v>44773</v>
      </c>
      <c r="AC28" s="163">
        <f>IF(OR(AC27="",$C$19="",$C$20=""),"",IF(AC27+1&gt;DATE(Y28,9,30),"",IF($C$19="月末",IF(EOMONTH(AC27,VLOOKUP($C$20,$U$35:$V$39,2,FALSE))&gt;=$C$18,"",IF(EOMONTH(AC27,VLOOKUP($C$20,$U$35:$V$39,2,FALSE))&gt;DATE(Y28,9,30),DATE(Y28,9,30),EOMONTH(AC27,VLOOKUP($C$20,$U$35:$V$39,2,FALSE)))),IF(EOMONTH(AC27,VLOOKUP($C$20,$U$35:$V$39,2,FALSE)-1)+$C$19&gt;=$C$18,"",IF(EOMONTH(AC27,VLOOKUP($C$20,$U$35:$V$39,2,FALSE)-1)+$C$19&gt;DATE(Y28,9,30),DATE(Y28,9,30),EOMONTH(AC27,VLOOKUP($C$20,$U$35:$V$39,2,FALSE)-1)+$C$19)))))</f>
        <v>44834</v>
      </c>
    </row>
    <row r="29" spans="1:29" s="12" customFormat="1" x14ac:dyDescent="0.4">
      <c r="A29" s="164">
        <f>B29</f>
        <v>2023</v>
      </c>
      <c r="B29" s="235">
        <f>IF(B27="","",B27+1)</f>
        <v>2023</v>
      </c>
      <c r="C29" s="242" t="s">
        <v>3</v>
      </c>
      <c r="D29" s="243"/>
      <c r="E29" s="114">
        <f>IF(G28="","",IF(G29="","",IF(G28+1&gt;DATE(B29,9,30),"",IF(G28&lt;$C$18-1,G28+1,""))))</f>
        <v>45017</v>
      </c>
      <c r="F29" s="135" t="str">
        <f t="shared" ref="F29:H29" si="8">IF(E29="","",TEXT(E29,"aaa"))</f>
        <v>土</v>
      </c>
      <c r="G29" s="114">
        <f>AC50</f>
        <v>45076</v>
      </c>
      <c r="H29" s="135" t="str">
        <f t="shared" si="8"/>
        <v>火</v>
      </c>
      <c r="I29" s="136">
        <f t="shared" si="3"/>
        <v>60</v>
      </c>
      <c r="J29" s="159">
        <f t="shared" si="4"/>
        <v>20000000000</v>
      </c>
      <c r="K29" s="55">
        <f t="shared" si="5"/>
        <v>2000000000</v>
      </c>
      <c r="L29" s="85" cm="1">
        <f t="array" ref="L29">IF(AND(OR(J29=0,J29=""),OR(K29=0,K29="")),"",_xlfn.IFS($C$21&gt;=0.0035,0.003,$C$21&lt;0.0005,0,$C$21&lt;0.0035,$C$21-0.0005))</f>
        <v>3.0000000000000001E-3</v>
      </c>
      <c r="M29" s="61">
        <f t="shared" si="6"/>
        <v>986301</v>
      </c>
      <c r="N29" s="39"/>
      <c r="O29" s="24"/>
      <c r="Q29" s="13"/>
      <c r="Y29" s="164">
        <f t="shared" si="7"/>
        <v>2022</v>
      </c>
      <c r="Z29" s="226"/>
      <c r="AA29" s="163" t="str">
        <f t="shared" ref="AA29:AA30" si="9">IF(AC28="","",IF(AC29="","",IF(AC28+1&gt;DATE(Y29,9,30),"",AC28+1)))</f>
        <v/>
      </c>
      <c r="AC29" s="163" t="str">
        <f t="shared" ref="AC29:AC33" si="10">IF(OR(AC28="",$C$19="",$C$20=""),"",IF(AC28+1&gt;DATE(Y29,9,30),"",IF($C$19="月末",IF(EOMONTH(AC28,VLOOKUP($C$20,$U$35:$V$39,2,FALSE))&gt;=$C$18,"",IF(EOMONTH(AC28,VLOOKUP($C$20,$U$35:$V$39,2,FALSE))&gt;DATE(Y29,9,30),DATE(Y29,9,30),EOMONTH(AC28,VLOOKUP($C$20,$U$35:$V$39,2,FALSE)))),IF(EOMONTH(AC28,VLOOKUP($C$20,$U$35:$V$39,2,FALSE)-1)+$C$19&gt;=$C$18,"",IF(EOMONTH(AC28,VLOOKUP($C$20,$U$35:$V$39,2,FALSE)-1)+$C$19&gt;DATE(Y29,9,30),DATE(Y29,9,30),EOMONTH(AC28,VLOOKUP($C$20,$U$35:$V$39,2,FALSE)-1)+$C$19)))))</f>
        <v/>
      </c>
    </row>
    <row r="30" spans="1:29" s="12" customFormat="1" ht="19.5" thickBot="1" x14ac:dyDescent="0.45">
      <c r="A30" s="164">
        <f>B29</f>
        <v>2023</v>
      </c>
      <c r="B30" s="236"/>
      <c r="C30" s="240" t="s">
        <v>4</v>
      </c>
      <c r="D30" s="241"/>
      <c r="E30" s="158" t="str">
        <f>IF(G29="","",IF(G30="","",IF(G29+1&gt;DATE(B29+1,3,31),"",IF(G29&lt;$C$18-1,G29+1,""))))</f>
        <v/>
      </c>
      <c r="F30" s="137" t="str">
        <f>IF(E30="","",TEXT(E30,"aaa"))</f>
        <v/>
      </c>
      <c r="G30" s="158" t="str">
        <f>AC58</f>
        <v/>
      </c>
      <c r="H30" s="137" t="str">
        <f>IF(G30="","",TEXT(G30,"aaa"))</f>
        <v/>
      </c>
      <c r="I30" s="138" t="str">
        <f t="shared" si="3"/>
        <v/>
      </c>
      <c r="J30" s="160" t="str">
        <f t="shared" si="4"/>
        <v/>
      </c>
      <c r="K30" s="148" t="str">
        <f t="shared" si="5"/>
        <v/>
      </c>
      <c r="L30" s="149" t="str" cm="1">
        <f t="array" ref="L30">IF(AND(OR(J30=0,J30=""),OR(K30=0,K30="")),"",_xlfn.IFS($C$21&gt;=0.0035,0.003,$C$21&lt;0.0005,0,$C$21&lt;0.0035,$C$21-0.0005))</f>
        <v/>
      </c>
      <c r="M30" s="150">
        <f t="shared" si="6"/>
        <v>0</v>
      </c>
      <c r="N30" s="39"/>
      <c r="O30" s="24"/>
      <c r="Q30" s="13"/>
      <c r="Y30" s="164">
        <f t="shared" si="7"/>
        <v>2022</v>
      </c>
      <c r="Z30" s="226"/>
      <c r="AA30" s="163" t="str">
        <f t="shared" si="9"/>
        <v/>
      </c>
      <c r="AC30" s="163" t="str">
        <f t="shared" si="10"/>
        <v/>
      </c>
    </row>
    <row r="31" spans="1:29" s="12" customFormat="1" x14ac:dyDescent="0.4">
      <c r="A31" s="164">
        <f>B31</f>
        <v>2024</v>
      </c>
      <c r="B31" s="237">
        <f>IF(B29="","",B29+1)</f>
        <v>2024</v>
      </c>
      <c r="C31" s="238" t="s">
        <v>3</v>
      </c>
      <c r="D31" s="239"/>
      <c r="E31" s="76" t="str">
        <f>IF(G30="","",IF(G31="","",IF(G30+1&gt;DATE(B31,9,30),"",IF(G30&lt;$C$18-1,G30+1,""))))</f>
        <v/>
      </c>
      <c r="F31" s="46" t="str">
        <f t="shared" ref="F31:H31" si="11">IF(E31="","",TEXT(E31,"aaa"))</f>
        <v/>
      </c>
      <c r="G31" s="76" t="str">
        <f>AC66</f>
        <v/>
      </c>
      <c r="H31" s="46" t="str">
        <f t="shared" si="11"/>
        <v/>
      </c>
      <c r="I31" s="47" t="str">
        <f t="shared" si="3"/>
        <v/>
      </c>
      <c r="J31" s="116" t="str">
        <f t="shared" si="4"/>
        <v/>
      </c>
      <c r="K31" s="48" t="str">
        <f t="shared" si="5"/>
        <v/>
      </c>
      <c r="L31" s="82" t="str" cm="1">
        <f t="array" ref="L31">IF(AND(OR(J31=0,J31=""),OR(K31=0,K31="")),"",_xlfn.IFS($C$21&gt;=0.0035,0.003,$C$21&lt;0.0005,0,$C$21&lt;0.0035,$C$21-0.0005))</f>
        <v/>
      </c>
      <c r="M31" s="151">
        <f t="shared" si="6"/>
        <v>0</v>
      </c>
      <c r="N31" s="39"/>
      <c r="O31" s="24"/>
      <c r="Q31" s="13"/>
      <c r="Y31" s="164">
        <f t="shared" si="7"/>
        <v>2022</v>
      </c>
      <c r="Z31" s="226"/>
      <c r="AA31" s="163" t="str">
        <f>IF(AC30="","",IF(AC31="","",IF(AC30+1&gt;DATE(Y31,9,30),"",AC30+1)))</f>
        <v/>
      </c>
      <c r="AC31" s="163" t="str">
        <f t="shared" si="10"/>
        <v/>
      </c>
    </row>
    <row r="32" spans="1:29" s="12" customFormat="1" ht="19.5" thickBot="1" x14ac:dyDescent="0.45">
      <c r="A32" s="164">
        <f>B31</f>
        <v>2024</v>
      </c>
      <c r="B32" s="236"/>
      <c r="C32" s="240" t="s">
        <v>4</v>
      </c>
      <c r="D32" s="241"/>
      <c r="E32" s="158" t="str">
        <f>IF(G31="","",IF(G32="","",IF(G31+1&gt;DATE(B31+1,3,31),"",IF(G31&lt;$C$18-1,G31+1,""))))</f>
        <v/>
      </c>
      <c r="F32" s="137" t="str">
        <f>IF(E32="","",TEXT(E32,"aaa"))</f>
        <v/>
      </c>
      <c r="G32" s="158" t="str">
        <f>AC74</f>
        <v/>
      </c>
      <c r="H32" s="137" t="str">
        <f>IF(G32="","",TEXT(G32,"aaa"))</f>
        <v/>
      </c>
      <c r="I32" s="138" t="str">
        <f t="shared" si="3"/>
        <v/>
      </c>
      <c r="J32" s="160" t="str">
        <f t="shared" si="4"/>
        <v/>
      </c>
      <c r="K32" s="148" t="str">
        <f t="shared" si="5"/>
        <v/>
      </c>
      <c r="L32" s="149" t="str" cm="1">
        <f t="array" ref="L32">IF(AND(OR(J32=0,J32=""),OR(K32=0,K32="")),"",_xlfn.IFS($C$21&gt;=0.0035,0.003,$C$21&lt;0.0005,0,$C$21&lt;0.0035,$C$21-0.0005))</f>
        <v/>
      </c>
      <c r="M32" s="150">
        <f t="shared" si="6"/>
        <v>0</v>
      </c>
      <c r="N32" s="39"/>
      <c r="O32" s="24"/>
      <c r="Q32" s="13"/>
      <c r="Y32" s="164">
        <f t="shared" si="7"/>
        <v>2022</v>
      </c>
      <c r="Z32" s="226"/>
      <c r="AA32" s="163" t="str">
        <f t="shared" ref="AA32" si="12">IF(AC31="","",IF(AC32="","",IF(AC31+1&gt;DATE(Y32,9,30),"",AC31+1)))</f>
        <v/>
      </c>
      <c r="AC32" s="163" t="str">
        <f t="shared" si="10"/>
        <v/>
      </c>
    </row>
    <row r="33" spans="1:29" s="12" customFormat="1" ht="20.25" thickBot="1" x14ac:dyDescent="0.45">
      <c r="B33" s="147" t="s">
        <v>71</v>
      </c>
      <c r="C33" s="24"/>
      <c r="D33" s="24"/>
      <c r="E33" s="38"/>
      <c r="F33" s="24"/>
      <c r="G33" s="33"/>
      <c r="H33" s="24"/>
      <c r="I33" s="24"/>
      <c r="J33" s="24"/>
      <c r="K33" s="24"/>
      <c r="L33" s="24"/>
      <c r="M33" s="39"/>
      <c r="N33" s="39"/>
      <c r="O33" s="24"/>
      <c r="Q33" s="13"/>
      <c r="Y33" s="164">
        <f t="shared" si="7"/>
        <v>2022</v>
      </c>
      <c r="Z33" s="226"/>
      <c r="AA33" s="163" t="str">
        <f>IF(AC32="","",IF(AC33="","",IF(AC32+1&gt;DATE(Y33,9,30),"",AC32+1)))</f>
        <v/>
      </c>
      <c r="AC33" s="163" t="str">
        <f t="shared" si="10"/>
        <v/>
      </c>
    </row>
    <row r="34" spans="1:29" x14ac:dyDescent="0.4">
      <c r="B34" s="227" t="s">
        <v>22</v>
      </c>
      <c r="C34" s="194" t="s">
        <v>97</v>
      </c>
      <c r="D34" s="195"/>
      <c r="E34" s="195"/>
      <c r="F34" s="195"/>
      <c r="G34" s="195"/>
      <c r="H34" s="195"/>
      <c r="I34" s="195"/>
      <c r="J34" s="195"/>
      <c r="K34" s="195"/>
      <c r="L34" s="195"/>
      <c r="M34" s="196"/>
      <c r="N34" s="229" t="s">
        <v>27</v>
      </c>
      <c r="O34" s="230"/>
      <c r="P34" s="12"/>
      <c r="Q34" s="13"/>
      <c r="Y34" s="164">
        <f t="shared" si="7"/>
        <v>2022</v>
      </c>
      <c r="Z34" s="12" t="s">
        <v>76</v>
      </c>
      <c r="AA34" s="163" cm="1">
        <f t="array" ref="AA34">_xlfn.SINGLE(IF(AA27:AA33&lt;&gt;"",MIN(AA27:AA33),""))</f>
        <v>44722</v>
      </c>
      <c r="AB34" s="12"/>
      <c r="AC34" s="163" cm="1">
        <f t="array" ref="AC34">_xlfn.SINGLE(IF(AC27:AC33&lt;&gt;"",MAX(AC27:AC33),""))</f>
        <v>44834</v>
      </c>
    </row>
    <row r="35" spans="1:29" s="3" customFormat="1" ht="19.5" thickBot="1" x14ac:dyDescent="0.45">
      <c r="A35" s="14"/>
      <c r="B35" s="228"/>
      <c r="C35" s="156" t="s">
        <v>23</v>
      </c>
      <c r="D35" s="41" t="s">
        <v>24</v>
      </c>
      <c r="E35" s="15" t="s">
        <v>14</v>
      </c>
      <c r="F35" s="41" t="s">
        <v>15</v>
      </c>
      <c r="G35" s="41" t="s">
        <v>16</v>
      </c>
      <c r="H35" s="192" t="s">
        <v>15</v>
      </c>
      <c r="I35" s="41" t="s">
        <v>5</v>
      </c>
      <c r="J35" s="41" t="s">
        <v>43</v>
      </c>
      <c r="K35" s="41" t="s">
        <v>11</v>
      </c>
      <c r="L35" s="41" t="s">
        <v>12</v>
      </c>
      <c r="M35" s="42" t="s">
        <v>13</v>
      </c>
      <c r="N35" s="43" t="s">
        <v>21</v>
      </c>
      <c r="O35" s="92" t="s">
        <v>28</v>
      </c>
      <c r="P35" s="17"/>
      <c r="Q35" s="18" t="s">
        <v>16</v>
      </c>
      <c r="S35" s="5" t="s">
        <v>45</v>
      </c>
      <c r="U35" s="5" t="s">
        <v>48</v>
      </c>
      <c r="V35" s="5">
        <v>1</v>
      </c>
      <c r="X35" s="5" t="s">
        <v>62</v>
      </c>
      <c r="Y35" s="164">
        <f t="shared" si="7"/>
        <v>2022</v>
      </c>
      <c r="Z35" s="226" t="s">
        <v>63</v>
      </c>
      <c r="AA35" s="163">
        <f>E28</f>
        <v>44835</v>
      </c>
      <c r="AB35" s="1"/>
      <c r="AC35" s="163" cm="1">
        <f t="array" ref="AC35">_xlfn.IFS(OR(C17="無",$C$19="",$C$20=""),"",C17="有",IF(AND(C15&gt;=DATE(Y35,10,1)),IF($C$19="月末",IF(EOMONTH(C15,VLOOKUP($C$20,$U$35:$V$39,2,FALSE)-1)&gt;DATE(Y35+1,3,31),DATE(Y35+1,3,31),IF(EOMONTH(C15,VLOOKUP($C$20,$U$35:$V$39,2,FALSE)-2)&gt;$C$15,EOMONTH(C15,VLOOKUP($C$20,$U$35:$V$39,2,FALSE)-2),EOMONTH(C15,VLOOKUP($C$20,$U$35:$V$39,2,FALSE)-1))),IF(EOMONTH(C15,VLOOKUP($C$20,$U$35:$V$39,2,FALSE)-2)+$C$19&gt;DATE(Y35+1,3,31),DATE(Y35+1,3,31),IF(EOMONTH($C$15,VLOOKUP($C$20,$U$35:$V$39,2,FALSE)-2)+$C$19&gt;$C$15,EOMONTH(C15,VLOOKUP($C$20,$U$35:$V$39,2,FALSE)-2)+$C$19,EOMONTH(C15,VLOOKUP($C$20,$U$35:$V$39,2,FALSE)-1)+$C$19))),IF($C$19="月末",IF(EOMONTH(G27,VLOOKUP($C$20,$U$35:$V$39,2,FALSE))&gt;=$C$18,"",IF(EOMONTH(G27,VLOOKUP($C$20,$U$35:$V$39,2,FALSE))&gt;DATE(Y35+1,3,31),DATE(Y35+1,3,31),EOMONTH(G27,VLOOKUP($C$20,$U$35:$V$39,2,FALSE)))),IF(EOMONTH(G27,VLOOKUP($C$20,$U$35:$V$39,2,FALSE)-1)+$C$19&gt;=$C$18,"",IF(EOMONTH(G27,VLOOKUP($C$20,$U$35:$V$39,2,FALSE)-1)+$C$19&gt;DATE(Y35+1,3,31),DATE(Y35+1,3,31),EOMONTH(G27,VLOOKUP($C$20,$U$35:$V$39,2,FALSE)-1)+$C$19)))))</f>
        <v>44895</v>
      </c>
    </row>
    <row r="36" spans="1:29" s="3" customFormat="1" x14ac:dyDescent="0.4">
      <c r="A36" s="97">
        <f>B36</f>
        <v>2023</v>
      </c>
      <c r="B36" s="233">
        <f>IF(C15="",2022,YEAR(EDATE(C18,-3)))</f>
        <v>2023</v>
      </c>
      <c r="C36" s="249" t="s">
        <v>3</v>
      </c>
      <c r="D36" s="45" t="s">
        <v>6</v>
      </c>
      <c r="E36" s="161" cm="1">
        <f t="array" ref="E36">_xlfn.IFS($C$17="無",IF($C$15&gt;DATE($B$36,9,30),"",IF($C$18&gt;DATE($B$36,9,30),"",$C$15)),$C$17="有",IF(MAX($G$27:$G$32)+1&gt;=DATE($B$36,9,30),"",MAX($G$27:$G$32)+1))</f>
        <v>45077</v>
      </c>
      <c r="F36" s="46" t="str">
        <f t="shared" ref="F36:H41" si="13">IF(E36="","",TEXT(E36,"aaa"))</f>
        <v>水</v>
      </c>
      <c r="G36" s="76">
        <f>IF(OR(E36="",$C$19="",$C$20=""),"",IF(C18&lt;=DATE(B36,9,30),C18,DATE(B36,9,30)))</f>
        <v>45077</v>
      </c>
      <c r="H36" s="46" t="str">
        <f t="shared" si="13"/>
        <v>水</v>
      </c>
      <c r="I36" s="47">
        <f t="shared" ref="I36:I42" si="14">IF(G36="","",DATEDIF(E36,G36,"D")+1)</f>
        <v>1</v>
      </c>
      <c r="J36" s="116">
        <f>IF(OR(G36="",$C$5=""),"",IF(G36&lt;$C$8,"",$C$5))</f>
        <v>20000000000</v>
      </c>
      <c r="K36" s="116">
        <f>IF(OR(G36="",$C$12=""),"",IF(G36&lt;$C$15,"",$C$12))</f>
        <v>2000000000</v>
      </c>
      <c r="L36" s="82" cm="1">
        <f t="array" ref="L36">IF(AND(OR(J36=0,J36=""),OR(K36=0,K36="")),"",_xlfn.IFS($C$21&gt;=0.0035,0.003,$C$21&lt;0.0005,0,$C$21&lt;0.0035,$C$21-0.0005))</f>
        <v>3.0000000000000001E-3</v>
      </c>
      <c r="M36" s="64">
        <f t="shared" ref="M36:M42" si="15">IF(OR(G36="",K36="",K36=0),"",ROUNDDOWN(K36*(I36/365)*L36,0))</f>
        <v>16438</v>
      </c>
      <c r="N36" s="62">
        <f t="shared" ref="N36" si="16">IF(OR(J36="",J36=0,$G36=""),"",IF(AND($C$19&lt;&gt;"月末",$G36&lt;&gt;$C$18),IF(OR(AND($G36=DATE($A36,9,30),$G36&lt;&gt;DATE($A36,9,$C$19)),$G36=DATE($A36+1,3,31)),"",$C$6),$C$6))</f>
        <v>350000000</v>
      </c>
      <c r="O36" s="66">
        <f>IF(OR(K36="",K36=0,$G36=""),"",IF(AND($C$19&lt;&gt;"月末",$G36&lt;&gt;$C$18),IF(OR(AND($G36=DATE($A36,9,30),$G36&lt;&gt;DATE($A36,9,$C$19)),$G36=DATE($A36+1,3,31)),"",$C$13),$C$13))</f>
        <v>35000000</v>
      </c>
      <c r="P36" s="17">
        <v>1</v>
      </c>
      <c r="Q36" s="19">
        <f t="shared" ref="Q36:Q67" si="17">IF(G36&lt;&gt;"",G36,"")</f>
        <v>45077</v>
      </c>
      <c r="R36" s="4"/>
      <c r="S36" s="7">
        <v>1</v>
      </c>
      <c r="U36" s="5" t="s">
        <v>49</v>
      </c>
      <c r="V36" s="5">
        <v>2</v>
      </c>
      <c r="X36" s="5" t="s">
        <v>61</v>
      </c>
      <c r="Y36" s="164">
        <f t="shared" si="7"/>
        <v>2022</v>
      </c>
      <c r="Z36" s="226"/>
      <c r="AA36" s="163">
        <f t="shared" ref="AA36:AA38" si="18">IF(AC35="","",IF(AC36="","",IF(AC35+1&gt;DATE(Y36+1,3,31),"",AC35+1)))</f>
        <v>44896</v>
      </c>
      <c r="AC36" s="163">
        <f>IF(OR(AC35="",$C$19="",$C$20=""),"",IF(AC35+1&gt;DATE(Y36+1,3,31),"",IF($C$19="月末",IF(EOMONTH(AC35,VLOOKUP($C$20,$U$35:$V$39,2,FALSE))&gt;=$C$18,"",IF(EOMONTH(AC35,VLOOKUP($C$20,$U$35:$V$39,2,FALSE))&gt;DATE(Y36+1,3,31),DATE(Y36+1,3,31),EOMONTH(AC35,VLOOKUP($C$20,$U$35:$V$39,2,FALSE)))),IF(EOMONTH(AC35,VLOOKUP($C$20,$U$35:$V$39,2,FALSE)-1)+$C$19&gt;=$C$18,"",IF(EOMONTH(AC35,VLOOKUP($C$20,$U$35:$V$39,2,FALSE)-1)+$C$19&gt;DATE(Y36+1,3,31),DATE(Y36+1,3,31),EOMONTH(AC35,VLOOKUP($C$20,$U$35:$V$39,2,FALSE)-1)+$C$19)))))</f>
        <v>44956</v>
      </c>
    </row>
    <row r="37" spans="1:29" s="3" customFormat="1" x14ac:dyDescent="0.4">
      <c r="A37" s="98">
        <f>B36</f>
        <v>2023</v>
      </c>
      <c r="B37" s="246"/>
      <c r="C37" s="250"/>
      <c r="D37" s="49" t="s">
        <v>7</v>
      </c>
      <c r="E37" s="73">
        <f t="shared" ref="E37:E42" si="19">IF(OR(G36="",G37=""),"",IF(G36+1&gt;DATE($B$36,9,30),"",G36+1))</f>
        <v>45078</v>
      </c>
      <c r="F37" s="46" t="str">
        <f t="shared" si="13"/>
        <v>木</v>
      </c>
      <c r="G37" s="76">
        <f t="shared" ref="G37:G42" si="20">IF(OR(G36="",$C$19="",$C$20=""),"",IF(G36+1&gt;DATE($B$36,9,30),"",IF($C$19="月末",IF(EOMONTH(G36,VLOOKUP($C$20,$U$35:$V$39,2,FALSE))&gt;DATE($B$36,9,30),DATE($B$36,9,30),EOMONTH(G36,VLOOKUP($C$20,$U$35:$V$39,2,FALSE))),IF(EOMONTH(G36,VLOOKUP($C$20,$U$35:$V$39,2,FALSE)-1)+$C$19&gt;DATE($B$36,9,30),DATE($B$36,9,30),EOMONTH(G36,VLOOKUP($C$20,$U$35:$V$39,2,FALSE)-1)+$C$19))))</f>
        <v>45137</v>
      </c>
      <c r="H37" s="46" t="str">
        <f t="shared" si="13"/>
        <v>日</v>
      </c>
      <c r="I37" s="47">
        <f t="shared" si="14"/>
        <v>60</v>
      </c>
      <c r="J37" s="50">
        <f>IF(OR(G37="",J36="",$C$5=""),"",IF(J36&lt;=0,"",IF(J36=$C$7,J36-$C$7,J36-$C$6)))</f>
        <v>19650000000</v>
      </c>
      <c r="K37" s="50">
        <f>IF($C$12="","",IF(G37="","",IF(G37&lt;$C$15,"",IF(K36="","",IF(K36&lt;=0,"",IF(K36=$C$14,K36-$C$14,K36-$C$13))))))</f>
        <v>1965000000</v>
      </c>
      <c r="L37" s="82" cm="1">
        <f t="array" ref="L37">IF(AND(OR(J37=0,J37=""),OR(K37=0,K37="")),"",_xlfn.IFS($C$21&gt;=0.0035,0.003,$C$21&lt;0.0005,0,$C$21&lt;0.0035,$C$21-0.0005))</f>
        <v>3.0000000000000001E-3</v>
      </c>
      <c r="M37" s="64">
        <f t="shared" si="15"/>
        <v>969041</v>
      </c>
      <c r="N37" s="65">
        <f t="shared" ref="N37:N42" si="21">IF(OR(J37="",J37=0,$G37=""),"",IF(AND($C$19&lt;&gt;"月末",$G37&lt;&gt;$C$18),IF(OR(AND($G37=DATE($A37,9,30),$G37&lt;&gt;DATE($A37,9,$C$19)),$G37=DATE($A37+1,3,31)),"",$C$6),$C$6))</f>
        <v>350000000</v>
      </c>
      <c r="O37" s="66">
        <f t="shared" ref="O37:O42" si="22">IF(OR(K37="",K37=0,$G37=""),"",IF(AND($C$19&lt;&gt;"月末",$G37&lt;&gt;$C$18),IF(OR(AND($G37=DATE($A37,9,30),$G37&lt;&gt;DATE($A37,9,$C$19)),$G37=DATE($A37+1,3,31)),"",$C$13),$C$13))</f>
        <v>35000000</v>
      </c>
      <c r="P37" s="17">
        <v>2</v>
      </c>
      <c r="Q37" s="20">
        <f t="shared" si="17"/>
        <v>45137</v>
      </c>
      <c r="R37" s="4"/>
      <c r="S37" s="7">
        <v>2</v>
      </c>
      <c r="U37" s="5" t="s">
        <v>50</v>
      </c>
      <c r="V37" s="5">
        <v>3</v>
      </c>
      <c r="Y37" s="164">
        <f t="shared" si="7"/>
        <v>2022</v>
      </c>
      <c r="Z37" s="226"/>
      <c r="AA37" s="163">
        <f t="shared" si="18"/>
        <v>44957</v>
      </c>
      <c r="AC37" s="163">
        <f t="shared" ref="AC37:AC41" si="23">IF(OR(AC36="",$C$19="",$C$20=""),"",IF(AC36+1&gt;DATE(Y37+1,3,31),"",IF($C$19="月末",IF(EOMONTH(AC36,VLOOKUP($C$20,$U$35:$V$39,2,FALSE))&gt;=$C$18,"",IF(EOMONTH(AC36,VLOOKUP($C$20,$U$35:$V$39,2,FALSE))&gt;DATE(Y37+1,3,31),DATE(Y37+1,3,31),EOMONTH(AC36,VLOOKUP($C$20,$U$35:$V$39,2,FALSE)))),IF(EOMONTH(AC36,VLOOKUP($C$20,$U$35:$V$39,2,FALSE)-1)+$C$19&gt;=$C$18,"",IF(EOMONTH(AC36,VLOOKUP($C$20,$U$35:$V$39,2,FALSE)-1)+$C$19&gt;DATE(Y37+1,3,31),DATE(Y37+1,3,31),EOMONTH(AC36,VLOOKUP($C$20,$U$35:$V$39,2,FALSE)-1)+$C$19)))))</f>
        <v>45015</v>
      </c>
    </row>
    <row r="38" spans="1:29" s="3" customFormat="1" x14ac:dyDescent="0.4">
      <c r="A38" s="98">
        <f>B36</f>
        <v>2023</v>
      </c>
      <c r="B38" s="246"/>
      <c r="C38" s="250"/>
      <c r="D38" s="49" t="s">
        <v>34</v>
      </c>
      <c r="E38" s="73">
        <f t="shared" si="19"/>
        <v>45138</v>
      </c>
      <c r="F38" s="46" t="str">
        <f t="shared" si="13"/>
        <v>月</v>
      </c>
      <c r="G38" s="76">
        <f t="shared" si="20"/>
        <v>45199</v>
      </c>
      <c r="H38" s="46" t="str">
        <f t="shared" si="13"/>
        <v>土</v>
      </c>
      <c r="I38" s="47">
        <f t="shared" si="14"/>
        <v>62</v>
      </c>
      <c r="J38" s="50">
        <f t="shared" ref="J38:J42" si="24">IF(OR(G38="",J37="",$C$5=""),"",IF(J37&lt;=0,"",IF(J37=$C$7,J37-$C$7,J37-$C$6)))</f>
        <v>19300000000</v>
      </c>
      <c r="K38" s="50">
        <f t="shared" ref="K38:K42" si="25">IF($C$12="","",IF(G38="","",IF(G38&lt;$C$15,"",IF(K37="","",IF(K37&lt;=0,"",IF(K37=$C$14,K37-$C$14,K37-$C$13))))))</f>
        <v>1930000000</v>
      </c>
      <c r="L38" s="82" cm="1">
        <f t="array" ref="L38">IF(AND(OR(J38=0,J38=""),OR(K38=0,K38="")),"",_xlfn.IFS($C$21&gt;=0.0035,0.003,$C$21&lt;0.0005,0,$C$21&lt;0.0035,$C$21-0.0005))</f>
        <v>3.0000000000000001E-3</v>
      </c>
      <c r="M38" s="64">
        <f t="shared" si="15"/>
        <v>983506</v>
      </c>
      <c r="N38" s="65">
        <f t="shared" si="21"/>
        <v>350000000</v>
      </c>
      <c r="O38" s="66">
        <f t="shared" si="22"/>
        <v>35000000</v>
      </c>
      <c r="P38" s="17">
        <v>3</v>
      </c>
      <c r="Q38" s="20">
        <f t="shared" si="17"/>
        <v>45199</v>
      </c>
      <c r="S38" s="7">
        <v>3</v>
      </c>
      <c r="U38" s="6" t="s">
        <v>51</v>
      </c>
      <c r="V38" s="6">
        <v>4</v>
      </c>
      <c r="X38" s="5" t="s">
        <v>95</v>
      </c>
      <c r="Y38" s="164">
        <f t="shared" si="7"/>
        <v>2022</v>
      </c>
      <c r="Z38" s="226"/>
      <c r="AA38" s="163">
        <f t="shared" si="18"/>
        <v>45016</v>
      </c>
      <c r="AC38" s="163">
        <f t="shared" si="23"/>
        <v>45016</v>
      </c>
    </row>
    <row r="39" spans="1:29" s="3" customFormat="1" x14ac:dyDescent="0.4">
      <c r="A39" s="98">
        <f>B36</f>
        <v>2023</v>
      </c>
      <c r="B39" s="246"/>
      <c r="C39" s="250"/>
      <c r="D39" s="49" t="s">
        <v>35</v>
      </c>
      <c r="E39" s="73" t="str">
        <f t="shared" si="19"/>
        <v/>
      </c>
      <c r="F39" s="46" t="str">
        <f t="shared" si="13"/>
        <v/>
      </c>
      <c r="G39" s="76" t="str">
        <f t="shared" si="20"/>
        <v/>
      </c>
      <c r="H39" s="46" t="str">
        <f t="shared" si="13"/>
        <v/>
      </c>
      <c r="I39" s="47" t="str">
        <f t="shared" si="14"/>
        <v/>
      </c>
      <c r="J39" s="50" t="str">
        <f t="shared" si="24"/>
        <v/>
      </c>
      <c r="K39" s="50" t="str">
        <f t="shared" si="25"/>
        <v/>
      </c>
      <c r="L39" s="82" t="str" cm="1">
        <f t="array" ref="L39">IF(AND(OR(J39=0,J39=""),OR(K39=0,K39="")),"",_xlfn.IFS($C$21&gt;=0.0035,0.003,$C$21&lt;0.0005,0,$C$21&lt;0.0035,$C$21-0.0005))</f>
        <v/>
      </c>
      <c r="M39" s="64" t="str">
        <f t="shared" si="15"/>
        <v/>
      </c>
      <c r="N39" s="65" t="str">
        <f t="shared" si="21"/>
        <v/>
      </c>
      <c r="O39" s="66" t="str">
        <f t="shared" si="22"/>
        <v/>
      </c>
      <c r="P39" s="17">
        <v>4</v>
      </c>
      <c r="Q39" s="20" t="str">
        <f t="shared" si="17"/>
        <v/>
      </c>
      <c r="S39" s="7">
        <v>4</v>
      </c>
      <c r="U39" s="79" t="s">
        <v>52</v>
      </c>
      <c r="V39" s="79">
        <v>6</v>
      </c>
      <c r="X39" s="79" t="s">
        <v>96</v>
      </c>
      <c r="Y39" s="164">
        <f t="shared" si="7"/>
        <v>2022</v>
      </c>
      <c r="Z39" s="226"/>
      <c r="AA39" s="163" t="str">
        <f>IF(AC38="","",IF(AC39="","",IF(AC38+1&gt;DATE(Y40+1,3,31),"",AC38+1)))</f>
        <v/>
      </c>
      <c r="AC39" s="163" t="str">
        <f t="shared" si="23"/>
        <v/>
      </c>
    </row>
    <row r="40" spans="1:29" s="3" customFormat="1" x14ac:dyDescent="0.4">
      <c r="A40" s="98">
        <f>B36</f>
        <v>2023</v>
      </c>
      <c r="B40" s="246"/>
      <c r="C40" s="250"/>
      <c r="D40" s="49" t="s">
        <v>36</v>
      </c>
      <c r="E40" s="73" t="str">
        <f t="shared" si="19"/>
        <v/>
      </c>
      <c r="F40" s="46" t="str">
        <f t="shared" si="13"/>
        <v/>
      </c>
      <c r="G40" s="76" t="str">
        <f t="shared" si="20"/>
        <v/>
      </c>
      <c r="H40" s="46" t="str">
        <f t="shared" si="13"/>
        <v/>
      </c>
      <c r="I40" s="47" t="str">
        <f t="shared" si="14"/>
        <v/>
      </c>
      <c r="J40" s="50" t="str">
        <f>IF(OR(G40="",J39="",$C$5=""),"",IF(J39&lt;=0,"",IF(J39=$C$7,J39-$C$7,J39-$C$6)))</f>
        <v/>
      </c>
      <c r="K40" s="50" t="str">
        <f t="shared" si="25"/>
        <v/>
      </c>
      <c r="L40" s="82" t="str" cm="1">
        <f t="array" ref="L40">IF(AND(OR(J40=0,J40=""),OR(K40=0,K40="")),"",_xlfn.IFS($C$21&gt;=0.0035,0.003,$C$21&lt;0.0005,0,$C$21&lt;0.0035,$C$21-0.0005))</f>
        <v/>
      </c>
      <c r="M40" s="64" t="str">
        <f t="shared" si="15"/>
        <v/>
      </c>
      <c r="N40" s="65" t="str">
        <f t="shared" si="21"/>
        <v/>
      </c>
      <c r="O40" s="66" t="str">
        <f t="shared" si="22"/>
        <v/>
      </c>
      <c r="P40" s="17">
        <v>5</v>
      </c>
      <c r="Q40" s="20" t="str">
        <f t="shared" si="17"/>
        <v/>
      </c>
      <c r="S40" s="7">
        <v>5</v>
      </c>
      <c r="U40" s="14"/>
      <c r="V40" s="14"/>
      <c r="Y40" s="164">
        <f t="shared" si="7"/>
        <v>2022</v>
      </c>
      <c r="Z40" s="226"/>
      <c r="AA40" s="163" t="str">
        <f t="shared" ref="AA40:AA41" si="26">IF(AC39="","",IF(AC40="","",IF(AC39+1&gt;DATE(Y41+1,3,31),"",AC39+1)))</f>
        <v/>
      </c>
      <c r="AB40" s="14"/>
      <c r="AC40" s="163" t="str">
        <f>IF(OR(AC39="",$C$19="",$C$20=""),"",IF(AC39+1&gt;DATE(Y40+1,3,31),"",IF($C$19="月末",IF(EOMONTH(AC39,VLOOKUP($C$20,$U$35:$V$39,2,FALSE))&gt;=$C$18,"",IF(EOMONTH(AC39,VLOOKUP($C$20,$U$35:$V$39,2,FALSE))&gt;DATE(Y40+1,3,31),DATE(Y40+1,3,31),EOMONTH(AC39,VLOOKUP($C$20,$U$35:$V$39,2,FALSE)))),IF(EOMONTH(AC39,VLOOKUP($C$20,$U$35:$V$39,2,FALSE)-1)+$C$19&gt;=$C$18,"",IF(EOMONTH(AC39,VLOOKUP($C$20,$U$35:$V$39,2,FALSE)-1)+$C$19&gt;DATE(Y40+1,3,31),DATE(Y40+1,3,31),EOMONTH(AC39,VLOOKUP($C$20,$U$35:$V$39,2,FALSE)-1)+$C$19)))))</f>
        <v/>
      </c>
    </row>
    <row r="41" spans="1:29" s="3" customFormat="1" x14ac:dyDescent="0.4">
      <c r="A41" s="98">
        <f>B36</f>
        <v>2023</v>
      </c>
      <c r="B41" s="246"/>
      <c r="C41" s="250"/>
      <c r="D41" s="49" t="s">
        <v>40</v>
      </c>
      <c r="E41" s="73" t="str">
        <f t="shared" si="19"/>
        <v/>
      </c>
      <c r="F41" s="181" t="str">
        <f t="shared" si="13"/>
        <v/>
      </c>
      <c r="G41" s="100" t="str">
        <f t="shared" si="20"/>
        <v/>
      </c>
      <c r="H41" s="181" t="str">
        <f t="shared" si="13"/>
        <v/>
      </c>
      <c r="I41" s="182" t="str">
        <f t="shared" si="14"/>
        <v/>
      </c>
      <c r="J41" s="50" t="str">
        <f>IF(OR(G41="",J40="",$C$5=""),"",IF(J40&lt;=0,"",IF(J40=$C$7,J40-$C$7,J40-$C$6)))</f>
        <v/>
      </c>
      <c r="K41" s="50" t="str">
        <f t="shared" si="25"/>
        <v/>
      </c>
      <c r="L41" s="183" t="str" cm="1">
        <f t="array" ref="L41">IF(AND(OR(J41=0,J41=""),OR(K41=0,K41="")),"",_xlfn.IFS($C$21&gt;=0.0035,0.003,$C$21&lt;0.0005,0,$C$21&lt;0.0035,$C$21-0.0005))</f>
        <v/>
      </c>
      <c r="M41" s="184" t="str">
        <f t="shared" si="15"/>
        <v/>
      </c>
      <c r="N41" s="65" t="str">
        <f t="shared" si="21"/>
        <v/>
      </c>
      <c r="O41" s="185" t="str">
        <f t="shared" si="22"/>
        <v/>
      </c>
      <c r="P41" s="17">
        <v>6</v>
      </c>
      <c r="Q41" s="21" t="str">
        <f t="shared" si="17"/>
        <v/>
      </c>
      <c r="S41" s="7">
        <v>6</v>
      </c>
      <c r="Y41" s="164">
        <f t="shared" si="7"/>
        <v>2022</v>
      </c>
      <c r="Z41" s="226"/>
      <c r="AA41" s="163" t="str">
        <f t="shared" si="26"/>
        <v/>
      </c>
      <c r="AB41" s="14"/>
      <c r="AC41" s="163" t="str">
        <f t="shared" si="23"/>
        <v/>
      </c>
    </row>
    <row r="42" spans="1:29" s="14" customFormat="1" ht="19.5" thickBot="1" x14ac:dyDescent="0.45">
      <c r="A42" s="98">
        <f>B36</f>
        <v>2023</v>
      </c>
      <c r="B42" s="246"/>
      <c r="C42" s="251"/>
      <c r="D42" s="186" t="s">
        <v>79</v>
      </c>
      <c r="E42" s="187" t="str">
        <f t="shared" si="19"/>
        <v/>
      </c>
      <c r="F42" s="137" t="str">
        <f t="shared" ref="F42:H42" si="27">IF(E42="","",TEXT(E42,"aaa"))</f>
        <v/>
      </c>
      <c r="G42" s="158" t="str">
        <f t="shared" si="20"/>
        <v/>
      </c>
      <c r="H42" s="137" t="str">
        <f t="shared" si="27"/>
        <v/>
      </c>
      <c r="I42" s="138" t="str">
        <f t="shared" si="14"/>
        <v/>
      </c>
      <c r="J42" s="50" t="str">
        <f t="shared" si="24"/>
        <v/>
      </c>
      <c r="K42" s="50" t="str">
        <f t="shared" si="25"/>
        <v/>
      </c>
      <c r="L42" s="149" t="str" cm="1">
        <f t="array" ref="L42">IF(AND(OR(J42=0,J42=""),OR(K42=0,K42="")),"",_xlfn.IFS($C$21&gt;=0.0035,0.003,$C$21&lt;0.0005,0,$C$21&lt;0.0035,$C$21-0.0005))</f>
        <v/>
      </c>
      <c r="M42" s="188" t="str">
        <f t="shared" si="15"/>
        <v/>
      </c>
      <c r="N42" s="189" t="str">
        <f t="shared" si="21"/>
        <v/>
      </c>
      <c r="O42" s="190" t="str">
        <f t="shared" si="22"/>
        <v/>
      </c>
      <c r="P42" s="17">
        <v>7</v>
      </c>
      <c r="Q42" s="21" t="str">
        <f t="shared" si="17"/>
        <v/>
      </c>
      <c r="S42" s="7">
        <v>7</v>
      </c>
      <c r="Y42" s="164">
        <f t="shared" si="7"/>
        <v>2022</v>
      </c>
      <c r="Z42" s="12" t="s">
        <v>76</v>
      </c>
      <c r="AA42" s="4" cm="1">
        <f t="array" ref="AA42">_xlfn.SINGLE(IF(AA35:AA41&lt;&gt;"",MIN(AA35:AA41),""))</f>
        <v>44835</v>
      </c>
      <c r="AB42" s="3"/>
      <c r="AC42" s="4" cm="1">
        <f t="array" ref="AC42">_xlfn.SINGLE(IF(AC35:AC41&lt;&gt;"",MAX(AC35:AC41),""))</f>
        <v>45016</v>
      </c>
    </row>
    <row r="43" spans="1:29" s="3" customFormat="1" ht="19.5" thickBot="1" x14ac:dyDescent="0.45">
      <c r="A43" s="98">
        <f>B36</f>
        <v>2023</v>
      </c>
      <c r="B43" s="246"/>
      <c r="C43" s="157" t="s">
        <v>10</v>
      </c>
      <c r="D43" s="58"/>
      <c r="E43" s="75" cm="1">
        <f t="array" ref="E43">_xlfn.SINGLE(IF(E36:E41&lt;&gt;"",MIN(E36:E41),""))</f>
        <v>45077</v>
      </c>
      <c r="F43" s="59" t="str">
        <f t="shared" ref="F43:H43" si="28">IF(E43="","",TEXT(E43,"aaa"))</f>
        <v>水</v>
      </c>
      <c r="G43" s="75" cm="1">
        <f t="array" ref="G43">_xlfn.SINGLE(IF(G36:G42&lt;&gt;"",MAX(G36:G42),""))</f>
        <v>45199</v>
      </c>
      <c r="H43" s="59" t="str">
        <f t="shared" si="28"/>
        <v>土</v>
      </c>
      <c r="I43" s="60">
        <f>SUM(I36:I41)</f>
        <v>123</v>
      </c>
      <c r="J43" s="58"/>
      <c r="K43" s="58"/>
      <c r="L43" s="84"/>
      <c r="M43" s="70">
        <f>SUM(M36:M41)</f>
        <v>1968985</v>
      </c>
      <c r="N43" s="71"/>
      <c r="O43" s="72"/>
      <c r="P43" s="17">
        <v>8</v>
      </c>
      <c r="Q43" s="22">
        <f t="shared" si="17"/>
        <v>45199</v>
      </c>
      <c r="S43" s="7">
        <v>8</v>
      </c>
      <c r="Y43" s="164">
        <f>$B$29</f>
        <v>2023</v>
      </c>
      <c r="Z43" s="226" t="s">
        <v>77</v>
      </c>
      <c r="AA43" s="163">
        <f>E29</f>
        <v>45017</v>
      </c>
      <c r="AB43" s="12"/>
      <c r="AC43" s="163">
        <f>IF(OR(G28="",$C$19="",$C$20=""),"",IF(G28+1&gt;DATE(Y44,9,30),"",IF($C$19="月末",IF(EOMONTH(G28,VLOOKUP($C$20,$U$35:$V$39,2,FALSE))&gt;=$C$18,"",IF(EOMONTH(G28,VLOOKUP($C$20,$U$35:$V$39,2,FALSE))&gt;DATE(Y44,9,30),DATE(Y44,9,30),EOMONTH(AC42,VLOOKUP($C$20,$U$35:$V$39,2,FALSE)))),IF(EOMONTH(G28,VLOOKUP($C$20,$U$35:$V$39,2,FALSE)-1)+$C$19&gt;=$C$18,"",IF(EOMONTH(G28,VLOOKUP($C$20,$U$35:$V$39,2,FALSE)-1)+$C$19&gt;DATE(Y44,9,30),DATE(Y44,9,30),EOMONTH(G28,VLOOKUP($C$20,$U$35:$V$39,2,FALSE)-1)+$C$19)))))</f>
        <v>45076</v>
      </c>
    </row>
    <row r="44" spans="1:29" s="3" customFormat="1" x14ac:dyDescent="0.4">
      <c r="A44" s="98">
        <f>B36</f>
        <v>2023</v>
      </c>
      <c r="B44" s="246"/>
      <c r="C44" s="248" t="s">
        <v>4</v>
      </c>
      <c r="D44" s="54" t="s">
        <v>9</v>
      </c>
      <c r="E44" s="73" cm="1">
        <f t="array" ref="E44">_xlfn.IFS($C$17="無",IF(AND($C$18&gt;DATE(B36,9,30),G43=""),$C$15,IF(OR(G43="",G44=""),"",G43+1)),$C$17="有",IF(AND($C$18&gt;DATE(B36,9,30),G43=""),MAX($G$27:$G$32)+1,IF(OR(G43="",G44=""),"",G43+1)))</f>
        <v>45200</v>
      </c>
      <c r="F44" s="46" t="str">
        <f>IF(E44="","",TEXT(E44,"aaa"))</f>
        <v>日</v>
      </c>
      <c r="G44" s="76">
        <f>IF(OR($C$19="",$C$20=""),"",IF(G43="",C18,IF(G43+1&gt;DATE($B$36+1,3,31),"",IF($C$19="月末",IF(EOMONTH(G43,VLOOKUP($C$20,$U$35:$V$39,2,FALSE))&gt;DATE($B$36+1,3,31),DATE($B$36+1,3,31),EOMONTH(G43,VLOOKUP($C$20,$U$35:$V$39,2,FALSE))),IF(EOMONTH(G43,VLOOKUP($C$20,$U$35:$V$39,2,FALSE)-1)+$C$19&gt;DATE($B$36+1,3,31),DATE($B$36+1,3,31),EOMONTH(G43,VLOOKUP($C$20,$U$35:$V$39,2,FALSE)-1)+$C$19)))))</f>
        <v>45260</v>
      </c>
      <c r="H44" s="46" t="str">
        <f>IF(G44="","",TEXT(G44,"aaa"))</f>
        <v>木</v>
      </c>
      <c r="I44" s="47">
        <f t="shared" ref="I44:I50" si="29">IF(G44="","",DATEDIF(E44,G44,"D")+1)</f>
        <v>61</v>
      </c>
      <c r="J44" s="122" cm="1">
        <f t="array" ref="J44">_xlfn.SINGLE(IF($C$5="","",IF(J36:J42&lt;&gt;"",IF(MIN(J36:J42)&lt;=0,"",IF(G44=C18,C5,IF(AND($C$19&lt;&gt;"月末",G43&lt;&gt;$C$18),IF(OR(AND(G43=DATE(A44,9,30),G43&lt;&gt;(DATE(A44,9,$C$19))),G43=DATE(A44,3,31)),MIN(J36:J42),IF(MIN(J36:J42)=$C$7,MIN(J36:J42)-$C$7,MIN(J36:J42)-$C$6)),IF(MIN(J36:J42)=$C$7,MIN(J36:J42)-$C$7,MIN(J36:J42)-$C$6)))),IF(G44="","",IF(G44&lt;$C$8,"",$C$5)))))</f>
        <v>18950000000</v>
      </c>
      <c r="K44" s="122" cm="1">
        <f t="array" ref="K44">_xlfn.SINGLE(IF($C$12="","",IF(K36:K42&lt;&gt;"",IF(MIN(K36:K42)&lt;=0,"",IF(G44=C18,C12,IF(AND($C$19&lt;&gt;"月末",G43&lt;&gt;$C$18),IF(OR(AND(G43=DATE(A44,9,30),G43&lt;&gt;(DATE(A44,9,$C$19))),G43=DATE(A44,3,31)),MIN(K36:K42),IF(MIN(K36:K42)=$C$14,MIN(K36:K42)-$C$14,MIN(K36:K42)-$C$13)),IF(MIN(K36:K42)=$C$14,MIN(K36:K42)-$C$14,MIN(K36:K42)-$C$13)))),IF(G44="","",IF(G44&lt;$C$15,"",$C$12)))))</f>
        <v>1895000000</v>
      </c>
      <c r="L44" s="82" cm="1">
        <f t="array" ref="L44">IF(AND(OR(J44=0,J44=""),OR(K44=0,K44="")),"",_xlfn.IFS($C$21&gt;=0.0035,0.003,$C$21&lt;0.0005,0,$C$21&lt;0.0035,$C$21-0.0005))</f>
        <v>3.0000000000000001E-3</v>
      </c>
      <c r="M44" s="64">
        <f t="shared" ref="M44:M50" si="30">IF(OR(G44="",K44="",K44=0),"",ROUNDDOWN(K44*(I44/365)*L44,0))</f>
        <v>950095</v>
      </c>
      <c r="N44" s="62">
        <f t="shared" ref="N44:N50" si="31">IF(OR(J44="",J44=0,$G44=""),"",IF(AND($C$19&lt;&gt;"月末",$G44&lt;&gt;$C$18),IF(OR(AND($G44=DATE($A44,9,30),$G44&lt;&gt;DATE($A44,9,$C$19)),$G44=DATE($A44+1,3,31)),"",$C$6),$C$6))</f>
        <v>350000000</v>
      </c>
      <c r="O44" s="63">
        <f>IF(OR(K44="",K44=0,$G44=""),"",IF(AND($C$19&lt;&gt;"月末",$G44&lt;&gt;$C$18),IF(OR(AND($G44=DATE($A44,9,30),$G44&lt;&gt;DATE($A44,9,$C$19)),$G44=DATE($A44+1,3,31)),"",$C$13),$C$13))</f>
        <v>35000000</v>
      </c>
      <c r="P44" s="17">
        <v>9</v>
      </c>
      <c r="Q44" s="19">
        <f t="shared" si="17"/>
        <v>45260</v>
      </c>
      <c r="R44" s="4"/>
      <c r="S44" s="7">
        <v>9</v>
      </c>
      <c r="Y44" s="164">
        <f>$B$29</f>
        <v>2023</v>
      </c>
      <c r="Z44" s="226"/>
      <c r="AA44" s="163" t="str">
        <f t="shared" ref="AA44:AA45" si="32">IF(AC43="","",IF(AC44="","",IF(AC43+1&gt;DATE(Y44,9,30),"",AC43+1)))</f>
        <v/>
      </c>
      <c r="AB44" s="12"/>
      <c r="AC44" s="163" t="str">
        <f>IF(OR(AC43="",$C$19="",$C$20=""),"",IF(AC43+1&gt;DATE(Y44,9,30),"",IF($C$19="月末",IF(EOMONTH(AC43,VLOOKUP($C$20,$U$35:$V$39,2,FALSE))&gt;=$C$18,"",IF(EOMONTH(AC43,VLOOKUP($C$20,$U$35:$V$39,2,FALSE))&gt;DATE(Y44,9,30),DATE(Y44,9,30),EOMONTH(AC43,VLOOKUP($C$20,$U$35:$V$39,2,FALSE)))),IF(EOMONTH(AC43,VLOOKUP($C$20,$U$35:$V$39,2,FALSE)-1)+$C$19&gt;=$C$18,"",IF(EOMONTH(AC43,VLOOKUP($C$20,$U$35:$V$39,2,FALSE)-1)+$C$19&gt;DATE(Y44,9,30),DATE(Y44,9,30),EOMONTH(AC43,VLOOKUP($C$20,$U$35:$V$39,2,FALSE)-1)+$C$19)))))</f>
        <v/>
      </c>
    </row>
    <row r="45" spans="1:29" s="3" customFormat="1" x14ac:dyDescent="0.4">
      <c r="A45" s="98">
        <f>B36</f>
        <v>2023</v>
      </c>
      <c r="B45" s="246"/>
      <c r="C45" s="247"/>
      <c r="D45" s="49" t="s">
        <v>8</v>
      </c>
      <c r="E45" s="73">
        <f t="shared" ref="E45:E50" si="33">IF(OR(G44="",G45=""),"",IF(G44+1&gt;DATE($B$36+1,3,31),"",G44+1))</f>
        <v>45261</v>
      </c>
      <c r="F45" s="46" t="str">
        <f t="shared" ref="F45:H62" si="34">IF(E45="","",TEXT(E45,"aaa"))</f>
        <v>金</v>
      </c>
      <c r="G45" s="76">
        <f t="shared" ref="G45:G50" si="35">IF(OR(G44="",$C$19="",$C$20=""),"",IF(G44+1&gt;DATE($B$36+1,3,31),"",IF($C$19="月末",IF(EOMONTH(G44,VLOOKUP($C$20,$U$35:$V$39,2,FALSE))&gt;DATE($B$36+1,3,31),DATE($B$36+1,3,31),EOMONTH(G44,VLOOKUP($C$20,$U$35:$V$39,2,FALSE))),IF(EOMONTH(G44,VLOOKUP($C$20,$U$35:$V$39,2,FALSE)-1)+$C$19&gt;DATE($B$36+1,3,31),DATE($B$36+1,3,31),EOMONTH(G44,VLOOKUP($C$20,$U$35:$V$39,2,FALSE)-1)+$C$19))))</f>
        <v>45321</v>
      </c>
      <c r="H45" s="46" t="str">
        <f t="shared" si="34"/>
        <v>火</v>
      </c>
      <c r="I45" s="47">
        <f t="shared" si="29"/>
        <v>61</v>
      </c>
      <c r="J45" s="50">
        <f>IF(OR(G45="",J44="",$C$5=""),"",IF(J44&lt;=0,"",IF(J44=$C$7,J44-$C$7,J44-$C$6)))</f>
        <v>18600000000</v>
      </c>
      <c r="K45" s="50">
        <f>IF($C$12="","",IF(G45="","",IF(G45&lt;$C$15,"",IF(K44="","",IF(K44&lt;=0,"",IF(K44=$C$14,K44-$C$14,K44-$C$13))))))</f>
        <v>1860000000</v>
      </c>
      <c r="L45" s="82" cm="1">
        <f t="array" ref="L45">IF(AND(OR(J45=0,J45=""),OR(K45=0,K45="")),"",_xlfn.IFS($C$21&gt;=0.0035,0.003,$C$21&lt;0.0005,0,$C$21&lt;0.0035,$C$21-0.0005))</f>
        <v>3.0000000000000001E-3</v>
      </c>
      <c r="M45" s="64">
        <f t="shared" si="30"/>
        <v>932547</v>
      </c>
      <c r="N45" s="65">
        <f t="shared" si="31"/>
        <v>350000000</v>
      </c>
      <c r="O45" s="66">
        <f t="shared" ref="O45:O50" si="36">IF(OR(K45="",K45=0,$G45=""),"",IF(AND($C$19&lt;&gt;"月末",$G45&lt;&gt;$C$18),IF(OR(AND($G45=DATE($A45,9,30),$G45&lt;&gt;DATE($A45,9,$C$19)),$G45=DATE($A45+1,3,31)),"",$C$13),$C$13))</f>
        <v>35000000</v>
      </c>
      <c r="P45" s="17">
        <v>10</v>
      </c>
      <c r="Q45" s="20">
        <f t="shared" si="17"/>
        <v>45321</v>
      </c>
      <c r="R45" s="4"/>
      <c r="S45" s="7">
        <v>10</v>
      </c>
      <c r="Y45" s="164">
        <f>$B$29</f>
        <v>2023</v>
      </c>
      <c r="Z45" s="226"/>
      <c r="AA45" s="163" t="str">
        <f t="shared" si="32"/>
        <v/>
      </c>
      <c r="AB45" s="12"/>
      <c r="AC45" s="163" t="str">
        <f t="shared" ref="AC45:AC49" si="37">IF(OR(AC44="",$C$19="",$C$20=""),"",IF(AC44+1&gt;DATE(Y45,9,30),"",IF($C$19="月末",IF(EOMONTH(AC44,VLOOKUP($C$20,$U$35:$V$39,2,FALSE))&gt;=$C$18,"",IF(EOMONTH(AC44,VLOOKUP($C$20,$U$35:$V$39,2,FALSE))&gt;DATE(Y45,9,30),DATE(Y45,9,30),EOMONTH(AC44,VLOOKUP($C$20,$U$35:$V$39,2,FALSE)))),IF(EOMONTH(AC44,VLOOKUP($C$20,$U$35:$V$39,2,FALSE)-1)+$C$19&gt;=$C$18,"",IF(EOMONTH(AC44,VLOOKUP($C$20,$U$35:$V$39,2,FALSE)-1)+$C$19&gt;DATE(Y45,9,30),DATE(Y45,9,30),EOMONTH(AC44,VLOOKUP($C$20,$U$35:$V$39,2,FALSE)-1)+$C$19)))))</f>
        <v/>
      </c>
    </row>
    <row r="46" spans="1:29" s="3" customFormat="1" x14ac:dyDescent="0.4">
      <c r="A46" s="98">
        <f>B36</f>
        <v>2023</v>
      </c>
      <c r="B46" s="246"/>
      <c r="C46" s="247"/>
      <c r="D46" s="49" t="s">
        <v>37</v>
      </c>
      <c r="E46" s="73">
        <f t="shared" si="33"/>
        <v>45322</v>
      </c>
      <c r="F46" s="46" t="str">
        <f t="shared" si="34"/>
        <v>水</v>
      </c>
      <c r="G46" s="76">
        <f t="shared" si="35"/>
        <v>45381</v>
      </c>
      <c r="H46" s="46" t="str">
        <f t="shared" si="34"/>
        <v>土</v>
      </c>
      <c r="I46" s="47">
        <f t="shared" si="29"/>
        <v>60</v>
      </c>
      <c r="J46" s="50">
        <f t="shared" ref="J46:J50" si="38">IF(OR(G46="",J45="",$C$5=""),"",IF(J45&lt;=0,"",IF(J45=$C$7,J45-$C$7,J45-$C$6)))</f>
        <v>18250000000</v>
      </c>
      <c r="K46" s="50">
        <f t="shared" ref="K46:K50" si="39">IF($C$12="","",IF(G46="","",IF(G46&lt;$C$15,"",IF(K45="","",IF(K45&lt;=0,"",IF(K45=$C$14,K45-$C$14,K45-$C$13))))))</f>
        <v>1825000000</v>
      </c>
      <c r="L46" s="82" cm="1">
        <f t="array" ref="L46">IF(AND(OR(J46=0,J46=""),OR(K46=0,K46="")),"",_xlfn.IFS($C$21&gt;=0.0035,0.003,$C$21&lt;0.0005,0,$C$21&lt;0.0035,$C$21-0.0005))</f>
        <v>3.0000000000000001E-3</v>
      </c>
      <c r="M46" s="64">
        <f t="shared" si="30"/>
        <v>900000</v>
      </c>
      <c r="N46" s="65">
        <f t="shared" si="31"/>
        <v>350000000</v>
      </c>
      <c r="O46" s="66">
        <f t="shared" si="36"/>
        <v>35000000</v>
      </c>
      <c r="P46" s="17">
        <v>11</v>
      </c>
      <c r="Q46" s="20">
        <f t="shared" si="17"/>
        <v>45381</v>
      </c>
      <c r="S46" s="7">
        <v>11</v>
      </c>
      <c r="Y46" s="164">
        <f t="shared" ref="Y46:Y58" si="40">$B$29</f>
        <v>2023</v>
      </c>
      <c r="Z46" s="226"/>
      <c r="AA46" s="163" t="str">
        <f>IF(AC45="","",IF(AC46="","",IF(AC45+1&gt;DATE(Y46,9,30),"",AC45+1)))</f>
        <v/>
      </c>
      <c r="AB46" s="12"/>
      <c r="AC46" s="163" t="str">
        <f t="shared" si="37"/>
        <v/>
      </c>
    </row>
    <row r="47" spans="1:29" s="3" customFormat="1" x14ac:dyDescent="0.4">
      <c r="A47" s="98">
        <f>B36</f>
        <v>2023</v>
      </c>
      <c r="B47" s="246"/>
      <c r="C47" s="247"/>
      <c r="D47" s="49" t="s">
        <v>38</v>
      </c>
      <c r="E47" s="73">
        <f t="shared" si="33"/>
        <v>45382</v>
      </c>
      <c r="F47" s="46" t="str">
        <f t="shared" si="34"/>
        <v>日</v>
      </c>
      <c r="G47" s="76">
        <f t="shared" si="35"/>
        <v>45382</v>
      </c>
      <c r="H47" s="46" t="str">
        <f t="shared" si="34"/>
        <v>日</v>
      </c>
      <c r="I47" s="47">
        <f t="shared" si="29"/>
        <v>1</v>
      </c>
      <c r="J47" s="50">
        <f t="shared" si="38"/>
        <v>17900000000</v>
      </c>
      <c r="K47" s="50">
        <f t="shared" si="39"/>
        <v>1790000000</v>
      </c>
      <c r="L47" s="82" cm="1">
        <f t="array" ref="L47">IF(AND(OR(J47=0,J47=""),OR(K47=0,K47="")),"",_xlfn.IFS($C$21&gt;=0.0035,0.003,$C$21&lt;0.0005,0,$C$21&lt;0.0035,$C$21-0.0005))</f>
        <v>3.0000000000000001E-3</v>
      </c>
      <c r="M47" s="64">
        <f t="shared" si="30"/>
        <v>14712</v>
      </c>
      <c r="N47" s="65" t="str">
        <f t="shared" si="31"/>
        <v/>
      </c>
      <c r="O47" s="66" t="str">
        <f t="shared" si="36"/>
        <v/>
      </c>
      <c r="P47" s="17">
        <v>12</v>
      </c>
      <c r="Q47" s="20">
        <f t="shared" si="17"/>
        <v>45382</v>
      </c>
      <c r="S47" s="7">
        <v>12</v>
      </c>
      <c r="Y47" s="164">
        <f t="shared" si="40"/>
        <v>2023</v>
      </c>
      <c r="Z47" s="226"/>
      <c r="AA47" s="163" t="str">
        <f>IF(AC46="","",IF(AC47="","",IF(AC46+1&gt;DATE(Y47,9,30),"",AC46+1)))</f>
        <v/>
      </c>
      <c r="AB47" s="12"/>
      <c r="AC47" s="163" t="str">
        <f t="shared" si="37"/>
        <v/>
      </c>
    </row>
    <row r="48" spans="1:29" s="3" customFormat="1" x14ac:dyDescent="0.4">
      <c r="A48" s="98">
        <f>B36</f>
        <v>2023</v>
      </c>
      <c r="B48" s="246"/>
      <c r="C48" s="247"/>
      <c r="D48" s="49" t="s">
        <v>39</v>
      </c>
      <c r="E48" s="73" t="str">
        <f t="shared" si="33"/>
        <v/>
      </c>
      <c r="F48" s="46" t="str">
        <f t="shared" si="34"/>
        <v/>
      </c>
      <c r="G48" s="76" t="str">
        <f t="shared" si="35"/>
        <v/>
      </c>
      <c r="H48" s="46" t="str">
        <f t="shared" si="34"/>
        <v/>
      </c>
      <c r="I48" s="47" t="str">
        <f t="shared" si="29"/>
        <v/>
      </c>
      <c r="J48" s="50" t="str">
        <f t="shared" si="38"/>
        <v/>
      </c>
      <c r="K48" s="50" t="str">
        <f t="shared" si="39"/>
        <v/>
      </c>
      <c r="L48" s="82" t="str" cm="1">
        <f t="array" ref="L48">IF(AND(OR(J48=0,J48=""),OR(K48=0,K48="")),"",_xlfn.IFS($C$21&gt;=0.0035,0.003,$C$21&lt;0.0005,0,$C$21&lt;0.0035,$C$21-0.0005))</f>
        <v/>
      </c>
      <c r="M48" s="64" t="str">
        <f t="shared" si="30"/>
        <v/>
      </c>
      <c r="N48" s="65" t="str">
        <f t="shared" si="31"/>
        <v/>
      </c>
      <c r="O48" s="66" t="str">
        <f t="shared" si="36"/>
        <v/>
      </c>
      <c r="P48" s="17">
        <v>13</v>
      </c>
      <c r="Q48" s="20" t="str">
        <f t="shared" si="17"/>
        <v/>
      </c>
      <c r="S48" s="7">
        <v>13</v>
      </c>
      <c r="Y48" s="164">
        <f t="shared" si="40"/>
        <v>2023</v>
      </c>
      <c r="Z48" s="226"/>
      <c r="AA48" s="163" t="str">
        <f t="shared" ref="AA48:AA49" si="41">IF(AC47="","",IF(AC48="","",IF(AC47+1&gt;DATE(Y48,9,30),"",AC47+1)))</f>
        <v/>
      </c>
      <c r="AB48" s="12"/>
      <c r="AC48" s="163" t="str">
        <f t="shared" si="37"/>
        <v/>
      </c>
    </row>
    <row r="49" spans="1:29" s="14" customFormat="1" x14ac:dyDescent="0.4">
      <c r="A49" s="98">
        <f>B36</f>
        <v>2023</v>
      </c>
      <c r="B49" s="246"/>
      <c r="C49" s="247"/>
      <c r="D49" s="51" t="s">
        <v>41</v>
      </c>
      <c r="E49" s="73" t="str">
        <f t="shared" si="33"/>
        <v/>
      </c>
      <c r="F49" s="46" t="str">
        <f t="shared" ref="F49:H49" si="42">IF(E49="","",TEXT(E49,"aaa"))</f>
        <v/>
      </c>
      <c r="G49" s="76" t="str">
        <f t="shared" si="35"/>
        <v/>
      </c>
      <c r="H49" s="46" t="str">
        <f t="shared" si="42"/>
        <v/>
      </c>
      <c r="I49" s="47" t="str">
        <f t="shared" si="29"/>
        <v/>
      </c>
      <c r="J49" s="50" t="str">
        <f t="shared" si="38"/>
        <v/>
      </c>
      <c r="K49" s="50" t="str">
        <f t="shared" si="39"/>
        <v/>
      </c>
      <c r="L49" s="183" t="str" cm="1">
        <f t="array" ref="L49">IF(AND(OR(J49=0,J49=""),OR(K49=0,K49="")),"",_xlfn.IFS($C$21&gt;=0.0035,0.003,$C$21&lt;0.0005,0,$C$21&lt;0.0035,$C$21-0.0005))</f>
        <v/>
      </c>
      <c r="M49" s="184" t="str">
        <f t="shared" si="30"/>
        <v/>
      </c>
      <c r="N49" s="65" t="str">
        <f t="shared" si="31"/>
        <v/>
      </c>
      <c r="O49" s="185" t="str">
        <f t="shared" si="36"/>
        <v/>
      </c>
      <c r="P49" s="17">
        <v>14</v>
      </c>
      <c r="Q49" s="20" t="str">
        <f t="shared" si="17"/>
        <v/>
      </c>
      <c r="S49" s="7">
        <v>14</v>
      </c>
      <c r="Y49" s="164">
        <f t="shared" si="40"/>
        <v>2023</v>
      </c>
      <c r="Z49" s="226"/>
      <c r="AA49" s="163" t="str">
        <f t="shared" si="41"/>
        <v/>
      </c>
      <c r="AB49" s="12"/>
      <c r="AC49" s="163" t="str">
        <f t="shared" si="37"/>
        <v/>
      </c>
    </row>
    <row r="50" spans="1:29" s="3" customFormat="1" ht="19.5" thickBot="1" x14ac:dyDescent="0.45">
      <c r="A50" s="98">
        <f>B36</f>
        <v>2023</v>
      </c>
      <c r="B50" s="246"/>
      <c r="C50" s="247"/>
      <c r="D50" s="51" t="s">
        <v>81</v>
      </c>
      <c r="E50" s="73" t="str">
        <f t="shared" si="33"/>
        <v/>
      </c>
      <c r="F50" s="52" t="str">
        <f t="shared" si="34"/>
        <v/>
      </c>
      <c r="G50" s="76" t="str">
        <f t="shared" si="35"/>
        <v/>
      </c>
      <c r="H50" s="52" t="str">
        <f t="shared" si="34"/>
        <v/>
      </c>
      <c r="I50" s="138" t="str">
        <f t="shared" si="29"/>
        <v/>
      </c>
      <c r="J50" s="50" t="str">
        <f t="shared" si="38"/>
        <v/>
      </c>
      <c r="K50" s="50" t="str">
        <f t="shared" si="39"/>
        <v/>
      </c>
      <c r="L50" s="149" t="str" cm="1">
        <f t="array" ref="L50">IF(AND(OR(J50=0,J50=""),OR(K50=0,K50="")),"",_xlfn.IFS($C$21&gt;=0.0035,0.003,$C$21&lt;0.0005,0,$C$21&lt;0.0035,$C$21-0.0005))</f>
        <v/>
      </c>
      <c r="M50" s="188" t="str">
        <f t="shared" si="30"/>
        <v/>
      </c>
      <c r="N50" s="189" t="str">
        <f t="shared" si="31"/>
        <v/>
      </c>
      <c r="O50" s="190" t="str">
        <f t="shared" si="36"/>
        <v/>
      </c>
      <c r="P50" s="17">
        <v>15</v>
      </c>
      <c r="Q50" s="21" t="str">
        <f t="shared" si="17"/>
        <v/>
      </c>
      <c r="S50" s="7">
        <v>15</v>
      </c>
      <c r="Y50" s="164">
        <f t="shared" si="40"/>
        <v>2023</v>
      </c>
      <c r="Z50" s="12" t="s">
        <v>76</v>
      </c>
      <c r="AA50" s="4" cm="1">
        <f t="array" ref="AA50">_xlfn.SINGLE(IF(AA43:AA49&lt;&gt;"",MIN(AA43:AA49),""))</f>
        <v>45017</v>
      </c>
      <c r="AC50" s="4" cm="1">
        <f t="array" ref="AC50">_xlfn.SINGLE(IF(AC43:AC49&lt;&gt;"",MAX(AC43:AC49),""))</f>
        <v>45076</v>
      </c>
    </row>
    <row r="51" spans="1:29" s="3" customFormat="1" ht="19.5" thickBot="1" x14ac:dyDescent="0.45">
      <c r="A51" s="99">
        <f>B36</f>
        <v>2023</v>
      </c>
      <c r="B51" s="234"/>
      <c r="C51" s="157" t="s">
        <v>10</v>
      </c>
      <c r="D51" s="58"/>
      <c r="E51" s="75" cm="1">
        <f t="array" ref="E51">_xlfn.SINGLE(IF(E44:E50&lt;&gt;"",MIN(E44:E50),""))</f>
        <v>45200</v>
      </c>
      <c r="F51" s="59" t="str">
        <f t="shared" si="34"/>
        <v>日</v>
      </c>
      <c r="G51" s="75" cm="1">
        <f t="array" ref="G51">_xlfn.SINGLE(IF(G44:G50&lt;&gt;"",MAX(G44:G50),""))</f>
        <v>45382</v>
      </c>
      <c r="H51" s="59" t="str">
        <f t="shared" si="34"/>
        <v>日</v>
      </c>
      <c r="I51" s="60">
        <f>SUM(I44:I50)</f>
        <v>183</v>
      </c>
      <c r="J51" s="58"/>
      <c r="K51" s="58"/>
      <c r="L51" s="84"/>
      <c r="M51" s="70">
        <f>SUM(M44:M50)</f>
        <v>2797354</v>
      </c>
      <c r="N51" s="71"/>
      <c r="O51" s="72"/>
      <c r="P51" s="17">
        <v>16</v>
      </c>
      <c r="Q51" s="22">
        <f t="shared" si="17"/>
        <v>45382</v>
      </c>
      <c r="S51" s="7">
        <v>16</v>
      </c>
      <c r="Y51" s="164">
        <f t="shared" si="40"/>
        <v>2023</v>
      </c>
      <c r="Z51" s="226" t="s">
        <v>63</v>
      </c>
      <c r="AA51" s="163" t="str">
        <f>E30</f>
        <v/>
      </c>
      <c r="AC51" s="163" t="str">
        <f>IF(OR(G29="",$C$19="",$C$20=""),"",IF(G29+1&gt;DATE(Y52+1,3,31),"",IF($C$19="月末",IF(EOMONTH(G29,VLOOKUP($C$20,$U$35:$V$39,2,FALSE))&gt;=$C$18,"",IF(EOMONTH(G29,VLOOKUP($C$20,$U$35:$V$39,2,FALSE))&gt;DATE(Y52+1,3,31),DATE(Y52+1,3,31),EOMONTH(G29,VLOOKUP($C$20,$U$35:$V$39,2,FALSE)))),IF(EOMONTH(G29,VLOOKUP($C$20,$U$35:$V$39,2,FALSE)-1)+$C$19&gt;=$C$18,"",IF(EOMONTH(G29,VLOOKUP($C$20,$U$35:$V$39,2,FALSE)-1)+$C$19&gt;DATE(Y52+1,3,31),DATE(Y52+1,3,31),EOMONTH(G29,VLOOKUP($C$20,$U$35:$V$39,2,FALSE)-1)+$C$19)))))</f>
        <v/>
      </c>
    </row>
    <row r="52" spans="1:29" s="3" customFormat="1" x14ac:dyDescent="0.4">
      <c r="A52" s="97">
        <f>B52</f>
        <v>2024</v>
      </c>
      <c r="B52" s="233">
        <f>B36+1</f>
        <v>2024</v>
      </c>
      <c r="C52" s="247" t="s">
        <v>3</v>
      </c>
      <c r="D52" s="45" t="s">
        <v>6</v>
      </c>
      <c r="E52" s="73">
        <f>IF(OR(G51="",G52=""),"",IF(G51+1&gt;DATE(B52,9,30),"",G51+1))</f>
        <v>45383</v>
      </c>
      <c r="F52" s="46" t="str">
        <f t="shared" si="34"/>
        <v>月</v>
      </c>
      <c r="G52" s="76">
        <f t="shared" ref="G52:G58" si="43">IF(OR(G51="",$C$19="",$C$20=""),"",IF(G51+1&gt;DATE(A52,9,30),"",IF($C$19="月末",IF(EOMONTH(G51,VLOOKUP($C$20,$U$35:$V$39,2,FALSE))&gt;DATE(A52,9,30),DATE(A52,9,30),EOMONTH(G51,VLOOKUP($C$20,$U$35:$V$39,2,FALSE))),IF(EOMONTH(G51,VLOOKUP($C$20,$U$35:$V$39,2,FALSE)-1)+$C$19&gt;DATE(A52,9,30),DATE(A52,9,30),EOMONTH(G51,VLOOKUP($C$20,$U$35:$V$39,2,FALSE)-1)+$C$19))))</f>
        <v>45442</v>
      </c>
      <c r="H52" s="46" t="str">
        <f t="shared" si="34"/>
        <v>木</v>
      </c>
      <c r="I52" s="47">
        <f t="shared" ref="I52:I58" si="44">IF(G52="","",DATEDIF(E52,G52,"D")+1)</f>
        <v>60</v>
      </c>
      <c r="J52" s="191" cm="1">
        <f t="array" ref="J52">_xlfn.SINGLE(IF(G52&lt;&gt;"",IF($C$5="","",IF(J44:J50&lt;&gt;"",IF(MIN(J44:J50)&lt;=0,"",IF(AND($C$19&lt;&gt;"月末",G51&lt;&gt;$C$18),IF(OR(AND(G51=DATE(A52,9,30),G51&lt;&gt;(DATE(A52,9,$C$19))),G51=DATE(A52,3,31)),MIN(J44:J50),IF(MIN(J44:J50)=$C$7,MIN(J44:J50)-$C$7,MIN(J44:J50)-$C$6)),IF(MIN(J44:J50)=$C$7,MIN(J44:J50)-$C$7,MIN(J44:J50)-$C$6))),"")),""))</f>
        <v>17900000000</v>
      </c>
      <c r="K52" s="191" cm="1">
        <f t="array" ref="K52">_xlfn.SINGLE(IF($C$12="","",IF(K44:K50&lt;&gt;"",IF(MIN(K44:K50)&lt;=0,"",IF(AND($C$19&lt;&gt;"月末",G51&lt;&gt;$C$18),IF(OR(AND(G51=DATE(A52,9,30),G51&lt;&gt;(DATE(A52,9,$C$19))),G51=DATE(A52,3,31)),MIN(K44:K50),IF(MIN(K44:K50)=$C$14,MIN(K44:K50)-$C$14,MIN(K44:K50)-$C$13)),IF(MIN(K44:K50)=$C$14,MIN(K44:K50)-$C$14,MIN(K44:K50)-$C$13))),"")))</f>
        <v>1790000000</v>
      </c>
      <c r="L52" s="82" cm="1">
        <f t="array" ref="L52">IF(AND(OR(J52=0,J52=""),OR(K52=0,K52="")),"",_xlfn.IFS($C$21&gt;=0.0035,0.003,$C$21&lt;0.0005,0,$C$21&lt;0.0035,$C$21-0.0005))</f>
        <v>3.0000000000000001E-3</v>
      </c>
      <c r="M52" s="64">
        <f t="shared" ref="M52:M58" si="45">IF(OR(G52="",K52="",K52=0),"",ROUNDDOWN(K52*(I52/365)*L52,0))</f>
        <v>882739</v>
      </c>
      <c r="N52" s="62">
        <f t="shared" ref="N52:N58" si="46">IF(OR(J52="",J52=0,$G52=""),"",IF(AND($C$19&lt;&gt;"月末",$G52&lt;&gt;$C$18),IF(OR(AND($G52=DATE($A52,9,30),$G52&lt;&gt;DATE($A52,9,$C$19)),$G52=DATE($A52+1,3,31)),"",$C$6),$C$6))</f>
        <v>350000000</v>
      </c>
      <c r="O52" s="63">
        <f>IF(OR(K52="",K52=0,$G52=""),"",IF(AND($C$19&lt;&gt;"月末",$G52&lt;&gt;$C$18),IF(OR(AND($G52=DATE($A52,9,30),$G52&lt;&gt;DATE($A52,9,$C$19)),$G52=DATE($A52+1,3,31)),"",$C$13),$C$13))</f>
        <v>35000000</v>
      </c>
      <c r="P52" s="17">
        <v>17</v>
      </c>
      <c r="Q52" s="19">
        <f t="shared" si="17"/>
        <v>45442</v>
      </c>
      <c r="R52" s="4"/>
      <c r="S52" s="7">
        <v>17</v>
      </c>
      <c r="Y52" s="164">
        <f t="shared" si="40"/>
        <v>2023</v>
      </c>
      <c r="Z52" s="226"/>
      <c r="AA52" s="163" t="str">
        <f t="shared" ref="AA52:AA53" si="47">IF(AC51="","",IF(AC52="","",IF(AC51+1&gt;DATE(Y52+1,3,31),"",AC51+1)))</f>
        <v/>
      </c>
      <c r="AB52" s="14"/>
      <c r="AC52" s="163" t="str">
        <f>IF(OR(AC51="",$C$19="",$C$20=""),"",IF(AC51+1&gt;DATE(Y52+1,3,31),"",IF($C$19="月末",IF(EOMONTH(AC51,VLOOKUP($C$20,$U$35:$V$39,2,FALSE))&gt;=$C$18,"",IF(EOMONTH(AC51,VLOOKUP($C$20,$U$35:$V$39,2,FALSE))&gt;DATE(Y52+1,3,31),DATE(Y52+1,3,31),EOMONTH(AC51,VLOOKUP($C$20,$U$35:$V$39,2,FALSE)))),IF(EOMONTH(AC51,VLOOKUP($C$20,$U$35:$V$39,2,FALSE)-1)+$C$19&gt;=$C$18,"",IF(EOMONTH(AC51,VLOOKUP($C$20,$U$35:$V$39,2,FALSE)-1)+$C$19&gt;DATE(Y52+1,3,31),DATE(Y52+1,3,31),EOMONTH(AC51,VLOOKUP($C$20,$U$35:$V$39,2,FALSE)-1)+$C$19)))))</f>
        <v/>
      </c>
    </row>
    <row r="53" spans="1:29" s="3" customFormat="1" x14ac:dyDescent="0.4">
      <c r="A53" s="98">
        <f>B52</f>
        <v>2024</v>
      </c>
      <c r="B53" s="246"/>
      <c r="C53" s="247"/>
      <c r="D53" s="49" t="s">
        <v>7</v>
      </c>
      <c r="E53" s="73">
        <f>IF(OR(G52="",G53=""),"",IF(G52+1&gt;DATE(B52,9,30),"",G52+1))</f>
        <v>45443</v>
      </c>
      <c r="F53" s="46" t="str">
        <f t="shared" si="34"/>
        <v>金</v>
      </c>
      <c r="G53" s="76">
        <f t="shared" si="43"/>
        <v>45503</v>
      </c>
      <c r="H53" s="46" t="str">
        <f t="shared" si="34"/>
        <v>火</v>
      </c>
      <c r="I53" s="47">
        <f t="shared" si="44"/>
        <v>61</v>
      </c>
      <c r="J53" s="50">
        <f>IF(OR(G53="",J52="",$C$5=""),"",IF(J52&lt;=0,"",IF(J52=$C$7,J52-$C$7,J52-$C$6)))</f>
        <v>17550000000</v>
      </c>
      <c r="K53" s="50">
        <f>IF($C$12="","",IF(G53="","",IF(G53&lt;$C$15,"",IF(K52="","",IF(K52&lt;=0,"",IF(K52=$C$14,K52-$C$14,K52-$C$13))))))</f>
        <v>1755000000</v>
      </c>
      <c r="L53" s="82" cm="1">
        <f t="array" ref="L53">IF(AND(OR(J53=0,J53=""),OR(K53=0,K53="")),"",_xlfn.IFS($C$21&gt;=0.0035,0.003,$C$21&lt;0.0005,0,$C$21&lt;0.0035,$C$21-0.0005))</f>
        <v>3.0000000000000001E-3</v>
      </c>
      <c r="M53" s="64">
        <f t="shared" si="45"/>
        <v>879904</v>
      </c>
      <c r="N53" s="65">
        <f t="shared" si="46"/>
        <v>350000000</v>
      </c>
      <c r="O53" s="66">
        <f t="shared" ref="O53:O58" si="48">IF(OR(K53="",K53=0,$G53=""),"",IF(AND($C$19&lt;&gt;"月末",$G53&lt;&gt;$C$18),IF(OR(AND($G53=DATE($A53,9,30),$G53&lt;&gt;DATE($A53,9,$C$19)),$G53=DATE($A53+1,3,31)),"",$C$13),$C$13))</f>
        <v>35000000</v>
      </c>
      <c r="P53" s="17">
        <v>18</v>
      </c>
      <c r="Q53" s="19">
        <f t="shared" si="17"/>
        <v>45503</v>
      </c>
      <c r="R53" s="4"/>
      <c r="S53" s="7">
        <v>18</v>
      </c>
      <c r="Y53" s="164">
        <f t="shared" si="40"/>
        <v>2023</v>
      </c>
      <c r="Z53" s="226"/>
      <c r="AA53" s="163" t="str">
        <f t="shared" si="47"/>
        <v/>
      </c>
      <c r="AB53" s="14"/>
      <c r="AC53" s="163" t="str">
        <f t="shared" ref="AC53:AC57" si="49">IF(OR(AC52="",$C$19="",$C$20=""),"",IF(AC52+1&gt;DATE(Y53+1,3,31),"",IF($C$19="月末",IF(EOMONTH(AC52,VLOOKUP($C$20,$U$35:$V$39,2,FALSE))&gt;=$C$18,"",IF(EOMONTH(AC52,VLOOKUP($C$20,$U$35:$V$39,2,FALSE))&gt;DATE(Y53+1,3,31),DATE(Y53+1,3,31),EOMONTH(AC52,VLOOKUP($C$20,$U$35:$V$39,2,FALSE)))),IF(EOMONTH(AC52,VLOOKUP($C$20,$U$35:$V$39,2,FALSE)-1)+$C$19&gt;=$C$18,"",IF(EOMONTH(AC52,VLOOKUP($C$20,$U$35:$V$39,2,FALSE)-1)+$C$19&gt;DATE(Y53+1,3,31),DATE(Y53+1,3,31),EOMONTH(AC52,VLOOKUP($C$20,$U$35:$V$39,2,FALSE)-1)+$C$19)))))</f>
        <v/>
      </c>
    </row>
    <row r="54" spans="1:29" s="3" customFormat="1" x14ac:dyDescent="0.4">
      <c r="A54" s="98">
        <f>B52</f>
        <v>2024</v>
      </c>
      <c r="B54" s="246"/>
      <c r="C54" s="247"/>
      <c r="D54" s="49" t="s">
        <v>34</v>
      </c>
      <c r="E54" s="73">
        <f>IF(OR(G53="",G54=""),"",IF(G53+1&gt;DATE(B52,9,30),"",G53+1))</f>
        <v>45504</v>
      </c>
      <c r="F54" s="46" t="str">
        <f t="shared" si="34"/>
        <v>水</v>
      </c>
      <c r="G54" s="76">
        <f t="shared" si="43"/>
        <v>45565</v>
      </c>
      <c r="H54" s="46" t="str">
        <f t="shared" si="34"/>
        <v>月</v>
      </c>
      <c r="I54" s="47">
        <f t="shared" si="44"/>
        <v>62</v>
      </c>
      <c r="J54" s="50">
        <f t="shared" ref="J54:J58" si="50">IF(OR(G54="",J53="",$C$5=""),"",IF(J53&lt;=0,"",IF(J53=$C$7,J53-$C$7,J53-$C$6)))</f>
        <v>17200000000</v>
      </c>
      <c r="K54" s="50">
        <f t="shared" ref="K54:K58" si="51">IF($C$12="","",IF(G54="","",IF(G54&lt;$C$15,"",IF(K53="","",IF(K53&lt;=0,"",IF(K53=$C$14,K53-$C$14,K53-$C$13))))))</f>
        <v>1720000000</v>
      </c>
      <c r="L54" s="82" cm="1">
        <f t="array" ref="L54">IF(AND(OR(J54=0,J54=""),OR(K54=0,K54="")),"",_xlfn.IFS($C$21&gt;=0.0035,0.003,$C$21&lt;0.0005,0,$C$21&lt;0.0035,$C$21-0.0005))</f>
        <v>3.0000000000000001E-3</v>
      </c>
      <c r="M54" s="64">
        <f t="shared" si="45"/>
        <v>876493</v>
      </c>
      <c r="N54" s="65">
        <f t="shared" si="46"/>
        <v>350000000</v>
      </c>
      <c r="O54" s="66">
        <f t="shared" si="48"/>
        <v>35000000</v>
      </c>
      <c r="P54" s="17">
        <v>19</v>
      </c>
      <c r="Q54" s="19">
        <f t="shared" si="17"/>
        <v>45565</v>
      </c>
      <c r="S54" s="7">
        <v>19</v>
      </c>
      <c r="Y54" s="164">
        <f t="shared" si="40"/>
        <v>2023</v>
      </c>
      <c r="Z54" s="226"/>
      <c r="AA54" s="163" t="str">
        <f>IF(AC53="","",IF(AC54="","",IF(AC53+1&gt;DATE(Y54+1,3,31),"",AC53+1)))</f>
        <v/>
      </c>
      <c r="AC54" s="163" t="str">
        <f t="shared" si="49"/>
        <v/>
      </c>
    </row>
    <row r="55" spans="1:29" s="3" customFormat="1" x14ac:dyDescent="0.4">
      <c r="A55" s="98">
        <f>B52</f>
        <v>2024</v>
      </c>
      <c r="B55" s="246"/>
      <c r="C55" s="247"/>
      <c r="D55" s="49" t="s">
        <v>35</v>
      </c>
      <c r="E55" s="73" t="str">
        <f>IF(OR(G54="",G55=""),"",IF(G54+1&gt;DATE(B52,9,30),"",G54+1))</f>
        <v/>
      </c>
      <c r="F55" s="46" t="str">
        <f t="shared" si="34"/>
        <v/>
      </c>
      <c r="G55" s="76" t="str">
        <f t="shared" si="43"/>
        <v/>
      </c>
      <c r="H55" s="46" t="str">
        <f t="shared" si="34"/>
        <v/>
      </c>
      <c r="I55" s="47" t="str">
        <f t="shared" si="44"/>
        <v/>
      </c>
      <c r="J55" s="50" t="str">
        <f t="shared" si="50"/>
        <v/>
      </c>
      <c r="K55" s="50" t="str">
        <f t="shared" si="51"/>
        <v/>
      </c>
      <c r="L55" s="82" t="str" cm="1">
        <f t="array" ref="L55">IF(AND(OR(J55=0,J55=""),OR(K55=0,K55="")),"",_xlfn.IFS($C$21&gt;=0.0035,0.003,$C$21&lt;0.0005,0,$C$21&lt;0.0035,$C$21-0.0005))</f>
        <v/>
      </c>
      <c r="M55" s="64" t="str">
        <f t="shared" si="45"/>
        <v/>
      </c>
      <c r="N55" s="65" t="str">
        <f t="shared" si="46"/>
        <v/>
      </c>
      <c r="O55" s="66" t="str">
        <f t="shared" si="48"/>
        <v/>
      </c>
      <c r="P55" s="17">
        <v>20</v>
      </c>
      <c r="Q55" s="19" t="str">
        <f t="shared" si="17"/>
        <v/>
      </c>
      <c r="S55" s="7">
        <v>20</v>
      </c>
      <c r="Y55" s="164">
        <f t="shared" si="40"/>
        <v>2023</v>
      </c>
      <c r="Z55" s="226"/>
      <c r="AA55" s="163" t="str">
        <f t="shared" ref="AA55:AA57" si="52">IF(AC54="","",IF(AC55="","",IF(AC54+1&gt;DATE(Y55+1,3,31),"",AC54+1)))</f>
        <v/>
      </c>
      <c r="AC55" s="163" t="str">
        <f t="shared" si="49"/>
        <v/>
      </c>
    </row>
    <row r="56" spans="1:29" s="3" customFormat="1" x14ac:dyDescent="0.4">
      <c r="A56" s="98">
        <f>B52</f>
        <v>2024</v>
      </c>
      <c r="B56" s="246"/>
      <c r="C56" s="247"/>
      <c r="D56" s="49" t="s">
        <v>36</v>
      </c>
      <c r="E56" s="73" t="str">
        <f>IF(OR(G55="",G56=""),"",IF(G55+1&gt;DATE(B52,9,30),"",G55+1))</f>
        <v/>
      </c>
      <c r="F56" s="46" t="str">
        <f t="shared" si="34"/>
        <v/>
      </c>
      <c r="G56" s="76" t="str">
        <f t="shared" si="43"/>
        <v/>
      </c>
      <c r="H56" s="46" t="str">
        <f t="shared" si="34"/>
        <v/>
      </c>
      <c r="I56" s="47" t="str">
        <f t="shared" si="44"/>
        <v/>
      </c>
      <c r="J56" s="50" t="str">
        <f t="shared" si="50"/>
        <v/>
      </c>
      <c r="K56" s="50" t="str">
        <f t="shared" si="51"/>
        <v/>
      </c>
      <c r="L56" s="82" t="str" cm="1">
        <f t="array" ref="L56">IF(AND(OR(J56=0,J56=""),OR(K56=0,K56="")),"",_xlfn.IFS($C$21&gt;=0.0035,0.003,$C$21&lt;0.0005,0,$C$21&lt;0.0035,$C$21-0.0005))</f>
        <v/>
      </c>
      <c r="M56" s="64" t="str">
        <f t="shared" si="45"/>
        <v/>
      </c>
      <c r="N56" s="65" t="str">
        <f t="shared" si="46"/>
        <v/>
      </c>
      <c r="O56" s="66" t="str">
        <f t="shared" si="48"/>
        <v/>
      </c>
      <c r="P56" s="17">
        <v>21</v>
      </c>
      <c r="Q56" s="19" t="str">
        <f t="shared" si="17"/>
        <v/>
      </c>
      <c r="S56" s="7">
        <v>21</v>
      </c>
      <c r="Y56" s="164">
        <f t="shared" si="40"/>
        <v>2023</v>
      </c>
      <c r="Z56" s="226"/>
      <c r="AA56" s="163" t="str">
        <f t="shared" si="52"/>
        <v/>
      </c>
      <c r="AC56" s="163" t="str">
        <f t="shared" si="49"/>
        <v/>
      </c>
    </row>
    <row r="57" spans="1:29" s="14" customFormat="1" x14ac:dyDescent="0.4">
      <c r="A57" s="98">
        <f>B52</f>
        <v>2024</v>
      </c>
      <c r="B57" s="246"/>
      <c r="C57" s="247"/>
      <c r="D57" s="49" t="s">
        <v>40</v>
      </c>
      <c r="E57" s="73" t="str">
        <f>IF(OR(G56="",G57=""),"",IF(G56+1&gt;DATE(B52,9,30),"",G56+1))</f>
        <v/>
      </c>
      <c r="F57" s="181" t="str">
        <f t="shared" si="34"/>
        <v/>
      </c>
      <c r="G57" s="100" t="str">
        <f t="shared" si="43"/>
        <v/>
      </c>
      <c r="H57" s="181" t="str">
        <f t="shared" si="34"/>
        <v/>
      </c>
      <c r="I57" s="182" t="str">
        <f t="shared" si="44"/>
        <v/>
      </c>
      <c r="J57" s="50" t="str">
        <f t="shared" si="50"/>
        <v/>
      </c>
      <c r="K57" s="50" t="str">
        <f t="shared" si="51"/>
        <v/>
      </c>
      <c r="L57" s="82" t="str" cm="1">
        <f t="array" ref="L57">IF(AND(OR(J57=0,J57=""),OR(K57=0,K57="")),"",_xlfn.IFS($C$21&gt;=0.0035,0.003,$C$21&lt;0.0005,0,$C$21&lt;0.0035,$C$21-0.0005))</f>
        <v/>
      </c>
      <c r="M57" s="64" t="str">
        <f t="shared" si="45"/>
        <v/>
      </c>
      <c r="N57" s="65" t="str">
        <f t="shared" si="46"/>
        <v/>
      </c>
      <c r="O57" s="185" t="str">
        <f t="shared" si="48"/>
        <v/>
      </c>
      <c r="P57" s="17">
        <v>22</v>
      </c>
      <c r="Q57" s="19" t="str">
        <f t="shared" si="17"/>
        <v/>
      </c>
      <c r="S57" s="7">
        <v>22</v>
      </c>
      <c r="Y57" s="164">
        <f t="shared" si="40"/>
        <v>2023</v>
      </c>
      <c r="Z57" s="226"/>
      <c r="AA57" s="163" t="str">
        <f t="shared" si="52"/>
        <v/>
      </c>
      <c r="AB57" s="3"/>
      <c r="AC57" s="163" t="str">
        <f t="shared" si="49"/>
        <v/>
      </c>
    </row>
    <row r="58" spans="1:29" s="3" customFormat="1" ht="19.5" thickBot="1" x14ac:dyDescent="0.45">
      <c r="A58" s="98">
        <f>B52</f>
        <v>2024</v>
      </c>
      <c r="B58" s="246"/>
      <c r="C58" s="247"/>
      <c r="D58" s="186" t="s">
        <v>79</v>
      </c>
      <c r="E58" s="187" t="str">
        <f>IF(OR(G57="",G58=""),"",IF(G57+1&gt;DATE(B52,9,30),"",G57+1))</f>
        <v/>
      </c>
      <c r="F58" s="137" t="str">
        <f t="shared" si="34"/>
        <v/>
      </c>
      <c r="G58" s="158" t="str">
        <f t="shared" si="43"/>
        <v/>
      </c>
      <c r="H58" s="137" t="str">
        <f t="shared" si="34"/>
        <v/>
      </c>
      <c r="I58" s="138" t="str">
        <f t="shared" si="44"/>
        <v/>
      </c>
      <c r="J58" s="50" t="str">
        <f t="shared" si="50"/>
        <v/>
      </c>
      <c r="K58" s="50" t="str">
        <f t="shared" si="51"/>
        <v/>
      </c>
      <c r="L58" s="149" t="str" cm="1">
        <f t="array" ref="L58">IF(AND(OR(J58=0,J58=""),OR(K58=0,K58="")),"",_xlfn.IFS($C$21&gt;=0.0035,0.003,$C$21&lt;0.0005,0,$C$21&lt;0.0035,$C$21-0.0005))</f>
        <v/>
      </c>
      <c r="M58" s="188" t="str">
        <f t="shared" si="45"/>
        <v/>
      </c>
      <c r="N58" s="189" t="str">
        <f t="shared" si="46"/>
        <v/>
      </c>
      <c r="O58" s="190" t="str">
        <f t="shared" si="48"/>
        <v/>
      </c>
      <c r="P58" s="17">
        <v>23</v>
      </c>
      <c r="Q58" s="19" t="str">
        <f t="shared" si="17"/>
        <v/>
      </c>
      <c r="S58" s="7">
        <v>23</v>
      </c>
      <c r="Y58" s="164">
        <f t="shared" si="40"/>
        <v>2023</v>
      </c>
      <c r="Z58" s="12" t="s">
        <v>76</v>
      </c>
      <c r="AA58" s="4" t="str" cm="1">
        <f t="array" ref="AA58">_xlfn.SINGLE(IF(AA51:AA57&lt;&gt;"",MIN(AA51:AA57),""))</f>
        <v/>
      </c>
      <c r="AC58" s="4" t="str" cm="1">
        <f t="array" ref="AC58">_xlfn.SINGLE(IF(AC51:AC57&lt;&gt;"",MAX(AC51:AC57),""))</f>
        <v/>
      </c>
    </row>
    <row r="59" spans="1:29" s="3" customFormat="1" ht="19.5" thickBot="1" x14ac:dyDescent="0.45">
      <c r="A59" s="98">
        <f>B52</f>
        <v>2024</v>
      </c>
      <c r="B59" s="246"/>
      <c r="C59" s="157" t="s">
        <v>10</v>
      </c>
      <c r="D59" s="58"/>
      <c r="E59" s="75" cm="1">
        <f t="array" ref="E59">_xlfn.SINGLE(IF(E52:E58&lt;&gt;"",MIN(E52:E58),""))</f>
        <v>45383</v>
      </c>
      <c r="F59" s="59" t="str">
        <f t="shared" si="34"/>
        <v>月</v>
      </c>
      <c r="G59" s="75" cm="1">
        <f t="array" ref="G59">_xlfn.SINGLE(IF(G52:G58&lt;&gt;"",MAX(G52:G58),""))</f>
        <v>45565</v>
      </c>
      <c r="H59" s="59" t="str">
        <f t="shared" si="34"/>
        <v>月</v>
      </c>
      <c r="I59" s="60">
        <f>SUM(I52:I58)</f>
        <v>183</v>
      </c>
      <c r="J59" s="58"/>
      <c r="K59" s="58"/>
      <c r="L59" s="84"/>
      <c r="M59" s="70">
        <f>SUM(M52:M58)</f>
        <v>2639136</v>
      </c>
      <c r="N59" s="71"/>
      <c r="O59" s="72"/>
      <c r="P59" s="17">
        <v>24</v>
      </c>
      <c r="Q59" s="22">
        <f t="shared" si="17"/>
        <v>45565</v>
      </c>
      <c r="S59" s="7">
        <v>24</v>
      </c>
      <c r="Y59" s="93">
        <f>$B$31</f>
        <v>2024</v>
      </c>
      <c r="Z59" s="226" t="s">
        <v>77</v>
      </c>
      <c r="AA59" s="163" t="str">
        <f>E31</f>
        <v/>
      </c>
      <c r="AC59" s="163" t="str">
        <f>IF(OR(G30="",$C$19="",$C$20=""),"",IF(G30+1&gt;DATE(Y60,9,30),"",IF($C$19="月末",IF(EOMONTH(G30,VLOOKUP($C$20,$U$35:$V$39,2,FALSE))&gt;=$C$18,"",IF(EOMONTH(G30,VLOOKUP($C$20,$U$35:$V$39,2,FALSE))&gt;DATE(Y60,9,30),DATE(Y60,9,30),EOMONTH(AC58,VLOOKUP($C$20,$U$35:$V$39,2,FALSE)))),IF(EOMONTH(G30,VLOOKUP($C$20,$U$35:$V$39,2,FALSE)-1)+$C$19&gt;=$C$18,"",IF(EOMONTH(G30,VLOOKUP($C$20,$U$35:$V$39,2,FALSE)-1)+$C$19&gt;DATE(Y60,9,30),DATE(Y60,9,30),EOMONTH(G30,VLOOKUP($C$20,$U$35:$V$39,2,FALSE)-1)+$C$19)))))</f>
        <v/>
      </c>
    </row>
    <row r="60" spans="1:29" s="3" customFormat="1" x14ac:dyDescent="0.4">
      <c r="A60" s="98">
        <f>B52</f>
        <v>2024</v>
      </c>
      <c r="B60" s="246"/>
      <c r="C60" s="248" t="s">
        <v>4</v>
      </c>
      <c r="D60" s="54" t="s">
        <v>9</v>
      </c>
      <c r="E60" s="73">
        <f>IF(OR(G59="",G60=""),"",IF(G59+1&gt;DATE(B52+1,3,31),"",G59+1))</f>
        <v>45566</v>
      </c>
      <c r="F60" s="46" t="str">
        <f t="shared" si="34"/>
        <v>火</v>
      </c>
      <c r="G60" s="76">
        <f t="shared" ref="G60:G66" si="53">IF(OR(G59="",$C$19="",$C$20=""),"",IF(G59+1&gt;DATE(A52+1,3,31),"",IF($C$19="月末",IF(EOMONTH(G59,VLOOKUP($C$20,$U$35:$V$39,2,FALSE))&gt;DATE(A52+1,3,31),DATE(A52+1,3,31),EOMONTH(G59,VLOOKUP($C$20,$U$35:$V$39,2,FALSE))),IF(EOMONTH(G59,VLOOKUP($C$20,$U$35:$V$39,2,FALSE)-1)+$C$19&gt;DATE(A52+1,3,31),DATE(A52+1,3,31),EOMONTH(G59,VLOOKUP($C$20,$U$35:$V$39,2,FALSE)-1)+$C$19))))</f>
        <v>45626</v>
      </c>
      <c r="H60" s="46" t="str">
        <f t="shared" si="34"/>
        <v>土</v>
      </c>
      <c r="I60" s="47">
        <f t="shared" ref="I60:I66" si="54">IF(G60="","",DATEDIF(E60,G60,"D")+1)</f>
        <v>61</v>
      </c>
      <c r="J60" s="191" cm="1">
        <f t="array" ref="J60">_xlfn.SINGLE(IF(G60&lt;&gt;"",IF($C$5="","",IF(J52:J58&lt;&gt;"",IF(MIN(J52:J58)&lt;=0,"",IF(AND($C$19&lt;&gt;"月末",G59&lt;&gt;$C$18),IF(OR(AND(G59=DATE(A60,9,30),G59&lt;&gt;(DATE(A60,9,$C$19))),G59=DATE(A60,3,31)),MIN(J52:J58),IF(MIN(J52:J58)=$C$7,MIN(J52:J58)-$C$7,MIN(J52:J58)-$C$6)),IF(MIN(J52:J58)=$C$7,MIN(J52:J58)-$C$7,MIN(J52:J58)-$C$6))),"")),""))</f>
        <v>16850000000</v>
      </c>
      <c r="K60" s="191" cm="1">
        <f t="array" ref="K60">_xlfn.SINGLE(IF($C$12="","",IF(K52:K58&lt;&gt;"",IF(MIN(K52:K58)&lt;=0,"",IF(AND($C$19&lt;&gt;"月末",G59&lt;&gt;$C$18),IF(OR(AND(G59=DATE(A60,9,30),G59&lt;&gt;(DATE(A60,9,$C$19))),G59=DATE(A60,3,31)),MIN(K52:K58),IF(MIN(K52:K58)=$C$14,MIN(K52:K58)-$C$14,MIN(K52:K58)-$C$13)),IF(MIN(K52:K58)=$C$14,MIN(K52:K58)-$C$14,MIN(K52:K58)-$C$13))),"")))</f>
        <v>1685000000</v>
      </c>
      <c r="L60" s="82" cm="1">
        <f t="array" ref="L60">IF(AND(OR(J60=0,J60=""),OR(K60=0,K60="")),"",_xlfn.IFS($C$21&gt;=0.0035,0.003,$C$21&lt;0.0005,0,$C$21&lt;0.0035,$C$21-0.0005))</f>
        <v>3.0000000000000001E-3</v>
      </c>
      <c r="M60" s="64">
        <f t="shared" ref="M60:M66" si="55">IF(OR(G60="",K60="",K60=0),"",ROUNDDOWN(K60*(I60/365)*L60,0))</f>
        <v>844808</v>
      </c>
      <c r="N60" s="62">
        <f t="shared" ref="N60:N66" si="56">IF(OR(J60="",J60=0,$G60=""),"",IF(AND($C$19&lt;&gt;"月末",$G60&lt;&gt;$C$18),IF(OR(AND($G60=DATE($A60,9,30),$G60&lt;&gt;DATE($A60,9,$C$19)),$G60=DATE($A60+1,3,31)),"",$C$6),$C$6))</f>
        <v>350000000</v>
      </c>
      <c r="O60" s="63">
        <f>IF(OR(K60="",K60=0,$G60=""),"",IF(AND($C$19&lt;&gt;"月末",$G60&lt;&gt;$C$18),IF(OR(AND($G60=DATE($A60,9,30),$G60&lt;&gt;DATE($A60,9,$C$19)),$G60=DATE($A60+1,3,31)),"",$C$13),$C$13))</f>
        <v>35000000</v>
      </c>
      <c r="P60" s="17">
        <v>25</v>
      </c>
      <c r="Q60" s="19">
        <f t="shared" si="17"/>
        <v>45626</v>
      </c>
      <c r="R60" s="4"/>
      <c r="S60" s="7">
        <v>25</v>
      </c>
      <c r="Y60" s="93">
        <f>$B$31</f>
        <v>2024</v>
      </c>
      <c r="Z60" s="226"/>
      <c r="AA60" s="163" t="str">
        <f t="shared" ref="AA60:AA61" si="57">IF(AC59="","",IF(AC60="","",IF(AC59+1&gt;DATE(Y60,9,30),"",AC59+1)))</f>
        <v/>
      </c>
      <c r="AB60" s="14"/>
      <c r="AC60" s="163" t="str">
        <f>IF(OR(AC59="",$C$19="",$C$20=""),"",IF(AC59+1&gt;DATE(Y60,9,30),"",IF($C$19="月末",IF(EOMONTH(AC59,VLOOKUP($C$20,$U$35:$V$39,2,FALSE))&gt;=$C$18,"",IF(EOMONTH(AC59,VLOOKUP($C$20,$U$35:$V$39,2,FALSE))&gt;DATE(Y60,9,30),DATE(Y60,9,30),EOMONTH(AC59,VLOOKUP($C$20,$U$35:$V$39,2,FALSE)))),IF(EOMONTH(AC59,VLOOKUP($C$20,$U$35:$V$39,2,FALSE)-1)+$C$19&gt;=$C$18,"",IF(EOMONTH(AC59,VLOOKUP($C$20,$U$35:$V$39,2,FALSE)-1)+$C$19&gt;DATE(Y60,9,30),DATE(Y60,9,30),EOMONTH(AC59,VLOOKUP($C$20,$U$35:$V$39,2,FALSE)-1)+$C$19)))))</f>
        <v/>
      </c>
    </row>
    <row r="61" spans="1:29" s="3" customFormat="1" x14ac:dyDescent="0.4">
      <c r="A61" s="98">
        <f>B52</f>
        <v>2024</v>
      </c>
      <c r="B61" s="246"/>
      <c r="C61" s="247"/>
      <c r="D61" s="49" t="s">
        <v>8</v>
      </c>
      <c r="E61" s="73">
        <f>IF(OR(G60="",G61=""),"",IF(G60+1&gt;DATE(B52+1,3,31),"",G60+1))</f>
        <v>45627</v>
      </c>
      <c r="F61" s="46" t="str">
        <f t="shared" si="34"/>
        <v>日</v>
      </c>
      <c r="G61" s="76">
        <f t="shared" si="53"/>
        <v>45687</v>
      </c>
      <c r="H61" s="46" t="str">
        <f t="shared" si="34"/>
        <v>木</v>
      </c>
      <c r="I61" s="47">
        <f t="shared" si="54"/>
        <v>61</v>
      </c>
      <c r="J61" s="50">
        <f>IF(OR(G61="",J60="",$C$5=""),"",IF(J60&lt;=0,"",IF(J60=$C$7,J60-$C$7,J60-$C$6)))</f>
        <v>16500000000</v>
      </c>
      <c r="K61" s="50">
        <f>IF($C$12="","",IF(G61="","",IF(G61&lt;$C$15,"",IF(K60="","",IF(K60&lt;=0,"",IF(K60=$C$14,K60-$C$14,K60-$C$13))))))</f>
        <v>1650000000</v>
      </c>
      <c r="L61" s="82" cm="1">
        <f t="array" ref="L61">IF(AND(OR(J61=0,J61=""),OR(K61=0,K61="")),"",_xlfn.IFS($C$21&gt;=0.0035,0.003,$C$21&lt;0.0005,0,$C$21&lt;0.0035,$C$21-0.0005))</f>
        <v>3.0000000000000001E-3</v>
      </c>
      <c r="M61" s="64">
        <f t="shared" si="55"/>
        <v>827260</v>
      </c>
      <c r="N61" s="65">
        <f t="shared" si="56"/>
        <v>350000000</v>
      </c>
      <c r="O61" s="66">
        <f t="shared" ref="O61:O66" si="58">IF(OR(K61="",K61=0,$G61=""),"",IF(AND($C$19&lt;&gt;"月末",$G61&lt;&gt;$C$18),IF(OR(AND($G61=DATE($A61,9,30),$G61&lt;&gt;DATE($A61,9,$C$19)),$G61=DATE($A61+1,3,31)),"",$C$13),$C$13))</f>
        <v>35000000</v>
      </c>
      <c r="P61" s="17">
        <v>26</v>
      </c>
      <c r="Q61" s="19">
        <f t="shared" si="17"/>
        <v>45687</v>
      </c>
      <c r="R61" s="4"/>
      <c r="S61" s="7">
        <v>26</v>
      </c>
      <c r="Y61" s="93">
        <f t="shared" ref="Y61:Y74" si="59">$B$31</f>
        <v>2024</v>
      </c>
      <c r="Z61" s="226"/>
      <c r="AA61" s="163" t="str">
        <f t="shared" si="57"/>
        <v/>
      </c>
      <c r="AB61" s="14"/>
      <c r="AC61" s="163" t="str">
        <f t="shared" ref="AC61:AC65" si="60">IF(OR(AC60="",$C$19="",$C$20=""),"",IF(AC60+1&gt;DATE(Y61,9,30),"",IF($C$19="月末",IF(EOMONTH(AC60,VLOOKUP($C$20,$U$35:$V$39,2,FALSE))&gt;=$C$18,"",IF(EOMONTH(AC60,VLOOKUP($C$20,$U$35:$V$39,2,FALSE))&gt;DATE(Y61,9,30),DATE(Y61,9,30),EOMONTH(AC60,VLOOKUP($C$20,$U$35:$V$39,2,FALSE)))),IF(EOMONTH(AC60,VLOOKUP($C$20,$U$35:$V$39,2,FALSE)-1)+$C$19&gt;=$C$18,"",IF(EOMONTH(AC60,VLOOKUP($C$20,$U$35:$V$39,2,FALSE)-1)+$C$19&gt;DATE(Y61,9,30),DATE(Y61,9,30),EOMONTH(AC60,VLOOKUP($C$20,$U$35:$V$39,2,FALSE)-1)+$C$19)))))</f>
        <v/>
      </c>
    </row>
    <row r="62" spans="1:29" s="3" customFormat="1" x14ac:dyDescent="0.4">
      <c r="A62" s="98">
        <f>B52</f>
        <v>2024</v>
      </c>
      <c r="B62" s="246"/>
      <c r="C62" s="247"/>
      <c r="D62" s="49" t="s">
        <v>37</v>
      </c>
      <c r="E62" s="73">
        <f>IF(OR(G61="",G62=""),"",IF(G61+1&gt;DATE(B52+1,3,31),"",G61+1))</f>
        <v>45688</v>
      </c>
      <c r="F62" s="46" t="str">
        <f t="shared" si="34"/>
        <v>金</v>
      </c>
      <c r="G62" s="76">
        <f t="shared" si="53"/>
        <v>45746</v>
      </c>
      <c r="H62" s="46" t="str">
        <f t="shared" si="34"/>
        <v>日</v>
      </c>
      <c r="I62" s="47">
        <f t="shared" si="54"/>
        <v>59</v>
      </c>
      <c r="J62" s="50">
        <f t="shared" ref="J62:J66" si="61">IF(OR(G62="",J61="",$C$5=""),"",IF(J61&lt;=0,"",IF(J61=$C$7,J61-$C$7,J61-$C$6)))</f>
        <v>16150000000</v>
      </c>
      <c r="K62" s="50">
        <f t="shared" ref="K62:K66" si="62">IF($C$12="","",IF(G62="","",IF(G62&lt;$C$15,"",IF(K61="","",IF(K61&lt;=0,"",IF(K61=$C$14,K61-$C$14,K61-$C$13))))))</f>
        <v>1615000000</v>
      </c>
      <c r="L62" s="82" cm="1">
        <f t="array" ref="L62">IF(AND(OR(J62=0,J62=""),OR(K62=0,K62="")),"",_xlfn.IFS($C$21&gt;=0.0035,0.003,$C$21&lt;0.0005,0,$C$21&lt;0.0035,$C$21-0.0005))</f>
        <v>3.0000000000000001E-3</v>
      </c>
      <c r="M62" s="64">
        <f t="shared" si="55"/>
        <v>783164</v>
      </c>
      <c r="N62" s="65">
        <f t="shared" si="56"/>
        <v>350000000</v>
      </c>
      <c r="O62" s="66">
        <f t="shared" si="58"/>
        <v>35000000</v>
      </c>
      <c r="P62" s="17">
        <v>27</v>
      </c>
      <c r="Q62" s="19">
        <f t="shared" si="17"/>
        <v>45746</v>
      </c>
      <c r="S62" s="7">
        <v>27</v>
      </c>
      <c r="Y62" s="93">
        <f t="shared" si="59"/>
        <v>2024</v>
      </c>
      <c r="Z62" s="226"/>
      <c r="AA62" s="163" t="str">
        <f t="shared" ref="AA62:AA65" si="63">IF(AC61="","",IF(AC62="","",IF(AC61+1&gt;DATE(Y62,9,30),"",AC61+1)))</f>
        <v/>
      </c>
      <c r="AC62" s="163" t="str">
        <f t="shared" si="60"/>
        <v/>
      </c>
    </row>
    <row r="63" spans="1:29" s="3" customFormat="1" x14ac:dyDescent="0.4">
      <c r="A63" s="98">
        <f>B52</f>
        <v>2024</v>
      </c>
      <c r="B63" s="246"/>
      <c r="C63" s="247"/>
      <c r="D63" s="49" t="s">
        <v>38</v>
      </c>
      <c r="E63" s="73">
        <f>IF(OR(G62="",G63=""),"",IF(G62+1&gt;DATE(B52+1,3,31),"",G62+1))</f>
        <v>45747</v>
      </c>
      <c r="F63" s="46" t="str">
        <f t="shared" ref="F63:H78" si="64">IF(E63="","",TEXT(E63,"aaa"))</f>
        <v>月</v>
      </c>
      <c r="G63" s="76">
        <f t="shared" si="53"/>
        <v>45747</v>
      </c>
      <c r="H63" s="46" t="str">
        <f t="shared" si="64"/>
        <v>月</v>
      </c>
      <c r="I63" s="47">
        <f t="shared" si="54"/>
        <v>1</v>
      </c>
      <c r="J63" s="50">
        <f t="shared" si="61"/>
        <v>15800000000</v>
      </c>
      <c r="K63" s="50">
        <f t="shared" si="62"/>
        <v>1580000000</v>
      </c>
      <c r="L63" s="82" cm="1">
        <f t="array" ref="L63">IF(AND(OR(J63=0,J63=""),OR(K63=0,K63="")),"",_xlfn.IFS($C$21&gt;=0.0035,0.003,$C$21&lt;0.0005,0,$C$21&lt;0.0035,$C$21-0.0005))</f>
        <v>3.0000000000000001E-3</v>
      </c>
      <c r="M63" s="64">
        <f t="shared" si="55"/>
        <v>12986</v>
      </c>
      <c r="N63" s="65" t="str">
        <f t="shared" si="56"/>
        <v/>
      </c>
      <c r="O63" s="66" t="str">
        <f t="shared" si="58"/>
        <v/>
      </c>
      <c r="P63" s="17">
        <v>28</v>
      </c>
      <c r="Q63" s="19">
        <f t="shared" si="17"/>
        <v>45747</v>
      </c>
      <c r="S63" s="7">
        <v>28</v>
      </c>
      <c r="Y63" s="93">
        <f t="shared" si="59"/>
        <v>2024</v>
      </c>
      <c r="Z63" s="226"/>
      <c r="AA63" s="163" t="str">
        <f t="shared" si="63"/>
        <v/>
      </c>
      <c r="AC63" s="163" t="str">
        <f t="shared" si="60"/>
        <v/>
      </c>
    </row>
    <row r="64" spans="1:29" s="3" customFormat="1" x14ac:dyDescent="0.4">
      <c r="A64" s="98">
        <f>B52</f>
        <v>2024</v>
      </c>
      <c r="B64" s="246"/>
      <c r="C64" s="247"/>
      <c r="D64" s="49" t="s">
        <v>39</v>
      </c>
      <c r="E64" s="73" t="str">
        <f>IF(OR(G63="",G64=""),"",IF(G63+1&gt;DATE(B52+1,3,31),"",G63+1))</f>
        <v/>
      </c>
      <c r="F64" s="46" t="str">
        <f t="shared" si="64"/>
        <v/>
      </c>
      <c r="G64" s="76" t="str">
        <f t="shared" si="53"/>
        <v/>
      </c>
      <c r="H64" s="46" t="str">
        <f t="shared" si="64"/>
        <v/>
      </c>
      <c r="I64" s="47" t="str">
        <f t="shared" si="54"/>
        <v/>
      </c>
      <c r="J64" s="50" t="str">
        <f t="shared" si="61"/>
        <v/>
      </c>
      <c r="K64" s="50" t="str">
        <f t="shared" si="62"/>
        <v/>
      </c>
      <c r="L64" s="82" t="str" cm="1">
        <f t="array" ref="L64">IF(AND(OR(J64=0,J64=""),OR(K64=0,K64="")),"",_xlfn.IFS($C$21&gt;=0.0035,0.003,$C$21&lt;0.0005,0,$C$21&lt;0.0035,$C$21-0.0005))</f>
        <v/>
      </c>
      <c r="M64" s="64" t="str">
        <f t="shared" si="55"/>
        <v/>
      </c>
      <c r="N64" s="65" t="str">
        <f t="shared" si="56"/>
        <v/>
      </c>
      <c r="O64" s="66" t="str">
        <f t="shared" si="58"/>
        <v/>
      </c>
      <c r="P64" s="17">
        <v>29</v>
      </c>
      <c r="Q64" s="19" t="str">
        <f t="shared" si="17"/>
        <v/>
      </c>
      <c r="S64" s="7">
        <v>29</v>
      </c>
      <c r="Y64" s="93">
        <f t="shared" si="59"/>
        <v>2024</v>
      </c>
      <c r="Z64" s="226"/>
      <c r="AA64" s="163" t="str">
        <f t="shared" si="63"/>
        <v/>
      </c>
      <c r="AC64" s="163" t="str">
        <f t="shared" si="60"/>
        <v/>
      </c>
    </row>
    <row r="65" spans="1:29" s="14" customFormat="1" x14ac:dyDescent="0.4">
      <c r="A65" s="98">
        <f>B52</f>
        <v>2024</v>
      </c>
      <c r="B65" s="246"/>
      <c r="C65" s="247"/>
      <c r="D65" s="51" t="s">
        <v>41</v>
      </c>
      <c r="E65" s="74" t="str">
        <f>IF(OR(G64="",G65=""),"",IF(G64+1&gt;DATE(B52+1,3,31),"",G64+1))</f>
        <v/>
      </c>
      <c r="F65" s="46" t="str">
        <f t="shared" si="64"/>
        <v/>
      </c>
      <c r="G65" s="76" t="str">
        <f t="shared" si="53"/>
        <v/>
      </c>
      <c r="H65" s="46" t="str">
        <f t="shared" si="64"/>
        <v/>
      </c>
      <c r="I65" s="47" t="str">
        <f t="shared" si="54"/>
        <v/>
      </c>
      <c r="J65" s="50" t="str">
        <f t="shared" si="61"/>
        <v/>
      </c>
      <c r="K65" s="50" t="str">
        <f t="shared" si="62"/>
        <v/>
      </c>
      <c r="L65" s="82" t="str" cm="1">
        <f t="array" ref="L65">IF(AND(OR(J65=0,J65=""),OR(K65=0,K65="")),"",_xlfn.IFS($C$21&gt;=0.0035,0.003,$C$21&lt;0.0005,0,$C$21&lt;0.0035,$C$21-0.0005))</f>
        <v/>
      </c>
      <c r="M65" s="64" t="str">
        <f t="shared" si="55"/>
        <v/>
      </c>
      <c r="N65" s="65" t="str">
        <f t="shared" si="56"/>
        <v/>
      </c>
      <c r="O65" s="185" t="str">
        <f t="shared" si="58"/>
        <v/>
      </c>
      <c r="P65" s="17">
        <v>30</v>
      </c>
      <c r="Q65" s="19" t="str">
        <f t="shared" si="17"/>
        <v/>
      </c>
      <c r="S65" s="7">
        <v>30</v>
      </c>
      <c r="Y65" s="93">
        <f t="shared" si="59"/>
        <v>2024</v>
      </c>
      <c r="Z65" s="226"/>
      <c r="AA65" s="163" t="str">
        <f t="shared" si="63"/>
        <v/>
      </c>
      <c r="AB65" s="3"/>
      <c r="AC65" s="163" t="str">
        <f t="shared" si="60"/>
        <v/>
      </c>
    </row>
    <row r="66" spans="1:29" s="3" customFormat="1" ht="19.5" thickBot="1" x14ac:dyDescent="0.45">
      <c r="A66" s="98">
        <f>B52</f>
        <v>2024</v>
      </c>
      <c r="B66" s="246"/>
      <c r="C66" s="247"/>
      <c r="D66" s="51" t="s">
        <v>81</v>
      </c>
      <c r="E66" s="74" t="str">
        <f>IF(OR(G65="",G66=""),"",IF(G65+1&gt;DATE(B52+1,3,31),"",G65+1))</f>
        <v/>
      </c>
      <c r="F66" s="52" t="str">
        <f t="shared" si="64"/>
        <v/>
      </c>
      <c r="G66" s="76" t="str">
        <f t="shared" si="53"/>
        <v/>
      </c>
      <c r="H66" s="52" t="str">
        <f t="shared" si="64"/>
        <v/>
      </c>
      <c r="I66" s="53" t="str">
        <f t="shared" si="54"/>
        <v/>
      </c>
      <c r="J66" s="50" t="str">
        <f t="shared" si="61"/>
        <v/>
      </c>
      <c r="K66" s="50" t="str">
        <f t="shared" si="62"/>
        <v/>
      </c>
      <c r="L66" s="82" t="str" cm="1">
        <f t="array" ref="L66">IF(AND(OR(J66=0,J66=""),OR(K66=0,K66="")),"",_xlfn.IFS($C$21&gt;=0.0035,0.003,$C$21&lt;0.0005,0,$C$21&lt;0.0035,$C$21-0.0005))</f>
        <v/>
      </c>
      <c r="M66" s="67" t="str">
        <f t="shared" si="55"/>
        <v/>
      </c>
      <c r="N66" s="189" t="str">
        <f t="shared" si="56"/>
        <v/>
      </c>
      <c r="O66" s="190" t="str">
        <f t="shared" si="58"/>
        <v/>
      </c>
      <c r="P66" s="17">
        <v>31</v>
      </c>
      <c r="Q66" s="19" t="str">
        <f t="shared" si="17"/>
        <v/>
      </c>
      <c r="Y66" s="93">
        <f t="shared" si="59"/>
        <v>2024</v>
      </c>
      <c r="Z66" s="12" t="s">
        <v>76</v>
      </c>
      <c r="AA66" s="4" t="str" cm="1">
        <f t="array" ref="AA66">_xlfn.SINGLE(IF(AA59:AA65&lt;&gt;"",MIN(AA59:AA65),""))</f>
        <v/>
      </c>
      <c r="AC66" s="4" t="str" cm="1">
        <f t="array" ref="AC66">_xlfn.SINGLE(IF(AC59:AC65&lt;&gt;"",MAX(AC59:AC65),""))</f>
        <v/>
      </c>
    </row>
    <row r="67" spans="1:29" s="3" customFormat="1" ht="19.5" thickBot="1" x14ac:dyDescent="0.45">
      <c r="A67" s="99">
        <f>B52</f>
        <v>2024</v>
      </c>
      <c r="B67" s="234"/>
      <c r="C67" s="157" t="s">
        <v>10</v>
      </c>
      <c r="D67" s="58"/>
      <c r="E67" s="75" cm="1">
        <f t="array" ref="E67">_xlfn.SINGLE(IF(E60:E66&lt;&gt;"",MIN(E60:E66),""))</f>
        <v>45566</v>
      </c>
      <c r="F67" s="59" t="str">
        <f t="shared" si="64"/>
        <v>火</v>
      </c>
      <c r="G67" s="75" cm="1">
        <f t="array" ref="G67">_xlfn.SINGLE(IF(G60:G66&lt;&gt;"",MAX(G60:G66),""))</f>
        <v>45747</v>
      </c>
      <c r="H67" s="59" t="str">
        <f t="shared" si="64"/>
        <v>月</v>
      </c>
      <c r="I67" s="60">
        <f>SUM(I60:I66)</f>
        <v>182</v>
      </c>
      <c r="J67" s="58"/>
      <c r="K67" s="58"/>
      <c r="L67" s="84"/>
      <c r="M67" s="70">
        <f>SUM(M60:M66)</f>
        <v>2468218</v>
      </c>
      <c r="N67" s="71"/>
      <c r="O67" s="72"/>
      <c r="P67" s="17">
        <v>32</v>
      </c>
      <c r="Q67" s="22">
        <f t="shared" si="17"/>
        <v>45747</v>
      </c>
      <c r="Y67" s="93">
        <f t="shared" si="59"/>
        <v>2024</v>
      </c>
      <c r="Z67" s="226" t="s">
        <v>63</v>
      </c>
      <c r="AA67" s="163" t="str">
        <f>E32</f>
        <v/>
      </c>
      <c r="AC67" s="163" t="str">
        <f>IF(OR(G31="",$C$19="",$C$20=""),"",IF(G31+1&gt;DATE(Y68+1,3,31),"",IF($C$19="月末",IF(EOMONTH(G31,VLOOKUP($C$20,$U$35:$V$39,2,FALSE))&gt;=$C$18,"",IF(EOMONTH(G31,VLOOKUP($C$20,$U$35:$V$39,2,FALSE))&gt;DATE(Y68+1,3,31),DATE(Y68+1,3,31),EOMONTH(G31,VLOOKUP($C$20,$U$35:$V$39,2,FALSE)))),IF(EOMONTH(G31,VLOOKUP($C$20,$U$35:$V$39,2,FALSE)-1)+$C$19&gt;=$C$18,"",IF(EOMONTH(G31,VLOOKUP($C$20,$U$35:$V$39,2,FALSE)-1)+$C$19&gt;DATE(Y68+1,3,31),DATE(Y68+1,3,31),EOMONTH(G31,VLOOKUP($C$20,$U$35:$V$39,2,FALSE)-1)+$C$19)))))</f>
        <v/>
      </c>
    </row>
    <row r="68" spans="1:29" s="3" customFormat="1" x14ac:dyDescent="0.4">
      <c r="A68" s="97">
        <f>B68</f>
        <v>2025</v>
      </c>
      <c r="B68" s="233">
        <f>B52+1</f>
        <v>2025</v>
      </c>
      <c r="C68" s="247" t="s">
        <v>3</v>
      </c>
      <c r="D68" s="45" t="s">
        <v>83</v>
      </c>
      <c r="E68" s="73">
        <f>IF(OR(G67="",G68=""),"",IF(G67+1&gt;DATE(B68,9,30),"",G67+1))</f>
        <v>45748</v>
      </c>
      <c r="F68" s="46" t="str">
        <f t="shared" si="64"/>
        <v>火</v>
      </c>
      <c r="G68" s="76">
        <f t="shared" ref="G68:G74" si="65">IF(OR(G67="",$C$19="",$C$20=""),"",IF(G67+1&gt;DATE(A68,9,30),"",IF($C$19="月末",IF(EOMONTH(G67,VLOOKUP($C$20,$U$35:$V$39,2,FALSE))&gt;DATE(A68,9,30),DATE(A68,9,30),EOMONTH(G67,VLOOKUP($C$20,$U$35:$V$39,2,FALSE))),IF(EOMONTH(G67,VLOOKUP($C$20,$U$35:$V$39,2,FALSE)-1)+$C$19&gt;DATE(A68,9,30),DATE(A68,9,30),EOMONTH(G67,VLOOKUP($C$20,$U$35:$V$39,2,FALSE)-1)+$C$19))))</f>
        <v>45807</v>
      </c>
      <c r="H68" s="46" t="str">
        <f t="shared" si="64"/>
        <v>金</v>
      </c>
      <c r="I68" s="47">
        <f t="shared" ref="I68:I74" si="66">IF(G68="","",DATEDIF(E68,G68,"D")+1)</f>
        <v>60</v>
      </c>
      <c r="J68" s="191" cm="1">
        <f t="array" ref="J68">_xlfn.SINGLE(IF(G68&lt;&gt;"",IF($C$5="","",IF(J60:J66&lt;&gt;"",IF(MIN(J60:J66)&lt;=0,"",IF(AND($C$19&lt;&gt;"月末",G67&lt;&gt;$C$18),IF(OR(AND(G67=DATE(A68,9,30),G67&lt;&gt;(DATE(A68,9,$C$19))),G67=DATE(A68,3,31)),MIN(J60:J66),IF(MIN(J60:J66)=$C$7,MIN(J60:J66)-$C$7,MIN(J60:J66)-$C$6)),IF(MIN(J60:J66)=$C$7,MIN(J60:J66)-$C$7,MIN(J60:J66)-$C$6))),"")),""))</f>
        <v>15800000000</v>
      </c>
      <c r="K68" s="191" cm="1">
        <f t="array" ref="K68">_xlfn.SINGLE(IF($C$12="","",IF(K60:K66&lt;&gt;"",IF(MIN(K60:K66)&lt;=0,"",IF(AND($C$19&lt;&gt;"月末",G67&lt;&gt;$C$18),IF(OR(AND(G67=DATE(A68,9,30),G67&lt;&gt;(DATE(A68,9,$C$19))),G67=DATE(A68,3,31)),MIN(K60:K66),IF(MIN(K60:K66)=$C$14,MIN(K60:K66)-$C$14,MIN(K60:K66)-$C$13)),IF(MIN(K60:K66)=$C$14,MIN(K60:K66)-$C$14,MIN(K60:K66)-$C$13))),"")))</f>
        <v>1580000000</v>
      </c>
      <c r="L68" s="82" cm="1">
        <f t="array" ref="L68">IF(AND(OR(J68=0,J68=""),OR(K68=0,K68="")),"",_xlfn.IFS($C$21&gt;=0.0035,0.003,$C$21&lt;0.0005,0,$C$21&lt;0.0035,$C$21-0.0005))</f>
        <v>3.0000000000000001E-3</v>
      </c>
      <c r="M68" s="64">
        <f t="shared" ref="M68:M74" si="67">IF(OR(G68="",K68="",K68=0),"",ROUNDDOWN(K68*(I68/365)*L68,0))</f>
        <v>779178</v>
      </c>
      <c r="N68" s="62">
        <f t="shared" ref="N68:N74" si="68">IF(OR(J68="",J68=0,$G68=""),"",IF(AND($C$19&lt;&gt;"月末",$G68&lt;&gt;$C$18),IF(OR(AND($G68=DATE($A68,9,30),$G68&lt;&gt;DATE($A68,9,$C$19)),$G68=DATE($A68+1,3,31)),"",$C$6),$C$6))</f>
        <v>350000000</v>
      </c>
      <c r="O68" s="63">
        <f>IF(OR(K68="",K68=0,$G68=""),"",IF(AND($C$19&lt;&gt;"月末",$G68&lt;&gt;$C$18),IF(OR(AND($G68=DATE($A68,9,30),$G68&lt;&gt;DATE($A68,9,$C$19)),$G68=DATE($A68+1,3,31)),"",$C$13),$C$13))</f>
        <v>35000000</v>
      </c>
      <c r="P68" s="17">
        <v>33</v>
      </c>
      <c r="Q68" s="19">
        <f t="shared" ref="Q68:Q99" si="69">IF(G68&lt;&gt;"",G68,"")</f>
        <v>45807</v>
      </c>
      <c r="R68" s="4"/>
      <c r="Y68" s="93">
        <f t="shared" si="59"/>
        <v>2024</v>
      </c>
      <c r="Z68" s="226"/>
      <c r="AA68" s="163" t="str">
        <f t="shared" ref="AA68:AA70" si="70">IF(AC67="","",IF(AC68="","",IF(AC67+1&gt;DATE(Y68+1,3,31),"",AC67+1)))</f>
        <v/>
      </c>
      <c r="AB68" s="14"/>
      <c r="AC68" s="163" t="str">
        <f t="shared" ref="AC68:AC73" si="71">IF(OR(AC67="",$C$19="",$C$20=""),"",IF(AC67+1&gt;DATE(Y68+1,3,31),"",IF($C$19="月末",IF(EOMONTH(AC67,VLOOKUP($C$20,$U$35:$V$39,2,FALSE))&gt;=$C$18,"",IF(EOMONTH(AC67,VLOOKUP($C$20,$U$35:$V$39,2,FALSE))&gt;DATE(Y68+1,3,31),DATE(Y68+1,3,31),EOMONTH(AC67,VLOOKUP($C$20,$U$35:$V$39,2,FALSE)))),IF(EOMONTH(AC67,VLOOKUP($C$20,$U$35:$V$39,2,FALSE)-1)+$C$19&gt;=$C$18,"",IF(EOMONTH(AC67,VLOOKUP($C$20,$U$35:$V$39,2,FALSE)-1)+$C$19&gt;DATE(Y68+1,3,31),DATE(Y68+1,3,31),EOMONTH(AC67,VLOOKUP($C$20,$U$35:$V$39,2,FALSE)-1)+$C$19)))))</f>
        <v/>
      </c>
    </row>
    <row r="69" spans="1:29" s="3" customFormat="1" x14ac:dyDescent="0.4">
      <c r="A69" s="98">
        <f>B68</f>
        <v>2025</v>
      </c>
      <c r="B69" s="246"/>
      <c r="C69" s="247"/>
      <c r="D69" s="49" t="s">
        <v>84</v>
      </c>
      <c r="E69" s="73">
        <f>IF(OR(G68="",G69=""),"",IF(G68+1&gt;DATE(B68,9,30),"",G68+1))</f>
        <v>45808</v>
      </c>
      <c r="F69" s="46" t="str">
        <f t="shared" si="64"/>
        <v>土</v>
      </c>
      <c r="G69" s="76">
        <f t="shared" si="65"/>
        <v>45868</v>
      </c>
      <c r="H69" s="46" t="str">
        <f t="shared" si="64"/>
        <v>水</v>
      </c>
      <c r="I69" s="47">
        <f t="shared" si="66"/>
        <v>61</v>
      </c>
      <c r="J69" s="50">
        <f>IF(OR(G69="",J68="",$C$5=""),"",IF(J68&lt;=0,"",IF(J68=$C$7,J68-$C$7,J68-$C$6)))</f>
        <v>15450000000</v>
      </c>
      <c r="K69" s="50">
        <f>IF($C$12="","",IF(G69="","",IF(G69&lt;$C$15,"",IF(K68="","",IF(K68&lt;=0,"",IF(K68=$C$14,K68-$C$14,K68-$C$13))))))</f>
        <v>1545000000</v>
      </c>
      <c r="L69" s="82" cm="1">
        <f t="array" ref="L69">IF(AND(OR(J69=0,J69=""),OR(K69=0,K69="")),"",_xlfn.IFS($C$21&gt;=0.0035,0.003,$C$21&lt;0.0005,0,$C$21&lt;0.0035,$C$21-0.0005))</f>
        <v>3.0000000000000001E-3</v>
      </c>
      <c r="M69" s="64">
        <f t="shared" si="67"/>
        <v>774616</v>
      </c>
      <c r="N69" s="65">
        <f t="shared" si="68"/>
        <v>350000000</v>
      </c>
      <c r="O69" s="66">
        <f t="shared" ref="O69:O74" si="72">IF(OR(K69="",K69=0,$G69=""),"",IF(AND($C$19&lt;&gt;"月末",$G69&lt;&gt;$C$18),IF(OR(AND($G69=DATE($A69,9,30),$G69&lt;&gt;DATE($A69,9,$C$19)),$G69=DATE($A69+1,3,31)),"",$C$13),$C$13))</f>
        <v>35000000</v>
      </c>
      <c r="P69" s="17">
        <v>34</v>
      </c>
      <c r="Q69" s="20">
        <f t="shared" si="69"/>
        <v>45868</v>
      </c>
      <c r="R69" s="4"/>
      <c r="Y69" s="93">
        <f t="shared" si="59"/>
        <v>2024</v>
      </c>
      <c r="Z69" s="226"/>
      <c r="AA69" s="163" t="str">
        <f t="shared" si="70"/>
        <v/>
      </c>
      <c r="AB69" s="14"/>
      <c r="AC69" s="163" t="str">
        <f t="shared" si="71"/>
        <v/>
      </c>
    </row>
    <row r="70" spans="1:29" s="3" customFormat="1" x14ac:dyDescent="0.4">
      <c r="A70" s="98">
        <f>B68</f>
        <v>2025</v>
      </c>
      <c r="B70" s="246"/>
      <c r="C70" s="247"/>
      <c r="D70" s="49" t="s">
        <v>85</v>
      </c>
      <c r="E70" s="73">
        <f>IF(OR(G69="",G70=""),"",IF(G69+1&gt;DATE(B68,9,30),"",G69+1))</f>
        <v>45869</v>
      </c>
      <c r="F70" s="46" t="str">
        <f t="shared" si="64"/>
        <v>木</v>
      </c>
      <c r="G70" s="76">
        <f t="shared" si="65"/>
        <v>45930</v>
      </c>
      <c r="H70" s="46" t="str">
        <f t="shared" si="64"/>
        <v>火</v>
      </c>
      <c r="I70" s="47">
        <f t="shared" si="66"/>
        <v>62</v>
      </c>
      <c r="J70" s="50">
        <f t="shared" ref="J70:J74" si="73">IF(OR(G70="",J69="",$C$5=""),"",IF(J69&lt;=0,"",IF(J69=$C$7,J69-$C$7,J69-$C$6)))</f>
        <v>15100000000</v>
      </c>
      <c r="K70" s="50">
        <f t="shared" ref="K70:K74" si="74">IF($C$12="","",IF(G70="","",IF(G70&lt;$C$15,"",IF(K69="","",IF(K69&lt;=0,"",IF(K69=$C$14,K69-$C$14,K69-$C$13))))))</f>
        <v>1510000000</v>
      </c>
      <c r="L70" s="82" cm="1">
        <f t="array" ref="L70">IF(AND(OR(J70=0,J70=""),OR(K70=0,K70="")),"",_xlfn.IFS($C$21&gt;=0.0035,0.003,$C$21&lt;0.0005,0,$C$21&lt;0.0035,$C$21-0.0005))</f>
        <v>3.0000000000000001E-3</v>
      </c>
      <c r="M70" s="64">
        <f t="shared" si="67"/>
        <v>769479</v>
      </c>
      <c r="N70" s="65">
        <f t="shared" si="68"/>
        <v>350000000</v>
      </c>
      <c r="O70" s="66">
        <f t="shared" si="72"/>
        <v>35000000</v>
      </c>
      <c r="P70" s="17">
        <v>35</v>
      </c>
      <c r="Q70" s="20">
        <f t="shared" si="69"/>
        <v>45930</v>
      </c>
      <c r="S70" s="14"/>
      <c r="Y70" s="93">
        <f t="shared" si="59"/>
        <v>2024</v>
      </c>
      <c r="Z70" s="226"/>
      <c r="AA70" s="163" t="str">
        <f t="shared" si="70"/>
        <v/>
      </c>
      <c r="AB70" s="14"/>
      <c r="AC70" s="163" t="str">
        <f t="shared" si="71"/>
        <v/>
      </c>
    </row>
    <row r="71" spans="1:29" s="3" customFormat="1" x14ac:dyDescent="0.4">
      <c r="A71" s="98">
        <f>B68</f>
        <v>2025</v>
      </c>
      <c r="B71" s="246"/>
      <c r="C71" s="247"/>
      <c r="D71" s="49" t="s">
        <v>86</v>
      </c>
      <c r="E71" s="73" t="str">
        <f>IF(OR(G70="",G71=""),"",IF(G70+1&gt;DATE(B68,9,30),"",G70+1))</f>
        <v/>
      </c>
      <c r="F71" s="46" t="str">
        <f t="shared" si="64"/>
        <v/>
      </c>
      <c r="G71" s="76" t="str">
        <f t="shared" si="65"/>
        <v/>
      </c>
      <c r="H71" s="46" t="str">
        <f t="shared" si="64"/>
        <v/>
      </c>
      <c r="I71" s="47" t="str">
        <f t="shared" si="66"/>
        <v/>
      </c>
      <c r="J71" s="50" t="str">
        <f t="shared" si="73"/>
        <v/>
      </c>
      <c r="K71" s="50" t="str">
        <f t="shared" si="74"/>
        <v/>
      </c>
      <c r="L71" s="82" t="str" cm="1">
        <f t="array" ref="L71">IF(AND(OR(J71=0,J71=""),OR(K71=0,K71="")),"",_xlfn.IFS($C$21&gt;=0.0035,0.003,$C$21&lt;0.0005,0,$C$21&lt;0.0035,$C$21-0.0005))</f>
        <v/>
      </c>
      <c r="M71" s="64" t="str">
        <f t="shared" si="67"/>
        <v/>
      </c>
      <c r="N71" s="65" t="str">
        <f t="shared" si="68"/>
        <v/>
      </c>
      <c r="O71" s="66" t="str">
        <f t="shared" si="72"/>
        <v/>
      </c>
      <c r="P71" s="17">
        <v>36</v>
      </c>
      <c r="Q71" s="20" t="str">
        <f t="shared" si="69"/>
        <v/>
      </c>
      <c r="Y71" s="93">
        <f t="shared" si="59"/>
        <v>2024</v>
      </c>
      <c r="Z71" s="226"/>
      <c r="AA71" s="163" t="str">
        <f t="shared" ref="AA71:AA73" si="75">IF(AC70="","",IF(AC71="","",IF(AC70+1&gt;DATE(Y71+1,3,31),"",AC70+1)))</f>
        <v/>
      </c>
      <c r="AC71" s="163" t="str">
        <f t="shared" si="71"/>
        <v/>
      </c>
    </row>
    <row r="72" spans="1:29" s="3" customFormat="1" x14ac:dyDescent="0.4">
      <c r="A72" s="98">
        <f>B68</f>
        <v>2025</v>
      </c>
      <c r="B72" s="246"/>
      <c r="C72" s="247"/>
      <c r="D72" s="49" t="s">
        <v>87</v>
      </c>
      <c r="E72" s="73" t="str">
        <f>IF(OR(G71="",G72=""),"",IF(G71+1&gt;DATE(B68,9,30),"",G71+1))</f>
        <v/>
      </c>
      <c r="F72" s="46" t="str">
        <f t="shared" si="64"/>
        <v/>
      </c>
      <c r="G72" s="76" t="str">
        <f t="shared" si="65"/>
        <v/>
      </c>
      <c r="H72" s="46" t="str">
        <f t="shared" si="64"/>
        <v/>
      </c>
      <c r="I72" s="47" t="str">
        <f t="shared" si="66"/>
        <v/>
      </c>
      <c r="J72" s="50" t="str">
        <f t="shared" si="73"/>
        <v/>
      </c>
      <c r="K72" s="50" t="str">
        <f t="shared" si="74"/>
        <v/>
      </c>
      <c r="L72" s="82" t="str" cm="1">
        <f t="array" ref="L72">IF(AND(OR(J72=0,J72=""),OR(K72=0,K72="")),"",_xlfn.IFS($C$21&gt;=0.0035,0.003,$C$21&lt;0.0005,0,$C$21&lt;0.0035,$C$21-0.0005))</f>
        <v/>
      </c>
      <c r="M72" s="64" t="str">
        <f t="shared" si="67"/>
        <v/>
      </c>
      <c r="N72" s="65" t="str">
        <f t="shared" si="68"/>
        <v/>
      </c>
      <c r="O72" s="66" t="str">
        <f t="shared" si="72"/>
        <v/>
      </c>
      <c r="P72" s="17">
        <v>37</v>
      </c>
      <c r="Q72" s="20" t="str">
        <f t="shared" si="69"/>
        <v/>
      </c>
      <c r="Y72" s="93">
        <f t="shared" si="59"/>
        <v>2024</v>
      </c>
      <c r="Z72" s="226"/>
      <c r="AA72" s="163" t="str">
        <f t="shared" si="75"/>
        <v/>
      </c>
      <c r="AC72" s="163" t="str">
        <f t="shared" si="71"/>
        <v/>
      </c>
    </row>
    <row r="73" spans="1:29" s="14" customFormat="1" x14ac:dyDescent="0.4">
      <c r="A73" s="98">
        <f>B68</f>
        <v>2025</v>
      </c>
      <c r="B73" s="246"/>
      <c r="C73" s="247"/>
      <c r="D73" s="51" t="s">
        <v>88</v>
      </c>
      <c r="E73" s="73" t="str">
        <f>IF(OR(G72="",G73=""),"",IF(G72+1&gt;DATE(B68,9,30),"",G72+1))</f>
        <v/>
      </c>
      <c r="F73" s="46" t="str">
        <f t="shared" si="64"/>
        <v/>
      </c>
      <c r="G73" s="100" t="str">
        <f t="shared" si="65"/>
        <v/>
      </c>
      <c r="H73" s="46" t="str">
        <f t="shared" si="64"/>
        <v/>
      </c>
      <c r="I73" s="47" t="str">
        <f t="shared" si="66"/>
        <v/>
      </c>
      <c r="J73" s="50" t="str">
        <f t="shared" si="73"/>
        <v/>
      </c>
      <c r="K73" s="50" t="str">
        <f t="shared" si="74"/>
        <v/>
      </c>
      <c r="L73" s="183" t="str" cm="1">
        <f t="array" ref="L73">IF(AND(OR(J73=0,J73=""),OR(K73=0,K73="")),"",_xlfn.IFS($C$21&gt;=0.0035,0.003,$C$21&lt;0.0005,0,$C$21&lt;0.0035,$C$21-0.0005))</f>
        <v/>
      </c>
      <c r="M73" s="200" t="str">
        <f t="shared" si="67"/>
        <v/>
      </c>
      <c r="N73" s="65" t="str">
        <f t="shared" si="68"/>
        <v/>
      </c>
      <c r="O73" s="185" t="str">
        <f t="shared" si="72"/>
        <v/>
      </c>
      <c r="P73" s="17">
        <v>38</v>
      </c>
      <c r="Q73" s="20" t="str">
        <f t="shared" si="69"/>
        <v/>
      </c>
      <c r="S73" s="3"/>
      <c r="Y73" s="93">
        <f t="shared" si="59"/>
        <v>2024</v>
      </c>
      <c r="Z73" s="226"/>
      <c r="AA73" s="163" t="str">
        <f t="shared" si="75"/>
        <v/>
      </c>
      <c r="AB73" s="3"/>
      <c r="AC73" s="163" t="str">
        <f t="shared" si="71"/>
        <v/>
      </c>
    </row>
    <row r="74" spans="1:29" s="3" customFormat="1" ht="19.5" thickBot="1" x14ac:dyDescent="0.45">
      <c r="A74" s="98">
        <f>B68</f>
        <v>2025</v>
      </c>
      <c r="B74" s="246"/>
      <c r="C74" s="247"/>
      <c r="D74" s="51" t="s">
        <v>78</v>
      </c>
      <c r="E74" s="187" t="str">
        <f>IF(OR(G73="",G74=""),"",IF(G73+1&gt;DATE(B68,9,30),"",G73+1))</f>
        <v/>
      </c>
      <c r="F74" s="52" t="str">
        <f t="shared" si="64"/>
        <v/>
      </c>
      <c r="G74" s="158" t="str">
        <f t="shared" si="65"/>
        <v/>
      </c>
      <c r="H74" s="52" t="str">
        <f t="shared" si="64"/>
        <v/>
      </c>
      <c r="I74" s="53" t="str">
        <f t="shared" si="66"/>
        <v/>
      </c>
      <c r="J74" s="50" t="str">
        <f t="shared" si="73"/>
        <v/>
      </c>
      <c r="K74" s="50" t="str">
        <f t="shared" si="74"/>
        <v/>
      </c>
      <c r="L74" s="82" t="str" cm="1">
        <f t="array" ref="L74">IF(AND(OR(J74=0,J74=""),OR(K74=0,K74="")),"",_xlfn.IFS($C$21&gt;=0.0035,0.003,$C$21&lt;0.0005,0,$C$21&lt;0.0035,$C$21-0.0005))</f>
        <v/>
      </c>
      <c r="M74" s="67" t="str">
        <f t="shared" si="67"/>
        <v/>
      </c>
      <c r="N74" s="189" t="str">
        <f t="shared" si="68"/>
        <v/>
      </c>
      <c r="O74" s="190" t="str">
        <f t="shared" si="72"/>
        <v/>
      </c>
      <c r="P74" s="17">
        <v>39</v>
      </c>
      <c r="Q74" s="21" t="str">
        <f t="shared" si="69"/>
        <v/>
      </c>
      <c r="Y74" s="93">
        <f t="shared" si="59"/>
        <v>2024</v>
      </c>
      <c r="Z74" s="12" t="s">
        <v>76</v>
      </c>
      <c r="AA74" s="4" t="str" cm="1">
        <f t="array" ref="AA74">_xlfn.SINGLE(IF(AA67:AA73&lt;&gt;"",MIN(AA67:AA73),""))</f>
        <v/>
      </c>
      <c r="AC74" s="4" t="str" cm="1">
        <f t="array" ref="AC74">_xlfn.SINGLE(IF(AC67:AC73&lt;&gt;"",MAX(AC67:AC73),""))</f>
        <v/>
      </c>
    </row>
    <row r="75" spans="1:29" s="3" customFormat="1" ht="19.5" thickBot="1" x14ac:dyDescent="0.45">
      <c r="A75" s="98">
        <f>B68</f>
        <v>2025</v>
      </c>
      <c r="B75" s="246"/>
      <c r="C75" s="157" t="s">
        <v>10</v>
      </c>
      <c r="D75" s="58"/>
      <c r="E75" s="75" cm="1">
        <f t="array" ref="E75">_xlfn.SINGLE(IF(E68:E74&lt;&gt;"",MIN(E68:E74),""))</f>
        <v>45748</v>
      </c>
      <c r="F75" s="59" t="str">
        <f t="shared" si="64"/>
        <v>火</v>
      </c>
      <c r="G75" s="75" cm="1">
        <f t="array" ref="G75">_xlfn.SINGLE(IF(G68:G74&lt;&gt;"",MAX(G68:G74),""))</f>
        <v>45930</v>
      </c>
      <c r="H75" s="59" t="str">
        <f t="shared" si="64"/>
        <v>火</v>
      </c>
      <c r="I75" s="60">
        <f>SUM(I68:I74)</f>
        <v>183</v>
      </c>
      <c r="J75" s="58"/>
      <c r="K75" s="58"/>
      <c r="L75" s="84"/>
      <c r="M75" s="70">
        <f>SUM(M68:M74)</f>
        <v>2323273</v>
      </c>
      <c r="N75" s="71"/>
      <c r="O75" s="72"/>
      <c r="P75" s="17">
        <v>40</v>
      </c>
      <c r="Q75" s="22">
        <f t="shared" si="69"/>
        <v>45930</v>
      </c>
      <c r="Y75" s="93"/>
      <c r="Z75" s="12"/>
      <c r="AA75" s="4"/>
      <c r="AB75" s="14"/>
      <c r="AC75" s="4"/>
    </row>
    <row r="76" spans="1:29" s="3" customFormat="1" x14ac:dyDescent="0.4">
      <c r="A76" s="98">
        <f>B68</f>
        <v>2025</v>
      </c>
      <c r="B76" s="246"/>
      <c r="C76" s="248" t="s">
        <v>4</v>
      </c>
      <c r="D76" s="54" t="s">
        <v>89</v>
      </c>
      <c r="E76" s="73">
        <f>IF(OR(G75="",G76=""),"",IF(G75+1&gt;DATE(B68+1,3,31),"",G75+1))</f>
        <v>45931</v>
      </c>
      <c r="F76" s="46" t="str">
        <f t="shared" si="64"/>
        <v>水</v>
      </c>
      <c r="G76" s="76">
        <f t="shared" ref="G76:G82" si="76">IF(OR(G75="",$C$19="",$C$20=""),"",IF(G75+1&gt;DATE(A68+1,3,31),"",IF($C$19="月末",IF(EOMONTH(G75,VLOOKUP($C$20,$U$35:$V$39,2,FALSE))&gt;DATE(A68+1,3,31),DATE(A68+1,3,31),EOMONTH(G75,VLOOKUP($C$20,$U$35:$V$39,2,FALSE))),IF(EOMONTH(G75,VLOOKUP($C$20,$U$35:$V$39,2,FALSE)-1)+$C$19&gt;DATE(A68+1,3,31),DATE(A68+1,3,31),EOMONTH(G75,VLOOKUP($C$20,$U$35:$V$39,2,FALSE)-1)+$C$19))))</f>
        <v>45991</v>
      </c>
      <c r="H76" s="46" t="str">
        <f t="shared" si="64"/>
        <v>日</v>
      </c>
      <c r="I76" s="47">
        <f t="shared" ref="I76:I82" si="77">IF(G76="","",DATEDIF(E76,G76,"D")+1)</f>
        <v>61</v>
      </c>
      <c r="J76" s="191" cm="1">
        <f t="array" ref="J76">_xlfn.SINGLE(IF(G76&lt;&gt;"",IF($C$5="","",IF(J68:J74&lt;&gt;"",IF(MIN(J68:J74)&lt;=0,"",IF(AND($C$19&lt;&gt;"月末",G75&lt;&gt;$C$18),IF(OR(AND(G75=DATE(A76,9,30),G75&lt;&gt;(DATE(A76,9,$C$19))),G75=DATE(A76,3,31)),MIN(J68:J74),IF(MIN(J68:J74)=$C$7,MIN(J68:J74)-$C$7,MIN(J68:J74)-$C$6)),IF(MIN(J68:J74)=$C$7,MIN(J68:J74)-$C$7,MIN(J68:J74)-$C$6))),"")),""))</f>
        <v>14750000000</v>
      </c>
      <c r="K76" s="191" cm="1">
        <f t="array" ref="K76">_xlfn.SINGLE(IF($C$12="","",IF(K68:K74&lt;&gt;"",IF(MIN(K68:K74)&lt;=0,"",IF(AND($C$19&lt;&gt;"月末",G75&lt;&gt;$C$18),IF(OR(AND(G75=DATE(A76,9,30),G75&lt;&gt;(DATE(A76,9,$C$19))),G75=DATE(A76,3,31)),MIN(K68:K74),IF(MIN(K68:K74)=$C$14,MIN(K68:K74)-$C$14,MIN(K68:K74)-$C$13)),IF(MIN(K68:K74)=$C$14,MIN(K68:K74)-$C$14,MIN(K68:K74)-$C$13))),"")))</f>
        <v>1475000000</v>
      </c>
      <c r="L76" s="85" cm="1">
        <f t="array" ref="L76">IF(AND(OR(J76=0,J76=""),OR(K76=0,K76="")),"",_xlfn.IFS($C$21&gt;=0.0035,0.003,$C$21&lt;0.0005,0,$C$21&lt;0.0035,$C$21-0.0005))</f>
        <v>3.0000000000000001E-3</v>
      </c>
      <c r="M76" s="61">
        <f t="shared" ref="M76:M82" si="78">IF(OR(G76="",K76="",K76=0),"",ROUNDDOWN(K76*(I76/365)*L76,0))</f>
        <v>739520</v>
      </c>
      <c r="N76" s="62">
        <f t="shared" ref="N76:N82" si="79">IF(OR(J76="",J76=0,$G76=""),"",IF(AND($C$19&lt;&gt;"月末",$G76&lt;&gt;$C$18),IF(OR(AND($G76=DATE($A76,9,30),$G76&lt;&gt;DATE($A76,9,$C$19)),$G76=DATE($A76+1,3,31)),"",$C$6),$C$6))</f>
        <v>350000000</v>
      </c>
      <c r="O76" s="63">
        <f>IF(OR(K76="",K76=0,$G76=""),"",IF(AND($C$19&lt;&gt;"月末",$G76&lt;&gt;$C$18),IF(OR(AND($G76=DATE($A76,9,30),$G76&lt;&gt;DATE($A76,9,$C$19)),$G76=DATE($A76+1,3,31)),"",$C$13),$C$13))</f>
        <v>35000000</v>
      </c>
      <c r="P76" s="17">
        <v>41</v>
      </c>
      <c r="Q76" s="19">
        <f t="shared" si="69"/>
        <v>45991</v>
      </c>
      <c r="R76" s="4"/>
      <c r="Y76" s="14"/>
      <c r="Z76" s="14"/>
      <c r="AA76" s="4"/>
      <c r="AC76" s="4"/>
    </row>
    <row r="77" spans="1:29" s="3" customFormat="1" x14ac:dyDescent="0.4">
      <c r="A77" s="98">
        <f>B68</f>
        <v>2025</v>
      </c>
      <c r="B77" s="246"/>
      <c r="C77" s="247"/>
      <c r="D77" s="49" t="s">
        <v>90</v>
      </c>
      <c r="E77" s="73">
        <f>IF(OR(G76="",G77=""),"",IF(G76+1&gt;DATE(B68+1,3,31),"",G76+1))</f>
        <v>45992</v>
      </c>
      <c r="F77" s="46" t="str">
        <f t="shared" si="64"/>
        <v>月</v>
      </c>
      <c r="G77" s="76">
        <f t="shared" si="76"/>
        <v>46052</v>
      </c>
      <c r="H77" s="46" t="str">
        <f t="shared" si="64"/>
        <v>金</v>
      </c>
      <c r="I77" s="47">
        <f t="shared" si="77"/>
        <v>61</v>
      </c>
      <c r="J77" s="50">
        <f>IF(OR(G77="",J76="",$C$5=""),"",IF(J76&lt;=0,"",IF(J76=$C$7,J76-$C$7,J76-$C$6)))</f>
        <v>14400000000</v>
      </c>
      <c r="K77" s="50">
        <f>IF($C$12="","",IF(G77="","",IF(G77&lt;$C$15,"",IF(K76="","",IF(K76&lt;=0,"",IF(K76=$C$14,K76-$C$14,K76-$C$13))))))</f>
        <v>1440000000</v>
      </c>
      <c r="L77" s="82" cm="1">
        <f t="array" ref="L77">IF(AND(OR(J77=0,J77=""),OR(K77=0,K77="")),"",_xlfn.IFS($C$21&gt;=0.0035,0.003,$C$21&lt;0.0005,0,$C$21&lt;0.0035,$C$21-0.0005))</f>
        <v>3.0000000000000001E-3</v>
      </c>
      <c r="M77" s="64">
        <f t="shared" si="78"/>
        <v>721972</v>
      </c>
      <c r="N77" s="65">
        <f t="shared" si="79"/>
        <v>350000000</v>
      </c>
      <c r="O77" s="66">
        <f t="shared" ref="O77:O82" si="80">IF(OR(K77="",K77=0,$G77=""),"",IF(AND($C$19&lt;&gt;"月末",$G77&lt;&gt;$C$18),IF(OR(AND($G77=DATE($A77,9,30),$G77&lt;&gt;DATE($A77,9,$C$19)),$G77=DATE($A77+1,3,31)),"",$C$13),$C$13))</f>
        <v>35000000</v>
      </c>
      <c r="P77" s="17">
        <v>42</v>
      </c>
      <c r="Q77" s="20">
        <f t="shared" si="69"/>
        <v>46052</v>
      </c>
      <c r="R77" s="4"/>
      <c r="Y77" s="14"/>
      <c r="Z77" s="14"/>
      <c r="AA77" s="4"/>
      <c r="AC77" s="4"/>
    </row>
    <row r="78" spans="1:29" s="3" customFormat="1" x14ac:dyDescent="0.4">
      <c r="A78" s="98">
        <f>B68</f>
        <v>2025</v>
      </c>
      <c r="B78" s="246"/>
      <c r="C78" s="247"/>
      <c r="D78" s="49" t="s">
        <v>91</v>
      </c>
      <c r="E78" s="73">
        <f>IF(OR(G77="",G78=""),"",IF(G77+1&gt;DATE(B68+1,3,31),"",G77+1))</f>
        <v>46053</v>
      </c>
      <c r="F78" s="46" t="str">
        <f t="shared" si="64"/>
        <v>土</v>
      </c>
      <c r="G78" s="76">
        <f t="shared" si="76"/>
        <v>46111</v>
      </c>
      <c r="H78" s="46" t="str">
        <f t="shared" si="64"/>
        <v>月</v>
      </c>
      <c r="I78" s="47">
        <f t="shared" si="77"/>
        <v>59</v>
      </c>
      <c r="J78" s="50">
        <f t="shared" ref="J78:J82" si="81">IF(OR(G78="",J77="",$C$5=""),"",IF(J77&lt;=0,"",IF(J77=$C$7,J77-$C$7,J77-$C$6)))</f>
        <v>14050000000</v>
      </c>
      <c r="K78" s="50">
        <f t="shared" ref="K78:K82" si="82">IF($C$12="","",IF(G78="","",IF(G78&lt;$C$15,"",IF(K77="","",IF(K77&lt;=0,"",IF(K77=$C$14,K77-$C$14,K77-$C$13))))))</f>
        <v>1405000000</v>
      </c>
      <c r="L78" s="82" cm="1">
        <f t="array" ref="L78">IF(AND(OR(J78=0,J78=""),OR(K78=0,K78="")),"",_xlfn.IFS($C$21&gt;=0.0035,0.003,$C$21&lt;0.0005,0,$C$21&lt;0.0035,$C$21-0.0005))</f>
        <v>3.0000000000000001E-3</v>
      </c>
      <c r="M78" s="64">
        <f t="shared" si="78"/>
        <v>681328</v>
      </c>
      <c r="N78" s="65">
        <f t="shared" si="79"/>
        <v>350000000</v>
      </c>
      <c r="O78" s="66">
        <f t="shared" si="80"/>
        <v>35000000</v>
      </c>
      <c r="P78" s="17">
        <v>43</v>
      </c>
      <c r="Q78" s="20">
        <f t="shared" si="69"/>
        <v>46111</v>
      </c>
      <c r="S78" s="14"/>
      <c r="Y78" s="14"/>
      <c r="Z78" s="14"/>
      <c r="AA78" s="4"/>
      <c r="AC78" s="4"/>
    </row>
    <row r="79" spans="1:29" s="3" customFormat="1" x14ac:dyDescent="0.4">
      <c r="A79" s="98">
        <f>B68</f>
        <v>2025</v>
      </c>
      <c r="B79" s="246"/>
      <c r="C79" s="247"/>
      <c r="D79" s="49" t="s">
        <v>92</v>
      </c>
      <c r="E79" s="73">
        <f>IF(OR(G78="",G79=""),"",IF(G78+1&gt;DATE(B68+1,3,31),"",G78+1))</f>
        <v>46112</v>
      </c>
      <c r="F79" s="46" t="str">
        <f t="shared" ref="F79:H142" si="83">IF(E79="","",TEXT(E79,"aaa"))</f>
        <v>火</v>
      </c>
      <c r="G79" s="76">
        <f t="shared" si="76"/>
        <v>46112</v>
      </c>
      <c r="H79" s="46" t="str">
        <f t="shared" si="83"/>
        <v>火</v>
      </c>
      <c r="I79" s="47">
        <f t="shared" si="77"/>
        <v>1</v>
      </c>
      <c r="J79" s="50">
        <f t="shared" si="81"/>
        <v>13700000000</v>
      </c>
      <c r="K79" s="50">
        <f t="shared" si="82"/>
        <v>1370000000</v>
      </c>
      <c r="L79" s="82" cm="1">
        <f t="array" ref="L79">IF(AND(OR(J79=0,J79=""),OR(K79=0,K79="")),"",_xlfn.IFS($C$21&gt;=0.0035,0.003,$C$21&lt;0.0005,0,$C$21&lt;0.0035,$C$21-0.0005))</f>
        <v>3.0000000000000001E-3</v>
      </c>
      <c r="M79" s="64">
        <f t="shared" si="78"/>
        <v>11260</v>
      </c>
      <c r="N79" s="65" t="str">
        <f t="shared" si="79"/>
        <v/>
      </c>
      <c r="O79" s="66" t="str">
        <f t="shared" si="80"/>
        <v/>
      </c>
      <c r="P79" s="17">
        <v>44</v>
      </c>
      <c r="Q79" s="20">
        <f t="shared" si="69"/>
        <v>46112</v>
      </c>
      <c r="Y79" s="14"/>
      <c r="Z79" s="14"/>
      <c r="AA79" s="4"/>
      <c r="AC79" s="4"/>
    </row>
    <row r="80" spans="1:29" s="3" customFormat="1" x14ac:dyDescent="0.4">
      <c r="A80" s="98">
        <f>B68</f>
        <v>2025</v>
      </c>
      <c r="B80" s="246"/>
      <c r="C80" s="247"/>
      <c r="D80" s="49" t="s">
        <v>93</v>
      </c>
      <c r="E80" s="73" t="str">
        <f>IF(OR(G79="",G80=""),"",IF(G79+1&gt;DATE(B68+1,3,31),"",G79+1))</f>
        <v/>
      </c>
      <c r="F80" s="46" t="str">
        <f t="shared" si="83"/>
        <v/>
      </c>
      <c r="G80" s="76" t="str">
        <f t="shared" si="76"/>
        <v/>
      </c>
      <c r="H80" s="46" t="str">
        <f t="shared" si="83"/>
        <v/>
      </c>
      <c r="I80" s="47" t="str">
        <f t="shared" si="77"/>
        <v/>
      </c>
      <c r="J80" s="50" t="str">
        <f t="shared" si="81"/>
        <v/>
      </c>
      <c r="K80" s="50" t="str">
        <f t="shared" si="82"/>
        <v/>
      </c>
      <c r="L80" s="82" t="str" cm="1">
        <f t="array" ref="L80">IF(AND(OR(J80=0,J80=""),OR(K80=0,K80="")),"",_xlfn.IFS($C$21&gt;=0.0035,0.003,$C$21&lt;0.0005,0,$C$21&lt;0.0035,$C$21-0.0005))</f>
        <v/>
      </c>
      <c r="M80" s="64" t="str">
        <f t="shared" si="78"/>
        <v/>
      </c>
      <c r="N80" s="65" t="str">
        <f t="shared" si="79"/>
        <v/>
      </c>
      <c r="O80" s="66" t="str">
        <f t="shared" si="80"/>
        <v/>
      </c>
      <c r="P80" s="17">
        <v>45</v>
      </c>
      <c r="Q80" s="20" t="str">
        <f t="shared" si="69"/>
        <v/>
      </c>
      <c r="Y80" s="14"/>
      <c r="Z80" s="14"/>
      <c r="AA80" s="4"/>
      <c r="AC80" s="4"/>
    </row>
    <row r="81" spans="1:29" s="14" customFormat="1" x14ac:dyDescent="0.4">
      <c r="A81" s="98">
        <f>B68</f>
        <v>2025</v>
      </c>
      <c r="B81" s="246"/>
      <c r="C81" s="247"/>
      <c r="D81" s="51" t="s">
        <v>82</v>
      </c>
      <c r="E81" s="74" t="str">
        <f>IF(OR(G80="",G81=""),"",IF(G80+1&gt;DATE(B68+1,3,31),"",G80+1))</f>
        <v/>
      </c>
      <c r="F81" s="46" t="str">
        <f t="shared" si="83"/>
        <v/>
      </c>
      <c r="G81" s="76" t="str">
        <f t="shared" si="76"/>
        <v/>
      </c>
      <c r="H81" s="46" t="str">
        <f t="shared" si="83"/>
        <v/>
      </c>
      <c r="I81" s="47" t="str">
        <f t="shared" si="77"/>
        <v/>
      </c>
      <c r="J81" s="50" t="str">
        <f t="shared" si="81"/>
        <v/>
      </c>
      <c r="K81" s="50" t="str">
        <f t="shared" si="82"/>
        <v/>
      </c>
      <c r="L81" s="183" t="str" cm="1">
        <f t="array" ref="L81">IF(AND(OR(J81=0,J81=""),OR(K81=0,K81="")),"",_xlfn.IFS($C$21&gt;=0.0035,0.003,$C$21&lt;0.0005,0,$C$21&lt;0.0035,$C$21-0.0005))</f>
        <v/>
      </c>
      <c r="M81" s="200" t="str">
        <f t="shared" si="78"/>
        <v/>
      </c>
      <c r="N81" s="65" t="str">
        <f t="shared" si="79"/>
        <v/>
      </c>
      <c r="O81" s="185" t="str">
        <f t="shared" si="80"/>
        <v/>
      </c>
      <c r="P81" s="17">
        <v>46</v>
      </c>
      <c r="Q81" s="20" t="str">
        <f t="shared" si="69"/>
        <v/>
      </c>
      <c r="S81" s="3"/>
      <c r="AA81" s="4"/>
      <c r="AB81" s="3"/>
      <c r="AC81" s="4"/>
    </row>
    <row r="82" spans="1:29" s="3" customFormat="1" ht="19.5" thickBot="1" x14ac:dyDescent="0.45">
      <c r="A82" s="98">
        <f>B68</f>
        <v>2025</v>
      </c>
      <c r="B82" s="246"/>
      <c r="C82" s="247"/>
      <c r="D82" s="51" t="s">
        <v>80</v>
      </c>
      <c r="E82" s="74" t="str">
        <f>IF(OR(G81="",G82=""),"",IF(G81+1&gt;DATE(B68+1,3,31),"",G81+1))</f>
        <v/>
      </c>
      <c r="F82" s="52" t="str">
        <f t="shared" si="83"/>
        <v/>
      </c>
      <c r="G82" s="76" t="str">
        <f t="shared" si="76"/>
        <v/>
      </c>
      <c r="H82" s="52" t="str">
        <f t="shared" si="83"/>
        <v/>
      </c>
      <c r="I82" s="53" t="str">
        <f t="shared" si="77"/>
        <v/>
      </c>
      <c r="J82" s="50" t="str">
        <f t="shared" si="81"/>
        <v/>
      </c>
      <c r="K82" s="50" t="str">
        <f t="shared" si="82"/>
        <v/>
      </c>
      <c r="L82" s="83" t="str" cm="1">
        <f t="array" ref="L82">IF(AND(OR(J82=0,J82=""),OR(K82=0,K82="")),"",_xlfn.IFS($C$21&gt;=0.0035,0.003,$C$21&lt;0.0005,0,$C$21&lt;0.0035,$C$21-0.0005))</f>
        <v/>
      </c>
      <c r="M82" s="67" t="str">
        <f t="shared" si="78"/>
        <v/>
      </c>
      <c r="N82" s="189" t="str">
        <f t="shared" si="79"/>
        <v/>
      </c>
      <c r="O82" s="190" t="str">
        <f t="shared" si="80"/>
        <v/>
      </c>
      <c r="P82" s="17">
        <v>47</v>
      </c>
      <c r="Q82" s="21" t="str">
        <f t="shared" si="69"/>
        <v/>
      </c>
      <c r="Y82" s="14"/>
      <c r="Z82" s="14"/>
      <c r="AA82" s="4"/>
      <c r="AC82" s="4"/>
    </row>
    <row r="83" spans="1:29" s="3" customFormat="1" ht="19.5" thickBot="1" x14ac:dyDescent="0.45">
      <c r="A83" s="99">
        <f>B68</f>
        <v>2025</v>
      </c>
      <c r="B83" s="234"/>
      <c r="C83" s="157" t="s">
        <v>10</v>
      </c>
      <c r="D83" s="58"/>
      <c r="E83" s="75" cm="1">
        <f t="array" ref="E83">_xlfn.SINGLE(IF(E76:E82&lt;&gt;"",MIN(E76:E82),""))</f>
        <v>45931</v>
      </c>
      <c r="F83" s="59" t="str">
        <f t="shared" si="83"/>
        <v>水</v>
      </c>
      <c r="G83" s="75" cm="1">
        <f t="array" ref="G83">_xlfn.SINGLE(IF(G76:G82&lt;&gt;"",MAX(G76:G82),""))</f>
        <v>46112</v>
      </c>
      <c r="H83" s="59" t="str">
        <f t="shared" si="83"/>
        <v>火</v>
      </c>
      <c r="I83" s="60">
        <f>SUM(I76:I82)</f>
        <v>182</v>
      </c>
      <c r="J83" s="58"/>
      <c r="K83" s="58"/>
      <c r="L83" s="84"/>
      <c r="M83" s="70">
        <f>SUM(M76:M82)</f>
        <v>2154080</v>
      </c>
      <c r="N83" s="71"/>
      <c r="O83" s="72"/>
      <c r="P83" s="17">
        <v>48</v>
      </c>
      <c r="Q83" s="22">
        <f t="shared" si="69"/>
        <v>46112</v>
      </c>
      <c r="Y83" s="14"/>
      <c r="Z83" s="14"/>
      <c r="AA83" s="4"/>
      <c r="AB83" s="14"/>
      <c r="AC83" s="4"/>
    </row>
    <row r="84" spans="1:29" s="3" customFormat="1" x14ac:dyDescent="0.4">
      <c r="A84" s="97">
        <f>B84</f>
        <v>2026</v>
      </c>
      <c r="B84" s="233">
        <f t="shared" ref="B84" si="84">B68+1</f>
        <v>2026</v>
      </c>
      <c r="C84" s="247" t="s">
        <v>3</v>
      </c>
      <c r="D84" s="45" t="s">
        <v>83</v>
      </c>
      <c r="E84" s="73">
        <f>IF(OR(G83="",G84=""),"",IF(G83+1&gt;DATE(B84,9,30),"",G83+1))</f>
        <v>46113</v>
      </c>
      <c r="F84" s="46" t="str">
        <f t="shared" si="83"/>
        <v>水</v>
      </c>
      <c r="G84" s="76">
        <f t="shared" ref="G84:G90" si="85">IF(OR(G83="",$C$19="",$C$20=""),"",IF(G83+1&gt;DATE(A84,9,30),"",IF($C$19="月末",IF(EOMONTH(G83,VLOOKUP($C$20,$U$35:$V$39,2,FALSE))&gt;DATE(A84,9,30),DATE(A84,9,30),EOMONTH(G83,VLOOKUP($C$20,$U$35:$V$39,2,FALSE))),IF(EOMONTH(G83,VLOOKUP($C$20,$U$35:$V$39,2,FALSE)-1)+$C$19&gt;DATE(A84,9,30),DATE(A84,9,30),EOMONTH(G83,VLOOKUP($C$20,$U$35:$V$39,2,FALSE)-1)+$C$19))))</f>
        <v>46172</v>
      </c>
      <c r="H84" s="46" t="str">
        <f t="shared" si="83"/>
        <v>土</v>
      </c>
      <c r="I84" s="47">
        <f t="shared" ref="I84:I90" si="86">IF(G84="","",DATEDIF(E84,G84,"D")+1)</f>
        <v>60</v>
      </c>
      <c r="J84" s="191" cm="1">
        <f t="array" ref="J84">_xlfn.SINGLE(IF(G84&lt;&gt;"",IF($C$5="","",IF(J76:J82&lt;&gt;"",IF(MIN(J76:J82)&lt;=0,"",IF(AND($C$19&lt;&gt;"月末",G83&lt;&gt;$C$18),IF(OR(AND(G83=DATE(A84,9,30),G83&lt;&gt;(DATE(A84,9,$C$19))),G83=DATE(A84,3,31)),MIN(J76:J82),IF(MIN(J76:J82)=$C$7,MIN(J76:J82)-$C$7,MIN(J76:J82)-$C$6)),IF(MIN(J76:J82)=$C$7,MIN(J76:J82)-$C$7,MIN(J76:J82)-$C$6))),"")),""))</f>
        <v>13700000000</v>
      </c>
      <c r="K84" s="191" cm="1">
        <f t="array" ref="K84">_xlfn.SINGLE(IF($C$12="","",IF(K76:K82&lt;&gt;"",IF(MIN(K76:K82)&lt;=0,"",IF(AND($C$19&lt;&gt;"月末",G83&lt;&gt;$C$18),IF(OR(AND(G83=DATE(A84,9,30),G83&lt;&gt;(DATE(A84,9,$C$19))),G83=DATE(A84,3,31)),MIN(K76:K82),IF(MIN(K76:K82)=$C$14,MIN(K76:K82)-$C$14,MIN(K76:K82)-$C$13)),IF(MIN(K76:K82)=$C$14,MIN(K76:K82)-$C$14,MIN(K76:K82)-$C$13))),"")))</f>
        <v>1370000000</v>
      </c>
      <c r="L84" s="82" cm="1">
        <f t="array" ref="L84">IF(AND(OR(J84=0,J84=""),OR(K84=0,K84="")),"",_xlfn.IFS($C$21&gt;=0.0035,0.003,$C$21&lt;0.0005,0,$C$21&lt;0.0035,$C$21-0.0005))</f>
        <v>3.0000000000000001E-3</v>
      </c>
      <c r="M84" s="61">
        <f t="shared" ref="M84:M90" si="87">IF(OR(G84="",K84="",K84=0),"",ROUNDDOWN(K84*(I84/365)*L84,0))</f>
        <v>675616</v>
      </c>
      <c r="N84" s="62">
        <f t="shared" ref="N84:N90" si="88">IF(OR(J84="",J84=0,$G84=""),"",IF(AND($C$19&lt;&gt;"月末",$G84&lt;&gt;$C$18),IF(OR(AND($G84=DATE($A84,9,30),$G84&lt;&gt;DATE($A84,9,$C$19)),$G84=DATE($A84+1,3,31)),"",$C$6),$C$6))</f>
        <v>350000000</v>
      </c>
      <c r="O84" s="63">
        <f>IF(OR(K84="",K84=0,$G84=""),"",IF(AND($C$19&lt;&gt;"月末",$G84&lt;&gt;$C$18),IF(OR(AND($G84=DATE($A84,9,30),$G84&lt;&gt;DATE($A84,9,$C$19)),$G84=DATE($A84+1,3,31)),"",$C$13),$C$13))</f>
        <v>35000000</v>
      </c>
      <c r="P84" s="17">
        <v>49</v>
      </c>
      <c r="Q84" s="19">
        <f t="shared" si="69"/>
        <v>46172</v>
      </c>
      <c r="R84" s="4"/>
      <c r="Y84" s="14"/>
      <c r="Z84" s="14"/>
      <c r="AA84" s="4"/>
      <c r="AC84" s="4"/>
    </row>
    <row r="85" spans="1:29" s="3" customFormat="1" x14ac:dyDescent="0.4">
      <c r="A85" s="98">
        <f>B84</f>
        <v>2026</v>
      </c>
      <c r="B85" s="246"/>
      <c r="C85" s="247"/>
      <c r="D85" s="49" t="s">
        <v>84</v>
      </c>
      <c r="E85" s="73">
        <f>IF(OR(G84="",G85=""),"",IF(G84+1&gt;DATE(B84,9,30),"",G84+1))</f>
        <v>46173</v>
      </c>
      <c r="F85" s="46" t="str">
        <f t="shared" si="83"/>
        <v>日</v>
      </c>
      <c r="G85" s="76">
        <f t="shared" si="85"/>
        <v>46233</v>
      </c>
      <c r="H85" s="46" t="str">
        <f t="shared" si="83"/>
        <v>木</v>
      </c>
      <c r="I85" s="47">
        <f t="shared" si="86"/>
        <v>61</v>
      </c>
      <c r="J85" s="50">
        <f>IF(OR(G85="",J84="",$C$5=""),"",IF(J84&lt;=0,"",IF(J84=$C$7,J84-$C$7,J84-$C$6)))</f>
        <v>13350000000</v>
      </c>
      <c r="K85" s="50">
        <f>IF($C$12="","",IF(G85="","",IF(G85&lt;$C$15,"",IF(K84="","",IF(K84&lt;=0,"",IF(K84=$C$14,K84-$C$14,K84-$C$13))))))</f>
        <v>1335000000</v>
      </c>
      <c r="L85" s="82" cm="1">
        <f t="array" ref="L85">IF(AND(OR(J85=0,J85=""),OR(K85=0,K85="")),"",_xlfn.IFS($C$21&gt;=0.0035,0.003,$C$21&lt;0.0005,0,$C$21&lt;0.0035,$C$21-0.0005))</f>
        <v>3.0000000000000001E-3</v>
      </c>
      <c r="M85" s="64">
        <f t="shared" si="87"/>
        <v>669328</v>
      </c>
      <c r="N85" s="65">
        <f t="shared" si="88"/>
        <v>350000000</v>
      </c>
      <c r="O85" s="66">
        <f t="shared" ref="O85:O90" si="89">IF(OR(K85="",K85=0,$G85=""),"",IF(AND($C$19&lt;&gt;"月末",$G85&lt;&gt;$C$18),IF(OR(AND($G85=DATE($A85,9,30),$G85&lt;&gt;DATE($A85,9,$C$19)),$G85=DATE($A85+1,3,31)),"",$C$13),$C$13))</f>
        <v>35000000</v>
      </c>
      <c r="P85" s="17">
        <v>50</v>
      </c>
      <c r="Q85" s="20">
        <f t="shared" si="69"/>
        <v>46233</v>
      </c>
      <c r="R85" s="4"/>
      <c r="Y85" s="14"/>
      <c r="Z85" s="14"/>
      <c r="AA85" s="4"/>
      <c r="AC85" s="4"/>
    </row>
    <row r="86" spans="1:29" s="3" customFormat="1" x14ac:dyDescent="0.4">
      <c r="A86" s="98">
        <f>B84</f>
        <v>2026</v>
      </c>
      <c r="B86" s="246"/>
      <c r="C86" s="247"/>
      <c r="D86" s="49" t="s">
        <v>85</v>
      </c>
      <c r="E86" s="73">
        <f>IF(OR(G85="",G86=""),"",IF(G85+1&gt;DATE(B84,9,30),"",G85+1))</f>
        <v>46234</v>
      </c>
      <c r="F86" s="46" t="str">
        <f t="shared" si="83"/>
        <v>金</v>
      </c>
      <c r="G86" s="76">
        <f t="shared" si="85"/>
        <v>46295</v>
      </c>
      <c r="H86" s="46" t="str">
        <f t="shared" si="83"/>
        <v>水</v>
      </c>
      <c r="I86" s="47">
        <f t="shared" si="86"/>
        <v>62</v>
      </c>
      <c r="J86" s="50">
        <f t="shared" ref="J86:J90" si="90">IF(OR(G86="",J85="",$C$5=""),"",IF(J85&lt;=0,"",IF(J85=$C$7,J85-$C$7,J85-$C$6)))</f>
        <v>13000000000</v>
      </c>
      <c r="K86" s="50">
        <f t="shared" ref="K86:K90" si="91">IF($C$12="","",IF(G86="","",IF(G86&lt;$C$15,"",IF(K85="","",IF(K85&lt;=0,"",IF(K85=$C$14,K85-$C$14,K85-$C$13))))))</f>
        <v>1300000000</v>
      </c>
      <c r="L86" s="82" cm="1">
        <f t="array" ref="L86">IF(AND(OR(J86=0,J86=""),OR(K86=0,K86="")),"",_xlfn.IFS($C$21&gt;=0.0035,0.003,$C$21&lt;0.0005,0,$C$21&lt;0.0035,$C$21-0.0005))</f>
        <v>3.0000000000000001E-3</v>
      </c>
      <c r="M86" s="64">
        <f t="shared" si="87"/>
        <v>662465</v>
      </c>
      <c r="N86" s="65">
        <f t="shared" si="88"/>
        <v>350000000</v>
      </c>
      <c r="O86" s="66">
        <f t="shared" si="89"/>
        <v>35000000</v>
      </c>
      <c r="P86" s="17">
        <v>51</v>
      </c>
      <c r="Q86" s="20">
        <f t="shared" si="69"/>
        <v>46295</v>
      </c>
      <c r="S86" s="14"/>
      <c r="Y86" s="14"/>
      <c r="Z86" s="14"/>
      <c r="AA86" s="4"/>
      <c r="AC86" s="4"/>
    </row>
    <row r="87" spans="1:29" s="3" customFormat="1" x14ac:dyDescent="0.4">
      <c r="A87" s="98">
        <f>B84</f>
        <v>2026</v>
      </c>
      <c r="B87" s="246"/>
      <c r="C87" s="247"/>
      <c r="D87" s="49" t="s">
        <v>86</v>
      </c>
      <c r="E87" s="73" t="str">
        <f>IF(OR(G86="",G87=""),"",IF(G86+1&gt;DATE(B84,9,30),"",G86+1))</f>
        <v/>
      </c>
      <c r="F87" s="46" t="str">
        <f t="shared" si="83"/>
        <v/>
      </c>
      <c r="G87" s="76" t="str">
        <f t="shared" si="85"/>
        <v/>
      </c>
      <c r="H87" s="46" t="str">
        <f t="shared" si="83"/>
        <v/>
      </c>
      <c r="I87" s="47" t="str">
        <f t="shared" si="86"/>
        <v/>
      </c>
      <c r="J87" s="50" t="str">
        <f t="shared" si="90"/>
        <v/>
      </c>
      <c r="K87" s="50" t="str">
        <f t="shared" si="91"/>
        <v/>
      </c>
      <c r="L87" s="82" t="str" cm="1">
        <f t="array" ref="L87">IF(AND(OR(J87=0,J87=""),OR(K87=0,K87="")),"",_xlfn.IFS($C$21&gt;=0.0035,0.003,$C$21&lt;0.0005,0,$C$21&lt;0.0035,$C$21-0.0005))</f>
        <v/>
      </c>
      <c r="M87" s="64" t="str">
        <f t="shared" si="87"/>
        <v/>
      </c>
      <c r="N87" s="65" t="str">
        <f t="shared" si="88"/>
        <v/>
      </c>
      <c r="O87" s="66" t="str">
        <f t="shared" si="89"/>
        <v/>
      </c>
      <c r="P87" s="17">
        <v>52</v>
      </c>
      <c r="Q87" s="20" t="str">
        <f t="shared" si="69"/>
        <v/>
      </c>
      <c r="Y87" s="14"/>
      <c r="Z87" s="14"/>
      <c r="AA87" s="4"/>
      <c r="AC87" s="4"/>
    </row>
    <row r="88" spans="1:29" s="3" customFormat="1" x14ac:dyDescent="0.4">
      <c r="A88" s="98">
        <f>B84</f>
        <v>2026</v>
      </c>
      <c r="B88" s="246"/>
      <c r="C88" s="247"/>
      <c r="D88" s="49" t="s">
        <v>87</v>
      </c>
      <c r="E88" s="73" t="str">
        <f>IF(OR(G87="",G88=""),"",IF(G87+1&gt;DATE(B84,9,30),"",G87+1))</f>
        <v/>
      </c>
      <c r="F88" s="46" t="str">
        <f t="shared" si="83"/>
        <v/>
      </c>
      <c r="G88" s="76" t="str">
        <f t="shared" si="85"/>
        <v/>
      </c>
      <c r="H88" s="46" t="str">
        <f t="shared" si="83"/>
        <v/>
      </c>
      <c r="I88" s="47" t="str">
        <f t="shared" si="86"/>
        <v/>
      </c>
      <c r="J88" s="50" t="str">
        <f t="shared" si="90"/>
        <v/>
      </c>
      <c r="K88" s="50" t="str">
        <f t="shared" si="91"/>
        <v/>
      </c>
      <c r="L88" s="82" t="str" cm="1">
        <f t="array" ref="L88">IF(AND(OR(J88=0,J88=""),OR(K88=0,K88="")),"",_xlfn.IFS($C$21&gt;=0.0035,0.003,$C$21&lt;0.0005,0,$C$21&lt;0.0035,$C$21-0.0005))</f>
        <v/>
      </c>
      <c r="M88" s="64" t="str">
        <f t="shared" si="87"/>
        <v/>
      </c>
      <c r="N88" s="65" t="str">
        <f t="shared" si="88"/>
        <v/>
      </c>
      <c r="O88" s="66" t="str">
        <f t="shared" si="89"/>
        <v/>
      </c>
      <c r="P88" s="17">
        <v>53</v>
      </c>
      <c r="Q88" s="20" t="str">
        <f t="shared" si="69"/>
        <v/>
      </c>
      <c r="Y88" s="14"/>
      <c r="Z88" s="14"/>
      <c r="AA88" s="4"/>
      <c r="AC88" s="4"/>
    </row>
    <row r="89" spans="1:29" s="14" customFormat="1" x14ac:dyDescent="0.4">
      <c r="A89" s="98">
        <f>B84</f>
        <v>2026</v>
      </c>
      <c r="B89" s="246"/>
      <c r="C89" s="247"/>
      <c r="D89" s="51" t="s">
        <v>88</v>
      </c>
      <c r="E89" s="74" t="str">
        <f>IF(OR(G88="",G89=""),"",IF(G88+1&gt;DATE(B84,9,30),"",G88+1))</f>
        <v/>
      </c>
      <c r="F89" s="181" t="str">
        <f t="shared" si="83"/>
        <v/>
      </c>
      <c r="G89" s="100" t="str">
        <f t="shared" si="85"/>
        <v/>
      </c>
      <c r="H89" s="181" t="str">
        <f t="shared" si="83"/>
        <v/>
      </c>
      <c r="I89" s="182" t="str">
        <f t="shared" si="86"/>
        <v/>
      </c>
      <c r="J89" s="50" t="str">
        <f t="shared" si="90"/>
        <v/>
      </c>
      <c r="K89" s="50" t="str">
        <f t="shared" si="91"/>
        <v/>
      </c>
      <c r="L89" s="183" t="str" cm="1">
        <f t="array" ref="L89">IF(AND(OR(J89=0,J89=""),OR(K89=0,K89="")),"",_xlfn.IFS($C$21&gt;=0.0035,0.003,$C$21&lt;0.0005,0,$C$21&lt;0.0035,$C$21-0.0005))</f>
        <v/>
      </c>
      <c r="M89" s="200" t="str">
        <f t="shared" si="87"/>
        <v/>
      </c>
      <c r="N89" s="68" t="str">
        <f t="shared" si="88"/>
        <v/>
      </c>
      <c r="O89" s="69" t="str">
        <f t="shared" si="89"/>
        <v/>
      </c>
      <c r="P89" s="17">
        <v>54</v>
      </c>
      <c r="Q89" s="20" t="str">
        <f t="shared" si="69"/>
        <v/>
      </c>
      <c r="S89" s="3"/>
      <c r="AA89" s="4"/>
      <c r="AB89" s="3"/>
      <c r="AC89" s="4"/>
    </row>
    <row r="90" spans="1:29" s="3" customFormat="1" ht="19.5" thickBot="1" x14ac:dyDescent="0.45">
      <c r="A90" s="98">
        <f>B84</f>
        <v>2026</v>
      </c>
      <c r="B90" s="246"/>
      <c r="C90" s="247"/>
      <c r="D90" s="51" t="s">
        <v>78</v>
      </c>
      <c r="E90" s="74" t="str">
        <f>IF(OR(G89="",G90=""),"",IF(G89+1&gt;DATE(B84,9,30),"",G89+1))</f>
        <v/>
      </c>
      <c r="F90" s="52" t="str">
        <f t="shared" si="83"/>
        <v/>
      </c>
      <c r="G90" s="76" t="str">
        <f t="shared" si="85"/>
        <v/>
      </c>
      <c r="H90" s="52" t="str">
        <f t="shared" si="83"/>
        <v/>
      </c>
      <c r="I90" s="53" t="str">
        <f t="shared" si="86"/>
        <v/>
      </c>
      <c r="J90" s="50" t="str">
        <f t="shared" si="90"/>
        <v/>
      </c>
      <c r="K90" s="50" t="str">
        <f t="shared" si="91"/>
        <v/>
      </c>
      <c r="L90" s="83" t="str" cm="1">
        <f t="array" ref="L90">IF(AND(OR(J90=0,J90=""),OR(K90=0,K90="")),"",_xlfn.IFS($C$21&gt;=0.0035,0.003,$C$21&lt;0.0005,0,$C$21&lt;0.0035,$C$21-0.0005))</f>
        <v/>
      </c>
      <c r="M90" s="67" t="str">
        <f t="shared" si="87"/>
        <v/>
      </c>
      <c r="N90" s="68" t="str">
        <f t="shared" si="88"/>
        <v/>
      </c>
      <c r="O90" s="69" t="str">
        <f t="shared" si="89"/>
        <v/>
      </c>
      <c r="P90" s="17">
        <v>55</v>
      </c>
      <c r="Q90" s="21" t="str">
        <f t="shared" si="69"/>
        <v/>
      </c>
      <c r="Y90" s="14"/>
      <c r="Z90" s="14"/>
      <c r="AA90" s="4"/>
      <c r="AC90" s="4"/>
    </row>
    <row r="91" spans="1:29" s="3" customFormat="1" ht="19.5" thickBot="1" x14ac:dyDescent="0.45">
      <c r="A91" s="98">
        <f>B84</f>
        <v>2026</v>
      </c>
      <c r="B91" s="246"/>
      <c r="C91" s="157" t="s">
        <v>10</v>
      </c>
      <c r="D91" s="58"/>
      <c r="E91" s="75" cm="1">
        <f t="array" ref="E91">_xlfn.SINGLE(IF(E84:E90&lt;&gt;"",MIN(E84:E90),""))</f>
        <v>46113</v>
      </c>
      <c r="F91" s="59" t="str">
        <f t="shared" si="83"/>
        <v>水</v>
      </c>
      <c r="G91" s="75" cm="1">
        <f t="array" ref="G91">_xlfn.SINGLE(IF(G84:G90&lt;&gt;"",MAX(G84:G90),""))</f>
        <v>46295</v>
      </c>
      <c r="H91" s="59" t="str">
        <f t="shared" si="83"/>
        <v>水</v>
      </c>
      <c r="I91" s="60">
        <f>SUM(I84:I90)</f>
        <v>183</v>
      </c>
      <c r="J91" s="58"/>
      <c r="K91" s="58"/>
      <c r="L91" s="84"/>
      <c r="M91" s="70">
        <f>SUM(M84:M90)</f>
        <v>2007409</v>
      </c>
      <c r="N91" s="71"/>
      <c r="O91" s="72"/>
      <c r="P91" s="17">
        <v>56</v>
      </c>
      <c r="Q91" s="22">
        <f t="shared" si="69"/>
        <v>46295</v>
      </c>
      <c r="Y91" s="14"/>
      <c r="Z91" s="14"/>
      <c r="AA91" s="4"/>
      <c r="AB91" s="14"/>
      <c r="AC91" s="4"/>
    </row>
    <row r="92" spans="1:29" s="3" customFormat="1" x14ac:dyDescent="0.4">
      <c r="A92" s="98">
        <f>B84</f>
        <v>2026</v>
      </c>
      <c r="B92" s="246"/>
      <c r="C92" s="248" t="s">
        <v>4</v>
      </c>
      <c r="D92" s="54" t="s">
        <v>89</v>
      </c>
      <c r="E92" s="73">
        <f>IF(OR(G91="",G92=""),"",IF(G91+1&gt;DATE(B84+1,3,31),"",G91+1))</f>
        <v>46296</v>
      </c>
      <c r="F92" s="46" t="str">
        <f t="shared" si="83"/>
        <v>木</v>
      </c>
      <c r="G92" s="76">
        <f t="shared" ref="G92:G98" si="92">IF(OR(G91="",$C$19="",$C$20=""),"",IF(G91+1&gt;DATE(A84+1,3,31),"",IF($C$19="月末",IF(EOMONTH(G91,VLOOKUP($C$20,$U$35:$V$39,2,FALSE))&gt;DATE(A84+1,3,31),DATE(A84+1,3,31),EOMONTH(G91,VLOOKUP($C$20,$U$35:$V$39,2,FALSE))),IF(EOMONTH(G91,VLOOKUP($C$20,$U$35:$V$39,2,FALSE)-1)+$C$19&gt;DATE(A84+1,3,31),DATE(A84+1,3,31),EOMONTH(G91,VLOOKUP($C$20,$U$35:$V$39,2,FALSE)-1)+$C$19))))</f>
        <v>46356</v>
      </c>
      <c r="H92" s="46" t="str">
        <f t="shared" si="83"/>
        <v>月</v>
      </c>
      <c r="I92" s="47">
        <f t="shared" ref="I92:I98" si="93">IF(G92="","",DATEDIF(E92,G92,"D")+1)</f>
        <v>61</v>
      </c>
      <c r="J92" s="191" cm="1">
        <f t="array" ref="J92">_xlfn.SINGLE(IF(G92&lt;&gt;"",IF($C$5="","",IF(J84:J90&lt;&gt;"",IF(MIN(J84:J90)&lt;=0,"",IF(AND($C$19&lt;&gt;"月末",G91&lt;&gt;$C$18),IF(OR(AND(G91=DATE(A92,9,30),G91&lt;&gt;(DATE(A92,9,$C$19))),G91=DATE(A92,3,31)),MIN(J84:J90),IF(MIN(J84:J90)=$C$7,MIN(J84:J90)-$C$7,MIN(J84:J90)-$C$6)),IF(MIN(J84:J90)=$C$7,MIN(J84:J90)-$C$7,MIN(J84:J90)-$C$6))),"")),""))</f>
        <v>12650000000</v>
      </c>
      <c r="K92" s="191" cm="1">
        <f t="array" ref="K92">_xlfn.SINGLE(IF($C$12="","",IF(K84:K90&lt;&gt;"",IF(MIN(K84:K90)&lt;=0,"",IF(AND($C$19&lt;&gt;"月末",G91&lt;&gt;$C$18),IF(OR(AND(G91=DATE(A92,9,30),G91&lt;&gt;(DATE(A92,9,$C$19))),G91=DATE(A92,3,31)),MIN(K84:K90),IF(MIN(K84:K90)=$C$14,MIN(K84:K90)-$C$14,MIN(K84:K90)-$C$13)),IF(MIN(K84:K90)=$C$14,MIN(K84:K90)-$C$14,MIN(K84:K90)-$C$13))),"")))</f>
        <v>1265000000</v>
      </c>
      <c r="L92" s="85" cm="1">
        <f t="array" ref="L92">IF(AND(OR(J92=0,J92=""),OR(K92=0,K92="")),"",_xlfn.IFS($C$21&gt;=0.0035,0.003,$C$21&lt;0.0005,0,$C$21&lt;0.0035,$C$21-0.0005))</f>
        <v>3.0000000000000001E-3</v>
      </c>
      <c r="M92" s="61">
        <f t="shared" ref="M92:M98" si="94">IF(OR(G92="",K92="",K92=0),"",ROUNDDOWN(K92*(I92/365)*L92,0))</f>
        <v>634232</v>
      </c>
      <c r="N92" s="62">
        <f t="shared" ref="N92:N98" si="95">IF(OR(J92="",J92=0,$G92=""),"",IF(AND($C$19&lt;&gt;"月末",$G92&lt;&gt;$C$18),IF(OR(AND($G92=DATE($A92,9,30),$G92&lt;&gt;DATE($A92,9,$C$19)),$G92=DATE($A92+1,3,31)),"",$C$6),$C$6))</f>
        <v>350000000</v>
      </c>
      <c r="O92" s="63">
        <f>IF(OR(K92="",K92=0,$G92=""),"",IF(AND($C$19&lt;&gt;"月末",$G92&lt;&gt;$C$18),IF(OR(AND($G92=DATE($A92,9,30),$G92&lt;&gt;DATE($A92,9,$C$19)),$G92=DATE($A92+1,3,31)),"",$C$13),$C$13))</f>
        <v>35000000</v>
      </c>
      <c r="P92" s="17">
        <v>57</v>
      </c>
      <c r="Q92" s="19">
        <f t="shared" si="69"/>
        <v>46356</v>
      </c>
      <c r="R92" s="4"/>
      <c r="Y92" s="14"/>
      <c r="Z92" s="14"/>
      <c r="AA92" s="4"/>
      <c r="AC92" s="4"/>
    </row>
    <row r="93" spans="1:29" s="3" customFormat="1" x14ac:dyDescent="0.4">
      <c r="A93" s="98">
        <f>B84</f>
        <v>2026</v>
      </c>
      <c r="B93" s="246"/>
      <c r="C93" s="247"/>
      <c r="D93" s="49" t="s">
        <v>90</v>
      </c>
      <c r="E93" s="73">
        <f>IF(OR(G92="",G93=""),"",IF(G92+1&gt;DATE(B84+1,3,31),"",G92+1))</f>
        <v>46357</v>
      </c>
      <c r="F93" s="46" t="str">
        <f t="shared" si="83"/>
        <v>火</v>
      </c>
      <c r="G93" s="76">
        <f t="shared" si="92"/>
        <v>46417</v>
      </c>
      <c r="H93" s="46" t="str">
        <f t="shared" si="83"/>
        <v>土</v>
      </c>
      <c r="I93" s="47">
        <f t="shared" si="93"/>
        <v>61</v>
      </c>
      <c r="J93" s="50">
        <f>IF(OR(G93="",J92="",$C$5=""),"",IF(J92&lt;=0,"",IF(J92=$C$7,J92-$C$7,J92-$C$6)))</f>
        <v>12300000000</v>
      </c>
      <c r="K93" s="50">
        <f>IF($C$12="","",IF(G93="","",IF(G93&lt;$C$15,"",IF(K92="","",IF(K92&lt;=0,"",IF(K92=$C$14,K92-$C$14,K92-$C$13))))))</f>
        <v>1230000000</v>
      </c>
      <c r="L93" s="82" cm="1">
        <f t="array" ref="L93">IF(AND(OR(J93=0,J93=""),OR(K93=0,K93="")),"",_xlfn.IFS($C$21&gt;=0.0035,0.003,$C$21&lt;0.0005,0,$C$21&lt;0.0035,$C$21-0.0005))</f>
        <v>3.0000000000000001E-3</v>
      </c>
      <c r="M93" s="64">
        <f t="shared" si="94"/>
        <v>616684</v>
      </c>
      <c r="N93" s="65">
        <f t="shared" si="95"/>
        <v>350000000</v>
      </c>
      <c r="O93" s="66">
        <f t="shared" ref="O93:O98" si="96">IF(OR(K93="",K93=0,$G93=""),"",IF(AND($C$19&lt;&gt;"月末",$G93&lt;&gt;$C$18),IF(OR(AND($G93=DATE($A93,9,30),$G93&lt;&gt;DATE($A93,9,$C$19)),$G93=DATE($A93+1,3,31)),"",$C$13),$C$13))</f>
        <v>35000000</v>
      </c>
      <c r="P93" s="17">
        <v>58</v>
      </c>
      <c r="Q93" s="20">
        <f t="shared" si="69"/>
        <v>46417</v>
      </c>
      <c r="R93" s="4"/>
      <c r="Y93" s="14"/>
      <c r="Z93" s="14"/>
      <c r="AA93" s="4"/>
      <c r="AC93" s="4"/>
    </row>
    <row r="94" spans="1:29" s="3" customFormat="1" x14ac:dyDescent="0.4">
      <c r="A94" s="98">
        <f>B84</f>
        <v>2026</v>
      </c>
      <c r="B94" s="246"/>
      <c r="C94" s="247"/>
      <c r="D94" s="49" t="s">
        <v>91</v>
      </c>
      <c r="E94" s="73">
        <f>IF(OR(G93="",G94=""),"",IF(G93+1&gt;DATE(B84+1,3,31),"",G93+1))</f>
        <v>46418</v>
      </c>
      <c r="F94" s="46" t="str">
        <f t="shared" si="83"/>
        <v>日</v>
      </c>
      <c r="G94" s="76">
        <f t="shared" si="92"/>
        <v>46476</v>
      </c>
      <c r="H94" s="46" t="str">
        <f t="shared" si="83"/>
        <v>火</v>
      </c>
      <c r="I94" s="47">
        <f t="shared" si="93"/>
        <v>59</v>
      </c>
      <c r="J94" s="50">
        <f t="shared" ref="J94:J98" si="97">IF(OR(G94="",J93="",$C$5=""),"",IF(J93&lt;=0,"",IF(J93=$C$7,J93-$C$7,J93-$C$6)))</f>
        <v>11950000000</v>
      </c>
      <c r="K94" s="50">
        <f t="shared" ref="K94:K98" si="98">IF($C$12="","",IF(G94="","",IF(G94&lt;$C$15,"",IF(K93="","",IF(K93&lt;=0,"",IF(K93=$C$14,K93-$C$14,K93-$C$13))))))</f>
        <v>1195000000</v>
      </c>
      <c r="L94" s="82" cm="1">
        <f t="array" ref="L94">IF(AND(OR(J94=0,J94=""),OR(K94=0,K94="")),"",_xlfn.IFS($C$21&gt;=0.0035,0.003,$C$21&lt;0.0005,0,$C$21&lt;0.0035,$C$21-0.0005))</f>
        <v>3.0000000000000001E-3</v>
      </c>
      <c r="M94" s="64">
        <f t="shared" si="94"/>
        <v>579493</v>
      </c>
      <c r="N94" s="65">
        <f t="shared" si="95"/>
        <v>350000000</v>
      </c>
      <c r="O94" s="66">
        <f t="shared" si="96"/>
        <v>35000000</v>
      </c>
      <c r="P94" s="17">
        <v>59</v>
      </c>
      <c r="Q94" s="20">
        <f t="shared" si="69"/>
        <v>46476</v>
      </c>
      <c r="S94" s="14"/>
      <c r="Y94" s="14"/>
      <c r="Z94" s="14"/>
      <c r="AA94" s="4"/>
      <c r="AC94" s="4"/>
    </row>
    <row r="95" spans="1:29" s="3" customFormat="1" x14ac:dyDescent="0.4">
      <c r="A95" s="98">
        <f>B84</f>
        <v>2026</v>
      </c>
      <c r="B95" s="246"/>
      <c r="C95" s="247"/>
      <c r="D95" s="49" t="s">
        <v>92</v>
      </c>
      <c r="E95" s="73">
        <f>IF(OR(G94="",G95=""),"",IF(G94+1&gt;DATE(B84+1,3,31),"",G94+1))</f>
        <v>46477</v>
      </c>
      <c r="F95" s="46" t="str">
        <f t="shared" si="83"/>
        <v>水</v>
      </c>
      <c r="G95" s="76">
        <f t="shared" si="92"/>
        <v>46477</v>
      </c>
      <c r="H95" s="46" t="str">
        <f t="shared" si="83"/>
        <v>水</v>
      </c>
      <c r="I95" s="47">
        <f t="shared" si="93"/>
        <v>1</v>
      </c>
      <c r="J95" s="50">
        <f t="shared" si="97"/>
        <v>11600000000</v>
      </c>
      <c r="K95" s="50">
        <f t="shared" si="98"/>
        <v>1160000000</v>
      </c>
      <c r="L95" s="82" cm="1">
        <f t="array" ref="L95">IF(AND(OR(J95=0,J95=""),OR(K95=0,K95="")),"",_xlfn.IFS($C$21&gt;=0.0035,0.003,$C$21&lt;0.0005,0,$C$21&lt;0.0035,$C$21-0.0005))</f>
        <v>3.0000000000000001E-3</v>
      </c>
      <c r="M95" s="64">
        <f t="shared" si="94"/>
        <v>9534</v>
      </c>
      <c r="N95" s="65" t="str">
        <f t="shared" si="95"/>
        <v/>
      </c>
      <c r="O95" s="66" t="str">
        <f t="shared" si="96"/>
        <v/>
      </c>
      <c r="P95" s="17">
        <v>60</v>
      </c>
      <c r="Q95" s="20">
        <f t="shared" si="69"/>
        <v>46477</v>
      </c>
      <c r="Y95" s="14"/>
      <c r="Z95" s="14"/>
      <c r="AA95" s="4"/>
      <c r="AC95" s="4"/>
    </row>
    <row r="96" spans="1:29" s="3" customFormat="1" x14ac:dyDescent="0.4">
      <c r="A96" s="98">
        <f>B84</f>
        <v>2026</v>
      </c>
      <c r="B96" s="246"/>
      <c r="C96" s="247"/>
      <c r="D96" s="49" t="s">
        <v>93</v>
      </c>
      <c r="E96" s="73" t="str">
        <f>IF(OR(G95="",G96=""),"",IF(G95+1&gt;DATE(B84+1,3,31),"",G95+1))</f>
        <v/>
      </c>
      <c r="F96" s="46" t="str">
        <f t="shared" si="83"/>
        <v/>
      </c>
      <c r="G96" s="76" t="str">
        <f t="shared" si="92"/>
        <v/>
      </c>
      <c r="H96" s="46" t="str">
        <f t="shared" si="83"/>
        <v/>
      </c>
      <c r="I96" s="47" t="str">
        <f t="shared" si="93"/>
        <v/>
      </c>
      <c r="J96" s="50" t="str">
        <f t="shared" si="97"/>
        <v/>
      </c>
      <c r="K96" s="50" t="str">
        <f t="shared" si="98"/>
        <v/>
      </c>
      <c r="L96" s="82" t="str" cm="1">
        <f t="array" ref="L96">IF(AND(OR(J96=0,J96=""),OR(K96=0,K96="")),"",_xlfn.IFS($C$21&gt;=0.0035,0.003,$C$21&lt;0.0005,0,$C$21&lt;0.0035,$C$21-0.0005))</f>
        <v/>
      </c>
      <c r="M96" s="64" t="str">
        <f t="shared" si="94"/>
        <v/>
      </c>
      <c r="N96" s="65" t="str">
        <f t="shared" si="95"/>
        <v/>
      </c>
      <c r="O96" s="66" t="str">
        <f t="shared" si="96"/>
        <v/>
      </c>
      <c r="P96" s="17">
        <v>61</v>
      </c>
      <c r="Q96" s="20" t="str">
        <f t="shared" si="69"/>
        <v/>
      </c>
      <c r="Y96" s="14"/>
      <c r="Z96" s="14"/>
      <c r="AA96" s="4"/>
      <c r="AC96" s="4"/>
    </row>
    <row r="97" spans="1:29" s="14" customFormat="1" x14ac:dyDescent="0.4">
      <c r="A97" s="98">
        <f>B84</f>
        <v>2026</v>
      </c>
      <c r="B97" s="246"/>
      <c r="C97" s="247"/>
      <c r="D97" s="51" t="s">
        <v>82</v>
      </c>
      <c r="E97" s="74" t="str">
        <f>IF(OR(G96="",G97=""),"",IF(G96+1&gt;DATE(B84+1,3,31),"",G96+1))</f>
        <v/>
      </c>
      <c r="F97" s="181" t="str">
        <f t="shared" si="83"/>
        <v/>
      </c>
      <c r="G97" s="100" t="str">
        <f t="shared" si="92"/>
        <v/>
      </c>
      <c r="H97" s="181" t="str">
        <f t="shared" si="83"/>
        <v/>
      </c>
      <c r="I97" s="182" t="str">
        <f t="shared" si="93"/>
        <v/>
      </c>
      <c r="J97" s="50" t="str">
        <f t="shared" si="97"/>
        <v/>
      </c>
      <c r="K97" s="50" t="str">
        <f t="shared" si="98"/>
        <v/>
      </c>
      <c r="L97" s="183" t="str" cm="1">
        <f t="array" ref="L97">IF(AND(OR(J97=0,J97=""),OR(K97=0,K97="")),"",_xlfn.IFS($C$21&gt;=0.0035,0.003,$C$21&lt;0.0005,0,$C$21&lt;0.0035,$C$21-0.0005))</f>
        <v/>
      </c>
      <c r="M97" s="200" t="str">
        <f t="shared" si="94"/>
        <v/>
      </c>
      <c r="N97" s="68" t="str">
        <f t="shared" si="95"/>
        <v/>
      </c>
      <c r="O97" s="69" t="str">
        <f t="shared" si="96"/>
        <v/>
      </c>
      <c r="P97" s="17">
        <v>62</v>
      </c>
      <c r="Q97" s="20" t="str">
        <f t="shared" si="69"/>
        <v/>
      </c>
      <c r="S97" s="3"/>
      <c r="AA97" s="4"/>
      <c r="AB97" s="3"/>
      <c r="AC97" s="4"/>
    </row>
    <row r="98" spans="1:29" s="3" customFormat="1" ht="19.5" thickBot="1" x14ac:dyDescent="0.45">
      <c r="A98" s="98">
        <f>B84</f>
        <v>2026</v>
      </c>
      <c r="B98" s="246"/>
      <c r="C98" s="247"/>
      <c r="D98" s="51" t="s">
        <v>80</v>
      </c>
      <c r="E98" s="74" t="str">
        <f>IF(OR(G97="",G98=""),"",IF(G97+1&gt;DATE(B84+1,3,31),"",G97+1))</f>
        <v/>
      </c>
      <c r="F98" s="52" t="str">
        <f t="shared" si="83"/>
        <v/>
      </c>
      <c r="G98" s="76" t="str">
        <f t="shared" si="92"/>
        <v/>
      </c>
      <c r="H98" s="52" t="str">
        <f t="shared" si="83"/>
        <v/>
      </c>
      <c r="I98" s="53" t="str">
        <f t="shared" si="93"/>
        <v/>
      </c>
      <c r="J98" s="50" t="str">
        <f t="shared" si="97"/>
        <v/>
      </c>
      <c r="K98" s="50" t="str">
        <f t="shared" si="98"/>
        <v/>
      </c>
      <c r="L98" s="83" t="str" cm="1">
        <f t="array" ref="L98">IF(AND(OR(J98=0,J98=""),OR(K98=0,K98="")),"",_xlfn.IFS($C$21&gt;=0.0035,0.003,$C$21&lt;0.0005,0,$C$21&lt;0.0035,$C$21-0.0005))</f>
        <v/>
      </c>
      <c r="M98" s="67" t="str">
        <f t="shared" si="94"/>
        <v/>
      </c>
      <c r="N98" s="68" t="str">
        <f t="shared" si="95"/>
        <v/>
      </c>
      <c r="O98" s="69" t="str">
        <f t="shared" si="96"/>
        <v/>
      </c>
      <c r="P98" s="17">
        <v>63</v>
      </c>
      <c r="Q98" s="21" t="str">
        <f t="shared" si="69"/>
        <v/>
      </c>
      <c r="Y98" s="14"/>
      <c r="Z98" s="14"/>
      <c r="AA98" s="4"/>
      <c r="AC98" s="4"/>
    </row>
    <row r="99" spans="1:29" s="3" customFormat="1" ht="19.5" thickBot="1" x14ac:dyDescent="0.45">
      <c r="A99" s="99">
        <f>B84</f>
        <v>2026</v>
      </c>
      <c r="B99" s="234"/>
      <c r="C99" s="157" t="s">
        <v>10</v>
      </c>
      <c r="D99" s="58"/>
      <c r="E99" s="75" cm="1">
        <f t="array" ref="E99">_xlfn.SINGLE(IF(E92:E98&lt;&gt;"",MIN(E92:E98),""))</f>
        <v>46296</v>
      </c>
      <c r="F99" s="59" t="str">
        <f t="shared" si="83"/>
        <v>木</v>
      </c>
      <c r="G99" s="75" cm="1">
        <f t="array" ref="G99">_xlfn.SINGLE(IF(G92:G98&lt;&gt;"",MAX(G92:G98),""))</f>
        <v>46477</v>
      </c>
      <c r="H99" s="59" t="str">
        <f t="shared" si="83"/>
        <v>水</v>
      </c>
      <c r="I99" s="60">
        <f>SUM(I92:I98)</f>
        <v>182</v>
      </c>
      <c r="J99" s="58"/>
      <c r="K99" s="58"/>
      <c r="L99" s="84"/>
      <c r="M99" s="70">
        <f>SUM(M92:M98)</f>
        <v>1839943</v>
      </c>
      <c r="N99" s="71"/>
      <c r="O99" s="72"/>
      <c r="P99" s="17">
        <v>64</v>
      </c>
      <c r="Q99" s="22">
        <f t="shared" si="69"/>
        <v>46477</v>
      </c>
      <c r="Y99" s="14"/>
      <c r="Z99" s="14"/>
      <c r="AA99" s="4"/>
      <c r="AB99" s="14"/>
      <c r="AC99" s="4"/>
    </row>
    <row r="100" spans="1:29" s="3" customFormat="1" x14ac:dyDescent="0.4">
      <c r="A100" s="97">
        <f>B100</f>
        <v>2027</v>
      </c>
      <c r="B100" s="233">
        <f t="shared" ref="B100" si="99">B84+1</f>
        <v>2027</v>
      </c>
      <c r="C100" s="247" t="s">
        <v>3</v>
      </c>
      <c r="D100" s="45" t="s">
        <v>83</v>
      </c>
      <c r="E100" s="73">
        <f>IF(OR(G99="",G100=""),"",IF(G99+1&gt;DATE(B100,9,30),"",G99+1))</f>
        <v>46478</v>
      </c>
      <c r="F100" s="46" t="str">
        <f t="shared" si="83"/>
        <v>木</v>
      </c>
      <c r="G100" s="76">
        <f t="shared" ref="G100:G106" si="100">IF(OR(G99="",$C$19="",$C$20=""),"",IF(G99+1&gt;DATE(A100,9,30),"",IF($C$19="月末",IF(EOMONTH(G99,VLOOKUP($C$20,$U$35:$V$39,2,FALSE))&gt;DATE(A100,9,30),DATE(A100,9,30),EOMONTH(G99,VLOOKUP($C$20,$U$35:$V$39,2,FALSE))),IF(EOMONTH(G99,VLOOKUP($C$20,$U$35:$V$39,2,FALSE)-1)+$C$19&gt;DATE(A100,9,30),DATE(A100,9,30),EOMONTH(G99,VLOOKUP($C$20,$U$35:$V$39,2,FALSE)-1)+$C$19))))</f>
        <v>46537</v>
      </c>
      <c r="H100" s="46" t="str">
        <f t="shared" si="83"/>
        <v>日</v>
      </c>
      <c r="I100" s="47">
        <f t="shared" ref="I100:I106" si="101">IF(G100="","",DATEDIF(E100,G100,"D")+1)</f>
        <v>60</v>
      </c>
      <c r="J100" s="191" cm="1">
        <f t="array" ref="J100">_xlfn.SINGLE(IF(G100&lt;&gt;"",IF($C$5="","",IF(J92:J98&lt;&gt;"",IF(MIN(J92:J98)&lt;=0,"",IF(AND($C$19&lt;&gt;"月末",G99&lt;&gt;$C$18),IF(OR(AND(G99=DATE(A100,9,30),G99&lt;&gt;(DATE(A100,9,$C$19))),G99=DATE(A100,3,31)),MIN(J92:J98),IF(MIN(J92:J98)=$C$7,MIN(J92:J98)-$C$7,MIN(J92:J98)-$C$6)),IF(MIN(J92:J98)=$C$7,MIN(J92:J98)-$C$7,MIN(J92:J98)-$C$6))),"")),""))</f>
        <v>11600000000</v>
      </c>
      <c r="K100" s="191" cm="1">
        <f t="array" ref="K100">_xlfn.SINGLE(IF($C$12="","",IF(K92:K98&lt;&gt;"",IF(MIN(K92:K98)&lt;=0,"",IF(AND($C$19&lt;&gt;"月末",G99&lt;&gt;$C$18),IF(OR(AND(G99=DATE(A100,9,30),G99&lt;&gt;(DATE(A100,9,$C$19))),G99=DATE(A100,3,31)),MIN(K92:K98),IF(MIN(K92:K98)=$C$14,MIN(K92:K98)-$C$14,MIN(K92:K98)-$C$13)),IF(MIN(K92:K98)=$C$14,MIN(K92:K98)-$C$14,MIN(K92:K98)-$C$13))),"")))</f>
        <v>1160000000</v>
      </c>
      <c r="L100" s="82" cm="1">
        <f t="array" ref="L100">IF(AND(OR(J100=0,J100=""),OR(K100=0,K100="")),"",_xlfn.IFS($C$21&gt;=0.0035,0.003,$C$21&lt;0.0005,0,$C$21&lt;0.0035,$C$21-0.0005))</f>
        <v>3.0000000000000001E-3</v>
      </c>
      <c r="M100" s="61">
        <f t="shared" ref="M100:M106" si="102">IF(OR(G100="",K100="",K100=0),"",ROUNDDOWN(K100*(I100/365)*L100,0))</f>
        <v>572054</v>
      </c>
      <c r="N100" s="62">
        <f t="shared" ref="N100:N106" si="103">IF(OR(J100="",J100=0,$G100=""),"",IF(AND($C$19&lt;&gt;"月末",$G100&lt;&gt;$C$18),IF(OR(AND($G100=DATE($A100,9,30),$G100&lt;&gt;DATE($A100,9,$C$19)),$G100=DATE($A100+1,3,31)),"",$C$6),$C$6))</f>
        <v>350000000</v>
      </c>
      <c r="O100" s="63">
        <f>IF(OR(K100="",K100=0,$G100=""),"",IF(AND($C$19&lt;&gt;"月末",$G100&lt;&gt;$C$18),IF(OR(AND($G100=DATE($A100,9,30),$G100&lt;&gt;DATE($A100,9,$C$19)),$G100=DATE($A100+1,3,31)),"",$C$13),$C$13))</f>
        <v>35000000</v>
      </c>
      <c r="P100" s="17">
        <v>65</v>
      </c>
      <c r="Q100" s="19">
        <f t="shared" ref="Q100:Q131" si="104">IF(G100&lt;&gt;"",G100,"")</f>
        <v>46537</v>
      </c>
      <c r="R100" s="4"/>
      <c r="Y100" s="14"/>
      <c r="Z100" s="14"/>
      <c r="AA100" s="4"/>
      <c r="AC100" s="4"/>
    </row>
    <row r="101" spans="1:29" s="3" customFormat="1" x14ac:dyDescent="0.4">
      <c r="A101" s="98">
        <f>B100</f>
        <v>2027</v>
      </c>
      <c r="B101" s="246"/>
      <c r="C101" s="247"/>
      <c r="D101" s="49" t="s">
        <v>84</v>
      </c>
      <c r="E101" s="73">
        <f>IF(OR(G100="",G101=""),"",IF(G100+1&gt;DATE(B100,9,30),"",G100+1))</f>
        <v>46538</v>
      </c>
      <c r="F101" s="46" t="str">
        <f t="shared" si="83"/>
        <v>月</v>
      </c>
      <c r="G101" s="76">
        <f t="shared" si="100"/>
        <v>46598</v>
      </c>
      <c r="H101" s="46" t="str">
        <f t="shared" si="83"/>
        <v>金</v>
      </c>
      <c r="I101" s="47">
        <f t="shared" si="101"/>
        <v>61</v>
      </c>
      <c r="J101" s="50">
        <f>IF(OR(G101="",J100="",$C$5=""),"",IF(J100&lt;=0,"",IF(J100=$C$7,J100-$C$7,J100-$C$6)))</f>
        <v>11250000000</v>
      </c>
      <c r="K101" s="50">
        <f>IF($C$12="","",IF(G101="","",IF(G101&lt;$C$15,"",IF(K100="","",IF(K100&lt;=0,"",IF(K100=$C$14,K100-$C$14,K100-$C$13))))))</f>
        <v>1125000000</v>
      </c>
      <c r="L101" s="82" cm="1">
        <f t="array" ref="L101">IF(AND(OR(J101=0,J101=""),OR(K101=0,K101="")),"",_xlfn.IFS($C$21&gt;=0.0035,0.003,$C$21&lt;0.0005,0,$C$21&lt;0.0035,$C$21-0.0005))</f>
        <v>3.0000000000000001E-3</v>
      </c>
      <c r="M101" s="64">
        <f t="shared" si="102"/>
        <v>564041</v>
      </c>
      <c r="N101" s="65">
        <f t="shared" si="103"/>
        <v>350000000</v>
      </c>
      <c r="O101" s="66">
        <f t="shared" ref="O101:O106" si="105">IF(OR(K101="",K101=0,$G101=""),"",IF(AND($C$19&lt;&gt;"月末",$G101&lt;&gt;$C$18),IF(OR(AND($G101=DATE($A101,9,30),$G101&lt;&gt;DATE($A101,9,$C$19)),$G101=DATE($A101+1,3,31)),"",$C$13),$C$13))</f>
        <v>35000000</v>
      </c>
      <c r="P101" s="17">
        <v>66</v>
      </c>
      <c r="Q101" s="20">
        <f t="shared" si="104"/>
        <v>46598</v>
      </c>
      <c r="R101" s="4"/>
      <c r="Y101" s="14"/>
      <c r="Z101" s="14"/>
      <c r="AA101" s="4"/>
      <c r="AC101" s="4"/>
    </row>
    <row r="102" spans="1:29" s="3" customFormat="1" x14ac:dyDescent="0.4">
      <c r="A102" s="98">
        <f>B100</f>
        <v>2027</v>
      </c>
      <c r="B102" s="246"/>
      <c r="C102" s="247"/>
      <c r="D102" s="49" t="s">
        <v>85</v>
      </c>
      <c r="E102" s="73">
        <f>IF(OR(G101="",G102=""),"",IF(G101+1&gt;DATE(B100,9,30),"",G101+1))</f>
        <v>46599</v>
      </c>
      <c r="F102" s="46" t="str">
        <f t="shared" si="83"/>
        <v>土</v>
      </c>
      <c r="G102" s="76">
        <f t="shared" si="100"/>
        <v>46660</v>
      </c>
      <c r="H102" s="46" t="str">
        <f t="shared" si="83"/>
        <v>木</v>
      </c>
      <c r="I102" s="47">
        <f t="shared" si="101"/>
        <v>62</v>
      </c>
      <c r="J102" s="50">
        <f t="shared" ref="J102:J106" si="106">IF(OR(G102="",J101="",$C$5=""),"",IF(J101&lt;=0,"",IF(J101=$C$7,J101-$C$7,J101-$C$6)))</f>
        <v>10900000000</v>
      </c>
      <c r="K102" s="50">
        <f t="shared" ref="K102:K106" si="107">IF($C$12="","",IF(G102="","",IF(G102&lt;$C$15,"",IF(K101="","",IF(K101&lt;=0,"",IF(K101=$C$14,K101-$C$14,K101-$C$13))))))</f>
        <v>1090000000</v>
      </c>
      <c r="L102" s="82" cm="1">
        <f t="array" ref="L102">IF(AND(OR(J102=0,J102=""),OR(K102=0,K102="")),"",_xlfn.IFS($C$21&gt;=0.0035,0.003,$C$21&lt;0.0005,0,$C$21&lt;0.0035,$C$21-0.0005))</f>
        <v>3.0000000000000001E-3</v>
      </c>
      <c r="M102" s="64">
        <f t="shared" si="102"/>
        <v>555452</v>
      </c>
      <c r="N102" s="65">
        <f t="shared" si="103"/>
        <v>350000000</v>
      </c>
      <c r="O102" s="66">
        <f t="shared" si="105"/>
        <v>35000000</v>
      </c>
      <c r="P102" s="17">
        <v>67</v>
      </c>
      <c r="Q102" s="20">
        <f t="shared" si="104"/>
        <v>46660</v>
      </c>
      <c r="S102" s="14"/>
      <c r="Y102" s="14"/>
      <c r="Z102" s="14"/>
      <c r="AA102" s="4"/>
      <c r="AC102" s="4"/>
    </row>
    <row r="103" spans="1:29" s="3" customFormat="1" x14ac:dyDescent="0.4">
      <c r="A103" s="98">
        <f>B100</f>
        <v>2027</v>
      </c>
      <c r="B103" s="246"/>
      <c r="C103" s="247"/>
      <c r="D103" s="49" t="s">
        <v>86</v>
      </c>
      <c r="E103" s="73" t="str">
        <f>IF(OR(G102="",G103=""),"",IF(G102+1&gt;DATE(B100,9,30),"",G102+1))</f>
        <v/>
      </c>
      <c r="F103" s="46" t="str">
        <f t="shared" si="83"/>
        <v/>
      </c>
      <c r="G103" s="76" t="str">
        <f t="shared" si="100"/>
        <v/>
      </c>
      <c r="H103" s="46" t="str">
        <f t="shared" si="83"/>
        <v/>
      </c>
      <c r="I103" s="47" t="str">
        <f t="shared" si="101"/>
        <v/>
      </c>
      <c r="J103" s="50" t="str">
        <f t="shared" si="106"/>
        <v/>
      </c>
      <c r="K103" s="50" t="str">
        <f t="shared" si="107"/>
        <v/>
      </c>
      <c r="L103" s="82" t="str" cm="1">
        <f t="array" ref="L103">IF(AND(OR(J103=0,J103=""),OR(K103=0,K103="")),"",_xlfn.IFS($C$21&gt;=0.0035,0.003,$C$21&lt;0.0005,0,$C$21&lt;0.0035,$C$21-0.0005))</f>
        <v/>
      </c>
      <c r="M103" s="64" t="str">
        <f t="shared" si="102"/>
        <v/>
      </c>
      <c r="N103" s="65" t="str">
        <f t="shared" si="103"/>
        <v/>
      </c>
      <c r="O103" s="66" t="str">
        <f t="shared" si="105"/>
        <v/>
      </c>
      <c r="P103" s="17">
        <v>68</v>
      </c>
      <c r="Q103" s="20" t="str">
        <f t="shared" si="104"/>
        <v/>
      </c>
      <c r="Y103" s="14"/>
      <c r="Z103" s="14"/>
      <c r="AA103" s="4"/>
      <c r="AC103" s="4"/>
    </row>
    <row r="104" spans="1:29" s="3" customFormat="1" x14ac:dyDescent="0.4">
      <c r="A104" s="98">
        <f>B100</f>
        <v>2027</v>
      </c>
      <c r="B104" s="246"/>
      <c r="C104" s="247"/>
      <c r="D104" s="49" t="s">
        <v>87</v>
      </c>
      <c r="E104" s="73" t="str">
        <f>IF(OR(G103="",G104=""),"",IF(G103+1&gt;DATE(B100,9,30),"",G103+1))</f>
        <v/>
      </c>
      <c r="F104" s="46" t="str">
        <f t="shared" si="83"/>
        <v/>
      </c>
      <c r="G104" s="76" t="str">
        <f t="shared" si="100"/>
        <v/>
      </c>
      <c r="H104" s="46" t="str">
        <f t="shared" si="83"/>
        <v/>
      </c>
      <c r="I104" s="47" t="str">
        <f t="shared" si="101"/>
        <v/>
      </c>
      <c r="J104" s="50" t="str">
        <f t="shared" si="106"/>
        <v/>
      </c>
      <c r="K104" s="50" t="str">
        <f t="shared" si="107"/>
        <v/>
      </c>
      <c r="L104" s="82" t="str" cm="1">
        <f t="array" ref="L104">IF(AND(OR(J104=0,J104=""),OR(K104=0,K104="")),"",_xlfn.IFS($C$21&gt;=0.0035,0.003,$C$21&lt;0.0005,0,$C$21&lt;0.0035,$C$21-0.0005))</f>
        <v/>
      </c>
      <c r="M104" s="64" t="str">
        <f t="shared" si="102"/>
        <v/>
      </c>
      <c r="N104" s="65" t="str">
        <f t="shared" si="103"/>
        <v/>
      </c>
      <c r="O104" s="66" t="str">
        <f t="shared" si="105"/>
        <v/>
      </c>
      <c r="P104" s="17">
        <v>69</v>
      </c>
      <c r="Q104" s="20" t="str">
        <f t="shared" si="104"/>
        <v/>
      </c>
      <c r="Y104" s="14"/>
      <c r="Z104" s="14"/>
      <c r="AA104" s="4"/>
      <c r="AC104" s="4"/>
    </row>
    <row r="105" spans="1:29" s="14" customFormat="1" x14ac:dyDescent="0.4">
      <c r="A105" s="98">
        <f>B100</f>
        <v>2027</v>
      </c>
      <c r="B105" s="246"/>
      <c r="C105" s="247"/>
      <c r="D105" s="51" t="s">
        <v>88</v>
      </c>
      <c r="E105" s="73" t="str">
        <f>IF(OR(G104="",G105=""),"",IF(G104+1&gt;DATE(B100,9,30),"",G104+1))</f>
        <v/>
      </c>
      <c r="F105" s="181" t="str">
        <f t="shared" si="83"/>
        <v/>
      </c>
      <c r="G105" s="100" t="str">
        <f t="shared" si="100"/>
        <v/>
      </c>
      <c r="H105" s="181" t="str">
        <f t="shared" si="83"/>
        <v/>
      </c>
      <c r="I105" s="182" t="str">
        <f t="shared" si="101"/>
        <v/>
      </c>
      <c r="J105" s="50" t="str">
        <f t="shared" si="106"/>
        <v/>
      </c>
      <c r="K105" s="50" t="str">
        <f t="shared" si="107"/>
        <v/>
      </c>
      <c r="L105" s="183" t="str" cm="1">
        <f t="array" ref="L105">IF(AND(OR(J105=0,J105=""),OR(K105=0,K105="")),"",_xlfn.IFS($C$21&gt;=0.0035,0.003,$C$21&lt;0.0005,0,$C$21&lt;0.0035,$C$21-0.0005))</f>
        <v/>
      </c>
      <c r="M105" s="200" t="str">
        <f t="shared" si="102"/>
        <v/>
      </c>
      <c r="N105" s="68" t="str">
        <f t="shared" si="103"/>
        <v/>
      </c>
      <c r="O105" s="69" t="str">
        <f t="shared" si="105"/>
        <v/>
      </c>
      <c r="P105" s="17">
        <v>70</v>
      </c>
      <c r="Q105" s="20" t="str">
        <f t="shared" si="104"/>
        <v/>
      </c>
      <c r="S105" s="3"/>
      <c r="AA105" s="4"/>
      <c r="AB105" s="3"/>
      <c r="AC105" s="4"/>
    </row>
    <row r="106" spans="1:29" s="3" customFormat="1" ht="19.5" thickBot="1" x14ac:dyDescent="0.45">
      <c r="A106" s="98">
        <f>B100</f>
        <v>2027</v>
      </c>
      <c r="B106" s="246"/>
      <c r="C106" s="247"/>
      <c r="D106" s="51" t="s">
        <v>78</v>
      </c>
      <c r="E106" s="201" t="str">
        <f>IF(OR(G105="",G106=""),"",IF(G105+1&gt;DATE(B100,9,30),"",G105+1))</f>
        <v/>
      </c>
      <c r="F106" s="52" t="str">
        <f t="shared" si="83"/>
        <v/>
      </c>
      <c r="G106" s="76" t="str">
        <f t="shared" si="100"/>
        <v/>
      </c>
      <c r="H106" s="52" t="str">
        <f t="shared" si="83"/>
        <v/>
      </c>
      <c r="I106" s="53" t="str">
        <f t="shared" si="101"/>
        <v/>
      </c>
      <c r="J106" s="50" t="str">
        <f t="shared" si="106"/>
        <v/>
      </c>
      <c r="K106" s="50" t="str">
        <f t="shared" si="107"/>
        <v/>
      </c>
      <c r="L106" s="83" t="str" cm="1">
        <f t="array" ref="L106">IF(AND(OR(J106=0,J106=""),OR(K106=0,K106="")),"",_xlfn.IFS($C$21&gt;=0.0035,0.003,$C$21&lt;0.0005,0,$C$21&lt;0.0035,$C$21-0.0005))</f>
        <v/>
      </c>
      <c r="M106" s="67" t="str">
        <f t="shared" si="102"/>
        <v/>
      </c>
      <c r="N106" s="68" t="str">
        <f t="shared" si="103"/>
        <v/>
      </c>
      <c r="O106" s="69" t="str">
        <f t="shared" si="105"/>
        <v/>
      </c>
      <c r="P106" s="17">
        <v>71</v>
      </c>
      <c r="Q106" s="21" t="str">
        <f t="shared" si="104"/>
        <v/>
      </c>
      <c r="Y106" s="14"/>
      <c r="Z106" s="14"/>
      <c r="AA106" s="4"/>
      <c r="AC106" s="4"/>
    </row>
    <row r="107" spans="1:29" s="3" customFormat="1" ht="19.5" thickBot="1" x14ac:dyDescent="0.45">
      <c r="A107" s="98">
        <f>B100</f>
        <v>2027</v>
      </c>
      <c r="B107" s="246"/>
      <c r="C107" s="157" t="s">
        <v>10</v>
      </c>
      <c r="D107" s="58"/>
      <c r="E107" s="75" cm="1">
        <f t="array" ref="E107">_xlfn.SINGLE(IF(E100:E106&lt;&gt;"",MIN(E100:E106),""))</f>
        <v>46478</v>
      </c>
      <c r="F107" s="59" t="str">
        <f t="shared" si="83"/>
        <v>木</v>
      </c>
      <c r="G107" s="75" cm="1">
        <f t="array" ref="G107">_xlfn.SINGLE(IF(G100:G106&lt;&gt;"",MAX(G100:G106),""))</f>
        <v>46660</v>
      </c>
      <c r="H107" s="59" t="str">
        <f t="shared" si="83"/>
        <v>木</v>
      </c>
      <c r="I107" s="60">
        <f>SUM(I100:I106)</f>
        <v>183</v>
      </c>
      <c r="J107" s="58"/>
      <c r="K107" s="58"/>
      <c r="L107" s="84"/>
      <c r="M107" s="70">
        <f>SUM(M100:M106)</f>
        <v>1691547</v>
      </c>
      <c r="N107" s="71"/>
      <c r="O107" s="72"/>
      <c r="P107" s="17">
        <v>72</v>
      </c>
      <c r="Q107" s="22">
        <f t="shared" si="104"/>
        <v>46660</v>
      </c>
      <c r="Y107" s="14"/>
      <c r="Z107" s="14"/>
      <c r="AA107" s="4"/>
      <c r="AB107" s="14"/>
      <c r="AC107" s="4"/>
    </row>
    <row r="108" spans="1:29" s="3" customFormat="1" x14ac:dyDescent="0.4">
      <c r="A108" s="98">
        <f>B100</f>
        <v>2027</v>
      </c>
      <c r="B108" s="246"/>
      <c r="C108" s="248" t="s">
        <v>4</v>
      </c>
      <c r="D108" s="54" t="s">
        <v>89</v>
      </c>
      <c r="E108" s="73">
        <f>IF(OR(G107="",G108=""),"",IF(G107+1&gt;DATE(B100+1,3,31),"",G107+1))</f>
        <v>46661</v>
      </c>
      <c r="F108" s="46" t="str">
        <f t="shared" si="83"/>
        <v>金</v>
      </c>
      <c r="G108" s="76">
        <f t="shared" ref="G108:G114" si="108">IF(OR(G107="",$C$19="",$C$20=""),"",IF(G107+1&gt;DATE(A100+1,3,31),"",IF($C$19="月末",IF(EOMONTH(G107,VLOOKUP($C$20,$U$35:$V$39,2,FALSE))&gt;DATE(A100+1,3,31),DATE(A100+1,3,31),EOMONTH(G107,VLOOKUP($C$20,$U$35:$V$39,2,FALSE))),IF(EOMONTH(G107,VLOOKUP($C$20,$U$35:$V$39,2,FALSE)-1)+$C$19&gt;DATE(A100+1,3,31),DATE(A100+1,3,31),EOMONTH(G107,VLOOKUP($C$20,$U$35:$V$39,2,FALSE)-1)+$C$19))))</f>
        <v>46721</v>
      </c>
      <c r="H108" s="46" t="str">
        <f t="shared" si="83"/>
        <v>火</v>
      </c>
      <c r="I108" s="47">
        <f t="shared" ref="I108:I114" si="109">IF(G108="","",DATEDIF(E108,G108,"D")+1)</f>
        <v>61</v>
      </c>
      <c r="J108" s="191" cm="1">
        <f t="array" ref="J108">_xlfn.SINGLE(IF(G108&lt;&gt;"",IF($C$5="","",IF(J100:J106&lt;&gt;"",IF(MIN(J100:J106)&lt;=0,"",IF(AND($C$19&lt;&gt;"月末",G107&lt;&gt;$C$18),IF(OR(AND(G107=DATE(A108,9,30),G107&lt;&gt;(DATE(A108,9,$C$19))),G107=DATE(A108,3,31)),MIN(J100:J106),IF(MIN(J100:J106)=$C$7,MIN(J100:J106)-$C$7,MIN(J100:J106)-$C$6)),IF(MIN(J100:J106)=$C$7,MIN(J100:J106)-$C$7,MIN(J100:J106)-$C$6))),"")),""))</f>
        <v>10550000000</v>
      </c>
      <c r="K108" s="191" cm="1">
        <f t="array" ref="K108">_xlfn.SINGLE(IF($C$12="","",IF(K100:K106&lt;&gt;"",IF(MIN(K100:K106)&lt;=0,"",IF(AND($C$19&lt;&gt;"月末",G107&lt;&gt;$C$18),IF(OR(AND(G107=DATE(A108,9,30),G107&lt;&gt;(DATE(A108,9,$C$19))),G107=DATE(A108,3,31)),MIN(K100:K106),IF(MIN(K100:K106)=$C$14,MIN(K100:K106)-$C$14,MIN(K100:K106)-$C$13)),IF(MIN(K100:K106)=$C$14,MIN(K100:K106)-$C$14,MIN(K100:K106)-$C$13))),"")))</f>
        <v>1055000000</v>
      </c>
      <c r="L108" s="85" cm="1">
        <f t="array" ref="L108">IF(AND(OR(J108=0,J108=""),OR(K108=0,K108="")),"",_xlfn.IFS($C$21&gt;=0.0035,0.003,$C$21&lt;0.0005,0,$C$21&lt;0.0035,$C$21-0.0005))</f>
        <v>3.0000000000000001E-3</v>
      </c>
      <c r="M108" s="61">
        <f t="shared" ref="M108:M114" si="110">IF(OR(G108="",K108="",K108=0),"",ROUNDDOWN(K108*(I108/365)*L108,0))</f>
        <v>528945</v>
      </c>
      <c r="N108" s="62">
        <f t="shared" ref="N108:N114" si="111">IF(OR(J108="",J108=0,$G108=""),"",IF(AND($C$19&lt;&gt;"月末",$G108&lt;&gt;$C$18),IF(OR(AND($G108=DATE($A108,9,30),$G108&lt;&gt;DATE($A108,9,$C$19)),$G108=DATE($A108+1,3,31)),"",$C$6),$C$6))</f>
        <v>350000000</v>
      </c>
      <c r="O108" s="63">
        <f>IF(OR(K108="",K108=0,$G108=""),"",IF(AND($C$19&lt;&gt;"月末",$G108&lt;&gt;$C$18),IF(OR(AND($G108=DATE($A108,9,30),$G108&lt;&gt;DATE($A108,9,$C$19)),$G108=DATE($A108+1,3,31)),"",$C$13),$C$13))</f>
        <v>35000000</v>
      </c>
      <c r="P108" s="17">
        <v>73</v>
      </c>
      <c r="Q108" s="19">
        <f t="shared" si="104"/>
        <v>46721</v>
      </c>
      <c r="R108" s="4"/>
      <c r="Y108" s="14"/>
      <c r="Z108" s="14"/>
      <c r="AA108" s="4"/>
      <c r="AC108" s="4"/>
    </row>
    <row r="109" spans="1:29" s="3" customFormat="1" x14ac:dyDescent="0.4">
      <c r="A109" s="98">
        <f>B100</f>
        <v>2027</v>
      </c>
      <c r="B109" s="246"/>
      <c r="C109" s="247"/>
      <c r="D109" s="49" t="s">
        <v>90</v>
      </c>
      <c r="E109" s="73">
        <f>IF(OR(G108="",G109=""),"",IF(G108+1&gt;DATE(B100+1,3,31),"",G108+1))</f>
        <v>46722</v>
      </c>
      <c r="F109" s="46" t="str">
        <f t="shared" si="83"/>
        <v>水</v>
      </c>
      <c r="G109" s="76">
        <f t="shared" si="108"/>
        <v>46782</v>
      </c>
      <c r="H109" s="46" t="str">
        <f t="shared" si="83"/>
        <v>日</v>
      </c>
      <c r="I109" s="47">
        <f t="shared" si="109"/>
        <v>61</v>
      </c>
      <c r="J109" s="50">
        <f>IF(OR(G109="",J108="",$C$5=""),"",IF(J108&lt;=0,"",IF(J108=$C$7,J108-$C$7,J108-$C$6)))</f>
        <v>10200000000</v>
      </c>
      <c r="K109" s="50">
        <f>IF($C$12="","",IF(G109="","",IF(G109&lt;$C$15,"",IF(K108="","",IF(K108&lt;=0,"",IF(K108=$C$14,K108-$C$14,K108-$C$13))))))</f>
        <v>1020000000</v>
      </c>
      <c r="L109" s="82" cm="1">
        <f t="array" ref="L109">IF(AND(OR(J109=0,J109=""),OR(K109=0,K109="")),"",_xlfn.IFS($C$21&gt;=0.0035,0.003,$C$21&lt;0.0005,0,$C$21&lt;0.0035,$C$21-0.0005))</f>
        <v>3.0000000000000001E-3</v>
      </c>
      <c r="M109" s="64">
        <f t="shared" si="110"/>
        <v>511397</v>
      </c>
      <c r="N109" s="65">
        <f t="shared" si="111"/>
        <v>350000000</v>
      </c>
      <c r="O109" s="66">
        <f t="shared" ref="O109:O114" si="112">IF(OR(K109="",K109=0,$G109=""),"",IF(AND($C$19&lt;&gt;"月末",$G109&lt;&gt;$C$18),IF(OR(AND($G109=DATE($A109,9,30),$G109&lt;&gt;DATE($A109,9,$C$19)),$G109=DATE($A109+1,3,31)),"",$C$13),$C$13))</f>
        <v>35000000</v>
      </c>
      <c r="P109" s="17">
        <v>74</v>
      </c>
      <c r="Q109" s="20">
        <f t="shared" si="104"/>
        <v>46782</v>
      </c>
      <c r="R109" s="4"/>
      <c r="Y109" s="14"/>
      <c r="Z109" s="14"/>
      <c r="AA109" s="4"/>
      <c r="AC109" s="4"/>
    </row>
    <row r="110" spans="1:29" s="3" customFormat="1" x14ac:dyDescent="0.4">
      <c r="A110" s="98">
        <f>B100</f>
        <v>2027</v>
      </c>
      <c r="B110" s="246"/>
      <c r="C110" s="247"/>
      <c r="D110" s="49" t="s">
        <v>91</v>
      </c>
      <c r="E110" s="73">
        <f>IF(OR(G109="",G110=""),"",IF(G109+1&gt;DATE(B100+1,3,31),"",G109+1))</f>
        <v>46783</v>
      </c>
      <c r="F110" s="46" t="str">
        <f t="shared" si="83"/>
        <v>月</v>
      </c>
      <c r="G110" s="76">
        <f t="shared" si="108"/>
        <v>46842</v>
      </c>
      <c r="H110" s="46" t="str">
        <f t="shared" si="83"/>
        <v>木</v>
      </c>
      <c r="I110" s="47">
        <f t="shared" si="109"/>
        <v>60</v>
      </c>
      <c r="J110" s="50">
        <f t="shared" ref="J110:J114" si="113">IF(OR(G110="",J109="",$C$5=""),"",IF(J109&lt;=0,"",IF(J109=$C$7,J109-$C$7,J109-$C$6)))</f>
        <v>9850000000</v>
      </c>
      <c r="K110" s="50">
        <f t="shared" ref="K110:K114" si="114">IF($C$12="","",IF(G110="","",IF(G110&lt;$C$15,"",IF(K109="","",IF(K109&lt;=0,"",IF(K109=$C$14,K109-$C$14,K109-$C$13))))))</f>
        <v>985000000</v>
      </c>
      <c r="L110" s="82" cm="1">
        <f t="array" ref="L110">IF(AND(OR(J110=0,J110=""),OR(K110=0,K110="")),"",_xlfn.IFS($C$21&gt;=0.0035,0.003,$C$21&lt;0.0005,0,$C$21&lt;0.0035,$C$21-0.0005))</f>
        <v>3.0000000000000001E-3</v>
      </c>
      <c r="M110" s="64">
        <f t="shared" si="110"/>
        <v>485753</v>
      </c>
      <c r="N110" s="65">
        <f t="shared" si="111"/>
        <v>350000000</v>
      </c>
      <c r="O110" s="66">
        <f t="shared" si="112"/>
        <v>35000000</v>
      </c>
      <c r="P110" s="17">
        <v>75</v>
      </c>
      <c r="Q110" s="20">
        <f t="shared" si="104"/>
        <v>46842</v>
      </c>
      <c r="S110" s="14"/>
      <c r="Y110" s="14"/>
      <c r="Z110" s="14"/>
      <c r="AA110" s="4"/>
      <c r="AC110" s="4"/>
    </row>
    <row r="111" spans="1:29" s="3" customFormat="1" x14ac:dyDescent="0.4">
      <c r="A111" s="98">
        <f>B100</f>
        <v>2027</v>
      </c>
      <c r="B111" s="246"/>
      <c r="C111" s="247"/>
      <c r="D111" s="49" t="s">
        <v>92</v>
      </c>
      <c r="E111" s="73">
        <f>IF(OR(G110="",G111=""),"",IF(G110+1&gt;DATE(B100+1,3,31),"",G110+1))</f>
        <v>46843</v>
      </c>
      <c r="F111" s="46" t="str">
        <f t="shared" si="83"/>
        <v>金</v>
      </c>
      <c r="G111" s="76">
        <f t="shared" si="108"/>
        <v>46843</v>
      </c>
      <c r="H111" s="46" t="str">
        <f t="shared" si="83"/>
        <v>金</v>
      </c>
      <c r="I111" s="47">
        <f t="shared" si="109"/>
        <v>1</v>
      </c>
      <c r="J111" s="50">
        <f t="shared" si="113"/>
        <v>9500000000</v>
      </c>
      <c r="K111" s="50">
        <f t="shared" si="114"/>
        <v>950000000</v>
      </c>
      <c r="L111" s="82" cm="1">
        <f t="array" ref="L111">IF(AND(OR(J111=0,J111=""),OR(K111=0,K111="")),"",_xlfn.IFS($C$21&gt;=0.0035,0.003,$C$21&lt;0.0005,0,$C$21&lt;0.0035,$C$21-0.0005))</f>
        <v>3.0000000000000001E-3</v>
      </c>
      <c r="M111" s="64">
        <f t="shared" si="110"/>
        <v>7808</v>
      </c>
      <c r="N111" s="65" t="str">
        <f t="shared" si="111"/>
        <v/>
      </c>
      <c r="O111" s="66" t="str">
        <f t="shared" si="112"/>
        <v/>
      </c>
      <c r="P111" s="17">
        <v>76</v>
      </c>
      <c r="Q111" s="20">
        <f t="shared" si="104"/>
        <v>46843</v>
      </c>
      <c r="Y111" s="14"/>
      <c r="Z111" s="14"/>
      <c r="AA111" s="4"/>
      <c r="AC111" s="4"/>
    </row>
    <row r="112" spans="1:29" s="3" customFormat="1" x14ac:dyDescent="0.4">
      <c r="A112" s="98">
        <f>B100</f>
        <v>2027</v>
      </c>
      <c r="B112" s="246"/>
      <c r="C112" s="247"/>
      <c r="D112" s="49" t="s">
        <v>93</v>
      </c>
      <c r="E112" s="73" t="str">
        <f>IF(OR(G111="",G112=""),"",IF(G111+1&gt;DATE(B100+1,3,31),"",G111+1))</f>
        <v/>
      </c>
      <c r="F112" s="46" t="str">
        <f t="shared" si="83"/>
        <v/>
      </c>
      <c r="G112" s="76" t="str">
        <f t="shared" si="108"/>
        <v/>
      </c>
      <c r="H112" s="46" t="str">
        <f t="shared" si="83"/>
        <v/>
      </c>
      <c r="I112" s="47" t="str">
        <f t="shared" si="109"/>
        <v/>
      </c>
      <c r="J112" s="50" t="str">
        <f t="shared" si="113"/>
        <v/>
      </c>
      <c r="K112" s="50" t="str">
        <f t="shared" si="114"/>
        <v/>
      </c>
      <c r="L112" s="82" t="str" cm="1">
        <f t="array" ref="L112">IF(AND(OR(J112=0,J112=""),OR(K112=0,K112="")),"",_xlfn.IFS($C$21&gt;=0.0035,0.003,$C$21&lt;0.0005,0,$C$21&lt;0.0035,$C$21-0.0005))</f>
        <v/>
      </c>
      <c r="M112" s="64" t="str">
        <f t="shared" si="110"/>
        <v/>
      </c>
      <c r="N112" s="65" t="str">
        <f t="shared" si="111"/>
        <v/>
      </c>
      <c r="O112" s="66" t="str">
        <f t="shared" si="112"/>
        <v/>
      </c>
      <c r="P112" s="17">
        <v>77</v>
      </c>
      <c r="Q112" s="20" t="str">
        <f t="shared" si="104"/>
        <v/>
      </c>
      <c r="Y112" s="14"/>
      <c r="Z112" s="14"/>
      <c r="AA112" s="4"/>
      <c r="AC112" s="4"/>
    </row>
    <row r="113" spans="1:29" s="14" customFormat="1" x14ac:dyDescent="0.4">
      <c r="A113" s="98">
        <f>B100</f>
        <v>2027</v>
      </c>
      <c r="B113" s="246"/>
      <c r="C113" s="247"/>
      <c r="D113" s="51" t="s">
        <v>82</v>
      </c>
      <c r="E113" s="74" t="str">
        <f>IF(OR(G112="",G113=""),"",IF(G112+1&gt;DATE(B100+1,3,31),"",G112+1))</f>
        <v/>
      </c>
      <c r="F113" s="181" t="str">
        <f t="shared" si="83"/>
        <v/>
      </c>
      <c r="G113" s="100" t="str">
        <f t="shared" si="108"/>
        <v/>
      </c>
      <c r="H113" s="181" t="str">
        <f t="shared" si="83"/>
        <v/>
      </c>
      <c r="I113" s="182" t="str">
        <f t="shared" si="109"/>
        <v/>
      </c>
      <c r="J113" s="50" t="str">
        <f t="shared" si="113"/>
        <v/>
      </c>
      <c r="K113" s="50" t="str">
        <f t="shared" si="114"/>
        <v/>
      </c>
      <c r="L113" s="183" t="str" cm="1">
        <f t="array" ref="L113">IF(AND(OR(J113=0,J113=""),OR(K113=0,K113="")),"",_xlfn.IFS($C$21&gt;=0.0035,0.003,$C$21&lt;0.0005,0,$C$21&lt;0.0035,$C$21-0.0005))</f>
        <v/>
      </c>
      <c r="M113" s="200" t="str">
        <f t="shared" si="110"/>
        <v/>
      </c>
      <c r="N113" s="68" t="str">
        <f t="shared" si="111"/>
        <v/>
      </c>
      <c r="O113" s="69" t="str">
        <f t="shared" si="112"/>
        <v/>
      </c>
      <c r="P113" s="17">
        <v>78</v>
      </c>
      <c r="Q113" s="20" t="str">
        <f t="shared" si="104"/>
        <v/>
      </c>
      <c r="S113" s="3"/>
      <c r="AA113" s="4"/>
      <c r="AB113" s="3"/>
      <c r="AC113" s="4"/>
    </row>
    <row r="114" spans="1:29" s="3" customFormat="1" ht="19.5" thickBot="1" x14ac:dyDescent="0.45">
      <c r="A114" s="98">
        <f>B100</f>
        <v>2027</v>
      </c>
      <c r="B114" s="246"/>
      <c r="C114" s="247"/>
      <c r="D114" s="51" t="s">
        <v>80</v>
      </c>
      <c r="E114" s="74" t="str">
        <f>IF(OR(G113="",G114=""),"",IF(G113+1&gt;DATE(B100+1,3,31),"",G113+1))</f>
        <v/>
      </c>
      <c r="F114" s="52" t="str">
        <f t="shared" si="83"/>
        <v/>
      </c>
      <c r="G114" s="76" t="str">
        <f t="shared" si="108"/>
        <v/>
      </c>
      <c r="H114" s="52" t="str">
        <f t="shared" si="83"/>
        <v/>
      </c>
      <c r="I114" s="53" t="str">
        <f t="shared" si="109"/>
        <v/>
      </c>
      <c r="J114" s="50" t="str">
        <f t="shared" si="113"/>
        <v/>
      </c>
      <c r="K114" s="50" t="str">
        <f t="shared" si="114"/>
        <v/>
      </c>
      <c r="L114" s="83" t="str" cm="1">
        <f t="array" ref="L114">IF(AND(OR(J114=0,J114=""),OR(K114=0,K114="")),"",_xlfn.IFS($C$21&gt;=0.0035,0.003,$C$21&lt;0.0005,0,$C$21&lt;0.0035,$C$21-0.0005))</f>
        <v/>
      </c>
      <c r="M114" s="67" t="str">
        <f t="shared" si="110"/>
        <v/>
      </c>
      <c r="N114" s="68" t="str">
        <f t="shared" si="111"/>
        <v/>
      </c>
      <c r="O114" s="69" t="str">
        <f t="shared" si="112"/>
        <v/>
      </c>
      <c r="P114" s="17">
        <v>79</v>
      </c>
      <c r="Q114" s="21" t="str">
        <f t="shared" si="104"/>
        <v/>
      </c>
      <c r="Y114" s="14"/>
      <c r="Z114" s="14"/>
      <c r="AA114" s="4"/>
      <c r="AC114" s="4"/>
    </row>
    <row r="115" spans="1:29" s="3" customFormat="1" ht="19.5" thickBot="1" x14ac:dyDescent="0.45">
      <c r="A115" s="99">
        <f>B100</f>
        <v>2027</v>
      </c>
      <c r="B115" s="234"/>
      <c r="C115" s="157" t="s">
        <v>10</v>
      </c>
      <c r="D115" s="58"/>
      <c r="E115" s="75" cm="1">
        <f t="array" ref="E115">_xlfn.SINGLE(IF(E108:E114&lt;&gt;"",MIN(E108:E114),""))</f>
        <v>46661</v>
      </c>
      <c r="F115" s="59" t="str">
        <f t="shared" si="83"/>
        <v>金</v>
      </c>
      <c r="G115" s="75" cm="1">
        <f t="array" ref="G115">_xlfn.SINGLE(IF(G108:G114&lt;&gt;"",MAX(G108:G114),""))</f>
        <v>46843</v>
      </c>
      <c r="H115" s="59" t="str">
        <f t="shared" si="83"/>
        <v>金</v>
      </c>
      <c r="I115" s="60">
        <f>SUM(I108:I114)</f>
        <v>183</v>
      </c>
      <c r="J115" s="58"/>
      <c r="K115" s="58"/>
      <c r="L115" s="84"/>
      <c r="M115" s="70">
        <f>SUM(M108:M114)</f>
        <v>1533903</v>
      </c>
      <c r="N115" s="71"/>
      <c r="O115" s="72"/>
      <c r="P115" s="17">
        <v>80</v>
      </c>
      <c r="Q115" s="22">
        <f t="shared" si="104"/>
        <v>46843</v>
      </c>
      <c r="Y115" s="14"/>
      <c r="Z115" s="14"/>
      <c r="AA115" s="4"/>
      <c r="AB115" s="14"/>
      <c r="AC115" s="4"/>
    </row>
    <row r="116" spans="1:29" s="3" customFormat="1" x14ac:dyDescent="0.4">
      <c r="A116" s="97">
        <f>B116</f>
        <v>2028</v>
      </c>
      <c r="B116" s="233">
        <f t="shared" ref="B116" si="115">B100+1</f>
        <v>2028</v>
      </c>
      <c r="C116" s="247" t="s">
        <v>3</v>
      </c>
      <c r="D116" s="45" t="s">
        <v>83</v>
      </c>
      <c r="E116" s="73">
        <f>IF(OR(G115="",G116=""),"",IF(G115+1&gt;DATE(B116,9,30),"",G115+1))</f>
        <v>46844</v>
      </c>
      <c r="F116" s="46" t="str">
        <f t="shared" si="83"/>
        <v>土</v>
      </c>
      <c r="G116" s="76">
        <f t="shared" ref="G116:G122" si="116">IF(OR(G115="",$C$19="",$C$20=""),"",IF(G115+1&gt;DATE(A116,9,30),"",IF($C$19="月末",IF(EOMONTH(G115,VLOOKUP($C$20,$U$35:$V$39,2,FALSE))&gt;DATE(A116,9,30),DATE(A116,9,30),EOMONTH(G115,VLOOKUP($C$20,$U$35:$V$39,2,FALSE))),IF(EOMONTH(G115,VLOOKUP($C$20,$U$35:$V$39,2,FALSE)-1)+$C$19&gt;DATE(A116,9,30),DATE(A116,9,30),EOMONTH(G115,VLOOKUP($C$20,$U$35:$V$39,2,FALSE)-1)+$C$19))))</f>
        <v>46903</v>
      </c>
      <c r="H116" s="46" t="str">
        <f t="shared" si="83"/>
        <v>火</v>
      </c>
      <c r="I116" s="47">
        <f t="shared" ref="I116:I122" si="117">IF(G116="","",DATEDIF(E116,G116,"D")+1)</f>
        <v>60</v>
      </c>
      <c r="J116" s="191" cm="1">
        <f t="array" ref="J116">_xlfn.SINGLE(IF(G116&lt;&gt;"",IF($C$5="","",IF(J108:J114&lt;&gt;"",IF(MIN(J108:J114)&lt;=0,"",IF(AND($C$19&lt;&gt;"月末",G115&lt;&gt;$C$18),IF(OR(AND(G115=DATE(A116,9,30),G115&lt;&gt;(DATE(A116,9,$C$19))),G115=DATE(A116,3,31)),MIN(J108:J114),IF(MIN(J108:J114)=$C$7,MIN(J108:J114)-$C$7,MIN(J108:J114)-$C$6)),IF(MIN(J108:J114)=$C$7,MIN(J108:J114)-$C$7,MIN(J108:J114)-$C$6))),"")),""))</f>
        <v>9500000000</v>
      </c>
      <c r="K116" s="191" cm="1">
        <f t="array" ref="K116">_xlfn.SINGLE(IF($C$12="","",IF(K108:K114&lt;&gt;"",IF(MIN(K108:K114)&lt;=0,"",IF(AND($C$19&lt;&gt;"月末",G115&lt;&gt;$C$18),IF(OR(AND(G115=DATE(A116,9,30),G115&lt;&gt;(DATE(A116,9,$C$19))),G115=DATE(A116,3,31)),MIN(K108:K114),IF(MIN(K108:K114)=$C$14,MIN(K108:K114)-$C$14,MIN(K108:K114)-$C$13)),IF(MIN(K108:K114)=$C$14,MIN(K108:K114)-$C$14,MIN(K108:K114)-$C$13))),"")))</f>
        <v>950000000</v>
      </c>
      <c r="L116" s="82" cm="1">
        <f t="array" ref="L116">IF(AND(OR(J116=0,J116=""),OR(K116=0,K116="")),"",_xlfn.IFS($C$21&gt;=0.0035,0.003,$C$21&lt;0.0005,0,$C$21&lt;0.0035,$C$21-0.0005))</f>
        <v>3.0000000000000001E-3</v>
      </c>
      <c r="M116" s="61">
        <f t="shared" ref="M116:M122" si="118">IF(OR(G116="",K116="",K116=0),"",ROUNDDOWN(K116*(I116/365)*L116,0))</f>
        <v>468493</v>
      </c>
      <c r="N116" s="62">
        <f t="shared" ref="N116:N122" si="119">IF(OR(J116="",J116=0,$G116=""),"",IF(AND($C$19&lt;&gt;"月末",$G116&lt;&gt;$C$18),IF(OR(AND($G116=DATE($A116,9,30),$G116&lt;&gt;DATE($A116,9,$C$19)),$G116=DATE($A116+1,3,31)),"",$C$6),$C$6))</f>
        <v>350000000</v>
      </c>
      <c r="O116" s="63">
        <f>IF(OR(K116="",K116=0,$G116=""),"",IF(AND($C$19&lt;&gt;"月末",$G116&lt;&gt;$C$18),IF(OR(AND($G116=DATE($A116,9,30),$G116&lt;&gt;DATE($A116,9,$C$19)),$G116=DATE($A116+1,3,31)),"",$C$13),$C$13))</f>
        <v>35000000</v>
      </c>
      <c r="P116" s="17">
        <v>81</v>
      </c>
      <c r="Q116" s="19">
        <f t="shared" si="104"/>
        <v>46903</v>
      </c>
      <c r="R116" s="4"/>
      <c r="Y116" s="14"/>
      <c r="Z116" s="14"/>
      <c r="AA116" s="4"/>
      <c r="AC116" s="4"/>
    </row>
    <row r="117" spans="1:29" s="3" customFormat="1" x14ac:dyDescent="0.4">
      <c r="A117" s="98">
        <f>B116</f>
        <v>2028</v>
      </c>
      <c r="B117" s="246"/>
      <c r="C117" s="247"/>
      <c r="D117" s="49" t="s">
        <v>84</v>
      </c>
      <c r="E117" s="73">
        <f>IF(OR(G116="",G117=""),"",IF(G116+1&gt;DATE(B116,9,30),"",G116+1))</f>
        <v>46904</v>
      </c>
      <c r="F117" s="46" t="str">
        <f t="shared" si="83"/>
        <v>水</v>
      </c>
      <c r="G117" s="76">
        <f t="shared" si="116"/>
        <v>46964</v>
      </c>
      <c r="H117" s="46" t="str">
        <f t="shared" si="83"/>
        <v>日</v>
      </c>
      <c r="I117" s="47">
        <f t="shared" si="117"/>
        <v>61</v>
      </c>
      <c r="J117" s="50">
        <f>IF(OR(G117="",J116="",$C$5=""),"",IF(J116&lt;=0,"",IF(J116=$C$7,J116-$C$7,J116-$C$6)))</f>
        <v>9150000000</v>
      </c>
      <c r="K117" s="50">
        <f>IF($C$12="","",IF(G117="","",IF(G117&lt;$C$15,"",IF(K116="","",IF(K116&lt;=0,"",IF(K116=$C$14,K116-$C$14,K116-$C$13))))))</f>
        <v>915000000</v>
      </c>
      <c r="L117" s="82" cm="1">
        <f t="array" ref="L117">IF(AND(OR(J117=0,J117=""),OR(K117=0,K117="")),"",_xlfn.IFS($C$21&gt;=0.0035,0.003,$C$21&lt;0.0005,0,$C$21&lt;0.0035,$C$21-0.0005))</f>
        <v>3.0000000000000001E-3</v>
      </c>
      <c r="M117" s="64">
        <f t="shared" si="118"/>
        <v>458753</v>
      </c>
      <c r="N117" s="65">
        <f t="shared" si="119"/>
        <v>350000000</v>
      </c>
      <c r="O117" s="66">
        <f t="shared" ref="O117:O122" si="120">IF(OR(K117="",K117=0,$G117=""),"",IF(AND($C$19&lt;&gt;"月末",$G117&lt;&gt;$C$18),IF(OR(AND($G117=DATE($A117,9,30),$G117&lt;&gt;DATE($A117,9,$C$19)),$G117=DATE($A117+1,3,31)),"",$C$13),$C$13))</f>
        <v>35000000</v>
      </c>
      <c r="P117" s="17">
        <v>82</v>
      </c>
      <c r="Q117" s="20">
        <f t="shared" si="104"/>
        <v>46964</v>
      </c>
      <c r="R117" s="4"/>
      <c r="Y117" s="14"/>
      <c r="Z117" s="14"/>
      <c r="AA117" s="4"/>
      <c r="AC117" s="4"/>
    </row>
    <row r="118" spans="1:29" s="3" customFormat="1" x14ac:dyDescent="0.4">
      <c r="A118" s="98">
        <f>B116</f>
        <v>2028</v>
      </c>
      <c r="B118" s="246"/>
      <c r="C118" s="247"/>
      <c r="D118" s="49" t="s">
        <v>85</v>
      </c>
      <c r="E118" s="73">
        <f>IF(OR(G117="",G118=""),"",IF(G117+1&gt;DATE(B116,9,30),"",G117+1))</f>
        <v>46965</v>
      </c>
      <c r="F118" s="46" t="str">
        <f t="shared" si="83"/>
        <v>月</v>
      </c>
      <c r="G118" s="76">
        <f t="shared" si="116"/>
        <v>47026</v>
      </c>
      <c r="H118" s="46" t="str">
        <f t="shared" si="83"/>
        <v>土</v>
      </c>
      <c r="I118" s="47">
        <f t="shared" si="117"/>
        <v>62</v>
      </c>
      <c r="J118" s="50">
        <f t="shared" ref="J118:J122" si="121">IF(OR(G118="",J117="",$C$5=""),"",IF(J117&lt;=0,"",IF(J117=$C$7,J117-$C$7,J117-$C$6)))</f>
        <v>8800000000</v>
      </c>
      <c r="K118" s="50">
        <f t="shared" ref="K118:K122" si="122">IF($C$12="","",IF(G118="","",IF(G118&lt;$C$15,"",IF(K117="","",IF(K117&lt;=0,"",IF(K117=$C$14,K117-$C$14,K117-$C$13))))))</f>
        <v>880000000</v>
      </c>
      <c r="L118" s="82" cm="1">
        <f t="array" ref="L118">IF(AND(OR(J118=0,J118=""),OR(K118=0,K118="")),"",_xlfn.IFS($C$21&gt;=0.0035,0.003,$C$21&lt;0.0005,0,$C$21&lt;0.0035,$C$21-0.0005))</f>
        <v>3.0000000000000001E-3</v>
      </c>
      <c r="M118" s="64">
        <f t="shared" si="118"/>
        <v>448438</v>
      </c>
      <c r="N118" s="65">
        <f t="shared" si="119"/>
        <v>350000000</v>
      </c>
      <c r="O118" s="66">
        <f t="shared" si="120"/>
        <v>35000000</v>
      </c>
      <c r="P118" s="17">
        <v>83</v>
      </c>
      <c r="Q118" s="20">
        <f t="shared" si="104"/>
        <v>47026</v>
      </c>
      <c r="S118" s="14"/>
      <c r="Y118" s="14"/>
      <c r="Z118" s="14"/>
      <c r="AA118" s="4"/>
      <c r="AC118" s="4"/>
    </row>
    <row r="119" spans="1:29" s="3" customFormat="1" x14ac:dyDescent="0.4">
      <c r="A119" s="98">
        <f>B116</f>
        <v>2028</v>
      </c>
      <c r="B119" s="246"/>
      <c r="C119" s="247"/>
      <c r="D119" s="49" t="s">
        <v>86</v>
      </c>
      <c r="E119" s="73" t="str">
        <f>IF(OR(G118="",G119=""),"",IF(G118+1&gt;DATE(B116,9,30),"",G118+1))</f>
        <v/>
      </c>
      <c r="F119" s="46" t="str">
        <f t="shared" si="83"/>
        <v/>
      </c>
      <c r="G119" s="76" t="str">
        <f t="shared" si="116"/>
        <v/>
      </c>
      <c r="H119" s="46" t="str">
        <f t="shared" si="83"/>
        <v/>
      </c>
      <c r="I119" s="47" t="str">
        <f t="shared" si="117"/>
        <v/>
      </c>
      <c r="J119" s="50" t="str">
        <f t="shared" si="121"/>
        <v/>
      </c>
      <c r="K119" s="50" t="str">
        <f t="shared" si="122"/>
        <v/>
      </c>
      <c r="L119" s="82" t="str" cm="1">
        <f t="array" ref="L119">IF(AND(OR(J119=0,J119=""),OR(K119=0,K119="")),"",_xlfn.IFS($C$21&gt;=0.0035,0.003,$C$21&lt;0.0005,0,$C$21&lt;0.0035,$C$21-0.0005))</f>
        <v/>
      </c>
      <c r="M119" s="64" t="str">
        <f t="shared" si="118"/>
        <v/>
      </c>
      <c r="N119" s="65" t="str">
        <f t="shared" si="119"/>
        <v/>
      </c>
      <c r="O119" s="66" t="str">
        <f t="shared" si="120"/>
        <v/>
      </c>
      <c r="P119" s="17">
        <v>84</v>
      </c>
      <c r="Q119" s="20" t="str">
        <f t="shared" si="104"/>
        <v/>
      </c>
      <c r="Y119" s="14"/>
      <c r="Z119" s="14"/>
      <c r="AA119" s="4"/>
      <c r="AC119" s="4"/>
    </row>
    <row r="120" spans="1:29" s="3" customFormat="1" x14ac:dyDescent="0.4">
      <c r="A120" s="98">
        <f>B116</f>
        <v>2028</v>
      </c>
      <c r="B120" s="246"/>
      <c r="C120" s="247"/>
      <c r="D120" s="49" t="s">
        <v>87</v>
      </c>
      <c r="E120" s="73" t="str">
        <f>IF(OR(G119="",G120=""),"",IF(G119+1&gt;DATE(B116,9,30),"",G119+1))</f>
        <v/>
      </c>
      <c r="F120" s="46" t="str">
        <f t="shared" si="83"/>
        <v/>
      </c>
      <c r="G120" s="76" t="str">
        <f t="shared" si="116"/>
        <v/>
      </c>
      <c r="H120" s="46" t="str">
        <f t="shared" si="83"/>
        <v/>
      </c>
      <c r="I120" s="47" t="str">
        <f t="shared" si="117"/>
        <v/>
      </c>
      <c r="J120" s="50" t="str">
        <f t="shared" si="121"/>
        <v/>
      </c>
      <c r="K120" s="50" t="str">
        <f t="shared" si="122"/>
        <v/>
      </c>
      <c r="L120" s="82" t="str" cm="1">
        <f t="array" ref="L120">IF(AND(OR(J120=0,J120=""),OR(K120=0,K120="")),"",_xlfn.IFS($C$21&gt;=0.0035,0.003,$C$21&lt;0.0005,0,$C$21&lt;0.0035,$C$21-0.0005))</f>
        <v/>
      </c>
      <c r="M120" s="64" t="str">
        <f t="shared" si="118"/>
        <v/>
      </c>
      <c r="N120" s="65" t="str">
        <f t="shared" si="119"/>
        <v/>
      </c>
      <c r="O120" s="66" t="str">
        <f t="shared" si="120"/>
        <v/>
      </c>
      <c r="P120" s="17">
        <v>85</v>
      </c>
      <c r="Q120" s="20" t="str">
        <f t="shared" si="104"/>
        <v/>
      </c>
      <c r="Y120" s="14"/>
      <c r="Z120" s="14"/>
      <c r="AA120" s="4"/>
      <c r="AC120" s="4"/>
    </row>
    <row r="121" spans="1:29" s="14" customFormat="1" x14ac:dyDescent="0.4">
      <c r="A121" s="98">
        <f>B116</f>
        <v>2028</v>
      </c>
      <c r="B121" s="246"/>
      <c r="C121" s="247"/>
      <c r="D121" s="51" t="s">
        <v>88</v>
      </c>
      <c r="E121" s="74" t="str">
        <f>IF(OR(G120="",G121=""),"",IF(G120+1&gt;DATE(B116,9,30),"",G120+1))</f>
        <v/>
      </c>
      <c r="F121" s="181" t="str">
        <f t="shared" si="83"/>
        <v/>
      </c>
      <c r="G121" s="100" t="str">
        <f t="shared" si="116"/>
        <v/>
      </c>
      <c r="H121" s="181" t="str">
        <f t="shared" si="83"/>
        <v/>
      </c>
      <c r="I121" s="182" t="str">
        <f t="shared" si="117"/>
        <v/>
      </c>
      <c r="J121" s="50" t="str">
        <f t="shared" si="121"/>
        <v/>
      </c>
      <c r="K121" s="50" t="str">
        <f t="shared" si="122"/>
        <v/>
      </c>
      <c r="L121" s="183" t="str" cm="1">
        <f t="array" ref="L121">IF(AND(OR(J121=0,J121=""),OR(K121=0,K121="")),"",_xlfn.IFS($C$21&gt;=0.0035,0.003,$C$21&lt;0.0005,0,$C$21&lt;0.0035,$C$21-0.0005))</f>
        <v/>
      </c>
      <c r="M121" s="200" t="str">
        <f t="shared" si="118"/>
        <v/>
      </c>
      <c r="N121" s="68" t="str">
        <f t="shared" si="119"/>
        <v/>
      </c>
      <c r="O121" s="69" t="str">
        <f t="shared" si="120"/>
        <v/>
      </c>
      <c r="P121" s="17">
        <v>86</v>
      </c>
      <c r="Q121" s="20" t="str">
        <f t="shared" si="104"/>
        <v/>
      </c>
      <c r="S121" s="3"/>
      <c r="AA121" s="4"/>
      <c r="AB121" s="3"/>
      <c r="AC121" s="4"/>
    </row>
    <row r="122" spans="1:29" s="3" customFormat="1" ht="19.5" thickBot="1" x14ac:dyDescent="0.45">
      <c r="A122" s="98">
        <f>B116</f>
        <v>2028</v>
      </c>
      <c r="B122" s="246"/>
      <c r="C122" s="247"/>
      <c r="D122" s="51" t="s">
        <v>78</v>
      </c>
      <c r="E122" s="74" t="str">
        <f>IF(OR(G121="",G122=""),"",IF(G121+1&gt;DATE(B116,9,30),"",G121+1))</f>
        <v/>
      </c>
      <c r="F122" s="52" t="str">
        <f t="shared" si="83"/>
        <v/>
      </c>
      <c r="G122" s="76" t="str">
        <f t="shared" si="116"/>
        <v/>
      </c>
      <c r="H122" s="52" t="str">
        <f t="shared" si="83"/>
        <v/>
      </c>
      <c r="I122" s="53" t="str">
        <f t="shared" si="117"/>
        <v/>
      </c>
      <c r="J122" s="50" t="str">
        <f t="shared" si="121"/>
        <v/>
      </c>
      <c r="K122" s="50" t="str">
        <f t="shared" si="122"/>
        <v/>
      </c>
      <c r="L122" s="83" t="str" cm="1">
        <f t="array" ref="L122">IF(AND(OR(J122=0,J122=""),OR(K122=0,K122="")),"",_xlfn.IFS($C$21&gt;=0.0035,0.003,$C$21&lt;0.0005,0,$C$21&lt;0.0035,$C$21-0.0005))</f>
        <v/>
      </c>
      <c r="M122" s="67" t="str">
        <f t="shared" si="118"/>
        <v/>
      </c>
      <c r="N122" s="68" t="str">
        <f t="shared" si="119"/>
        <v/>
      </c>
      <c r="O122" s="69" t="str">
        <f t="shared" si="120"/>
        <v/>
      </c>
      <c r="P122" s="17">
        <v>87</v>
      </c>
      <c r="Q122" s="21" t="str">
        <f t="shared" si="104"/>
        <v/>
      </c>
      <c r="Y122" s="14"/>
      <c r="Z122" s="14"/>
      <c r="AA122" s="4"/>
      <c r="AC122" s="4"/>
    </row>
    <row r="123" spans="1:29" s="3" customFormat="1" ht="19.5" thickBot="1" x14ac:dyDescent="0.45">
      <c r="A123" s="98">
        <f>B116</f>
        <v>2028</v>
      </c>
      <c r="B123" s="246"/>
      <c r="C123" s="157" t="s">
        <v>10</v>
      </c>
      <c r="D123" s="58"/>
      <c r="E123" s="75" cm="1">
        <f t="array" ref="E123">_xlfn.SINGLE(IF(E116:E122&lt;&gt;"",MIN(E116:E122),""))</f>
        <v>46844</v>
      </c>
      <c r="F123" s="59" t="str">
        <f t="shared" si="83"/>
        <v>土</v>
      </c>
      <c r="G123" s="75" cm="1">
        <f t="array" ref="G123">_xlfn.SINGLE(IF(G116:G122&lt;&gt;"",MAX(G116:G122),""))</f>
        <v>47026</v>
      </c>
      <c r="H123" s="59" t="str">
        <f t="shared" si="83"/>
        <v>土</v>
      </c>
      <c r="I123" s="60">
        <f>SUM(I116:I122)</f>
        <v>183</v>
      </c>
      <c r="J123" s="58"/>
      <c r="K123" s="58"/>
      <c r="L123" s="84"/>
      <c r="M123" s="70">
        <f>SUM(M116:M122)</f>
        <v>1375684</v>
      </c>
      <c r="N123" s="71"/>
      <c r="O123" s="72"/>
      <c r="P123" s="17">
        <v>88</v>
      </c>
      <c r="Q123" s="22">
        <f t="shared" si="104"/>
        <v>47026</v>
      </c>
      <c r="Y123" s="14"/>
      <c r="Z123" s="14"/>
      <c r="AA123" s="4"/>
      <c r="AB123" s="14"/>
      <c r="AC123" s="4"/>
    </row>
    <row r="124" spans="1:29" s="3" customFormat="1" x14ac:dyDescent="0.4">
      <c r="A124" s="98">
        <f>B116</f>
        <v>2028</v>
      </c>
      <c r="B124" s="246"/>
      <c r="C124" s="248" t="s">
        <v>4</v>
      </c>
      <c r="D124" s="54" t="s">
        <v>89</v>
      </c>
      <c r="E124" s="73">
        <f>IF(OR(G123="",G124=""),"",IF(G123+1&gt;DATE(B116+1,3,31),"",G123+1))</f>
        <v>47027</v>
      </c>
      <c r="F124" s="46" t="str">
        <f t="shared" si="83"/>
        <v>日</v>
      </c>
      <c r="G124" s="76">
        <f t="shared" ref="G124:G130" si="123">IF(OR(G123="",$C$19="",$C$20=""),"",IF(G123+1&gt;DATE(A116+1,3,31),"",IF($C$19="月末",IF(EOMONTH(G123,VLOOKUP($C$20,$U$35:$V$39,2,FALSE))&gt;DATE(A116+1,3,31),DATE(A116+1,3,31),EOMONTH(G123,VLOOKUP($C$20,$U$35:$V$39,2,FALSE))),IF(EOMONTH(G123,VLOOKUP($C$20,$U$35:$V$39,2,FALSE)-1)+$C$19&gt;DATE(A116+1,3,31),DATE(A116+1,3,31),EOMONTH(G123,VLOOKUP($C$20,$U$35:$V$39,2,FALSE)-1)+$C$19))))</f>
        <v>47087</v>
      </c>
      <c r="H124" s="46" t="str">
        <f t="shared" si="83"/>
        <v>木</v>
      </c>
      <c r="I124" s="47">
        <f t="shared" ref="I124:I130" si="124">IF(G124="","",DATEDIF(E124,G124,"D")+1)</f>
        <v>61</v>
      </c>
      <c r="J124" s="191" cm="1">
        <f t="array" ref="J124">_xlfn.SINGLE(IF(G124&lt;&gt;"",IF($C$5="","",IF(J116:J122&lt;&gt;"",IF(MIN(J116:J122)&lt;=0,"",IF(AND($C$19&lt;&gt;"月末",G123&lt;&gt;$C$18),IF(OR(AND(G123=DATE(A124,9,30),G123&lt;&gt;(DATE(A124,9,$C$19))),G123=DATE(A124,3,31)),MIN(J116:J122),IF(MIN(J116:J122)=$C$7,MIN(J116:J122)-$C$7,MIN(J116:J122)-$C$6)),IF(MIN(J116:J122)=$C$7,MIN(J116:J122)-$C$7,MIN(J116:J122)-$C$6))),"")),""))</f>
        <v>8450000000</v>
      </c>
      <c r="K124" s="191" cm="1">
        <f t="array" ref="K124">_xlfn.SINGLE(IF($C$12="","",IF(K116:K122&lt;&gt;"",IF(MIN(K116:K122)&lt;=0,"",IF(AND($C$19&lt;&gt;"月末",G123&lt;&gt;$C$18),IF(OR(AND(G123=DATE(A124,9,30),G123&lt;&gt;(DATE(A124,9,$C$19))),G123=DATE(A124,3,31)),MIN(K116:K122),IF(MIN(K116:K122)=$C$14,MIN(K116:K122)-$C$14,MIN(K116:K122)-$C$13)),IF(MIN(K116:K122)=$C$14,MIN(K116:K122)-$C$14,MIN(K116:K122)-$C$13))),"")))</f>
        <v>845000000</v>
      </c>
      <c r="L124" s="85" cm="1">
        <f t="array" ref="L124">IF(AND(OR(J124=0,J124=""),OR(K124=0,K124="")),"",_xlfn.IFS($C$21&gt;=0.0035,0.003,$C$21&lt;0.0005,0,$C$21&lt;0.0035,$C$21-0.0005))</f>
        <v>3.0000000000000001E-3</v>
      </c>
      <c r="M124" s="61">
        <f t="shared" ref="M124:M130" si="125">IF(OR(G124="",K124="",K124=0),"",ROUNDDOWN(K124*(I124/365)*L124,0))</f>
        <v>423657</v>
      </c>
      <c r="N124" s="62">
        <f t="shared" ref="N124:N130" si="126">IF(OR(J124="",J124=0,$G124=""),"",IF(AND($C$19&lt;&gt;"月末",$G124&lt;&gt;$C$18),IF(OR(AND($G124=DATE($A124,9,30),$G124&lt;&gt;DATE($A124,9,$C$19)),$G124=DATE($A124+1,3,31)),"",$C$6),$C$6))</f>
        <v>350000000</v>
      </c>
      <c r="O124" s="63">
        <f>IF(OR(K124="",K124=0,$G124=""),"",IF(AND($C$19&lt;&gt;"月末",$G124&lt;&gt;$C$18),IF(OR(AND($G124=DATE($A124,9,30),$G124&lt;&gt;DATE($A124,9,$C$19)),$G124=DATE($A124+1,3,31)),"",$C$13),$C$13))</f>
        <v>35000000</v>
      </c>
      <c r="P124" s="17">
        <v>89</v>
      </c>
      <c r="Q124" s="19">
        <f t="shared" si="104"/>
        <v>47087</v>
      </c>
      <c r="R124" s="4"/>
      <c r="Y124" s="14"/>
      <c r="Z124" s="14"/>
      <c r="AA124" s="4"/>
      <c r="AC124" s="4"/>
    </row>
    <row r="125" spans="1:29" s="3" customFormat="1" x14ac:dyDescent="0.4">
      <c r="A125" s="98">
        <f>B116</f>
        <v>2028</v>
      </c>
      <c r="B125" s="246"/>
      <c r="C125" s="247"/>
      <c r="D125" s="49" t="s">
        <v>90</v>
      </c>
      <c r="E125" s="73">
        <f>IF(OR(G124="",G125=""),"",IF(G124+1&gt;DATE(B116+1,3,31),"",G124+1))</f>
        <v>47088</v>
      </c>
      <c r="F125" s="46" t="str">
        <f t="shared" si="83"/>
        <v>金</v>
      </c>
      <c r="G125" s="76">
        <f t="shared" si="123"/>
        <v>47148</v>
      </c>
      <c r="H125" s="46" t="str">
        <f t="shared" si="83"/>
        <v>火</v>
      </c>
      <c r="I125" s="47">
        <f t="shared" si="124"/>
        <v>61</v>
      </c>
      <c r="J125" s="50">
        <f>IF(OR(G125="",J124="",$C$5=""),"",IF(J124&lt;=0,"",IF(J124=$C$7,J124-$C$7,J124-$C$6)))</f>
        <v>8100000000</v>
      </c>
      <c r="K125" s="50">
        <f>IF($C$12="","",IF(G125="","",IF(G125&lt;$C$15,"",IF(K124="","",IF(K124&lt;=0,"",IF(K124=$C$14,K124-$C$14,K124-$C$13))))))</f>
        <v>810000000</v>
      </c>
      <c r="L125" s="82" cm="1">
        <f t="array" ref="L125">IF(AND(OR(J125=0,J125=""),OR(K125=0,K125="")),"",_xlfn.IFS($C$21&gt;=0.0035,0.003,$C$21&lt;0.0005,0,$C$21&lt;0.0035,$C$21-0.0005))</f>
        <v>3.0000000000000001E-3</v>
      </c>
      <c r="M125" s="64">
        <f t="shared" si="125"/>
        <v>406109</v>
      </c>
      <c r="N125" s="65">
        <f t="shared" si="126"/>
        <v>350000000</v>
      </c>
      <c r="O125" s="66">
        <f t="shared" ref="O125:O130" si="127">IF(OR(K125="",K125=0,$G125=""),"",IF(AND($C$19&lt;&gt;"月末",$G125&lt;&gt;$C$18),IF(OR(AND($G125=DATE($A125,9,30),$G125&lt;&gt;DATE($A125,9,$C$19)),$G125=DATE($A125+1,3,31)),"",$C$13),$C$13))</f>
        <v>35000000</v>
      </c>
      <c r="P125" s="17">
        <v>90</v>
      </c>
      <c r="Q125" s="20">
        <f t="shared" si="104"/>
        <v>47148</v>
      </c>
      <c r="R125" s="4"/>
      <c r="Y125" s="14"/>
      <c r="Z125" s="14"/>
      <c r="AA125" s="4"/>
      <c r="AC125" s="4"/>
    </row>
    <row r="126" spans="1:29" s="3" customFormat="1" x14ac:dyDescent="0.4">
      <c r="A126" s="98">
        <f>B116</f>
        <v>2028</v>
      </c>
      <c r="B126" s="246"/>
      <c r="C126" s="247"/>
      <c r="D126" s="49" t="s">
        <v>91</v>
      </c>
      <c r="E126" s="73">
        <f>IF(OR(G125="",G126=""),"",IF(G125+1&gt;DATE(B116+1,3,31),"",G125+1))</f>
        <v>47149</v>
      </c>
      <c r="F126" s="46" t="str">
        <f t="shared" si="83"/>
        <v>水</v>
      </c>
      <c r="G126" s="76">
        <f t="shared" si="123"/>
        <v>47207</v>
      </c>
      <c r="H126" s="46" t="str">
        <f t="shared" si="83"/>
        <v>金</v>
      </c>
      <c r="I126" s="47">
        <f t="shared" si="124"/>
        <v>59</v>
      </c>
      <c r="J126" s="50">
        <f t="shared" ref="J126:J130" si="128">IF(OR(G126="",J125="",$C$5=""),"",IF(J125&lt;=0,"",IF(J125=$C$7,J125-$C$7,J125-$C$6)))</f>
        <v>7750000000</v>
      </c>
      <c r="K126" s="50">
        <f t="shared" ref="K126:K130" si="129">IF($C$12="","",IF(G126="","",IF(G126&lt;$C$15,"",IF(K125="","",IF(K125&lt;=0,"",IF(K125=$C$14,K125-$C$14,K125-$C$13))))))</f>
        <v>775000000</v>
      </c>
      <c r="L126" s="82" cm="1">
        <f t="array" ref="L126">IF(AND(OR(J126=0,J126=""),OR(K126=0,K126="")),"",_xlfn.IFS($C$21&gt;=0.0035,0.003,$C$21&lt;0.0005,0,$C$21&lt;0.0035,$C$21-0.0005))</f>
        <v>3.0000000000000001E-3</v>
      </c>
      <c r="M126" s="64">
        <f t="shared" si="125"/>
        <v>375821</v>
      </c>
      <c r="N126" s="65">
        <f t="shared" si="126"/>
        <v>350000000</v>
      </c>
      <c r="O126" s="66">
        <f t="shared" si="127"/>
        <v>35000000</v>
      </c>
      <c r="P126" s="17">
        <v>91</v>
      </c>
      <c r="Q126" s="20">
        <f t="shared" si="104"/>
        <v>47207</v>
      </c>
      <c r="S126" s="14"/>
      <c r="Y126" s="14"/>
      <c r="Z126" s="14"/>
      <c r="AA126" s="4"/>
      <c r="AC126" s="4"/>
    </row>
    <row r="127" spans="1:29" s="3" customFormat="1" x14ac:dyDescent="0.4">
      <c r="A127" s="98">
        <f>B116</f>
        <v>2028</v>
      </c>
      <c r="B127" s="246"/>
      <c r="C127" s="247"/>
      <c r="D127" s="49" t="s">
        <v>92</v>
      </c>
      <c r="E127" s="73">
        <f>IF(OR(G126="",G127=""),"",IF(G126+1&gt;DATE(B116+1,3,31),"",G126+1))</f>
        <v>47208</v>
      </c>
      <c r="F127" s="46" t="str">
        <f t="shared" si="83"/>
        <v>土</v>
      </c>
      <c r="G127" s="76">
        <f t="shared" si="123"/>
        <v>47208</v>
      </c>
      <c r="H127" s="46" t="str">
        <f t="shared" si="83"/>
        <v>土</v>
      </c>
      <c r="I127" s="47">
        <f t="shared" si="124"/>
        <v>1</v>
      </c>
      <c r="J127" s="50">
        <f t="shared" si="128"/>
        <v>7400000000</v>
      </c>
      <c r="K127" s="50">
        <f t="shared" si="129"/>
        <v>740000000</v>
      </c>
      <c r="L127" s="82" cm="1">
        <f t="array" ref="L127">IF(AND(OR(J127=0,J127=""),OR(K127=0,K127="")),"",_xlfn.IFS($C$21&gt;=0.0035,0.003,$C$21&lt;0.0005,0,$C$21&lt;0.0035,$C$21-0.0005))</f>
        <v>3.0000000000000001E-3</v>
      </c>
      <c r="M127" s="64">
        <f t="shared" si="125"/>
        <v>6082</v>
      </c>
      <c r="N127" s="65" t="str">
        <f t="shared" si="126"/>
        <v/>
      </c>
      <c r="O127" s="66" t="str">
        <f t="shared" si="127"/>
        <v/>
      </c>
      <c r="P127" s="17">
        <v>92</v>
      </c>
      <c r="Q127" s="20">
        <f t="shared" si="104"/>
        <v>47208</v>
      </c>
      <c r="Y127" s="14"/>
      <c r="Z127" s="14"/>
      <c r="AA127" s="4"/>
      <c r="AC127" s="4"/>
    </row>
    <row r="128" spans="1:29" s="3" customFormat="1" x14ac:dyDescent="0.4">
      <c r="A128" s="98">
        <f>B116</f>
        <v>2028</v>
      </c>
      <c r="B128" s="246"/>
      <c r="C128" s="247"/>
      <c r="D128" s="49" t="s">
        <v>93</v>
      </c>
      <c r="E128" s="73" t="str">
        <f>IF(OR(G127="",G128=""),"",IF(G127+1&gt;DATE(B116+1,3,31),"",G127+1))</f>
        <v/>
      </c>
      <c r="F128" s="46" t="str">
        <f t="shared" si="83"/>
        <v/>
      </c>
      <c r="G128" s="76" t="str">
        <f t="shared" si="123"/>
        <v/>
      </c>
      <c r="H128" s="46" t="str">
        <f t="shared" si="83"/>
        <v/>
      </c>
      <c r="I128" s="47" t="str">
        <f t="shared" si="124"/>
        <v/>
      </c>
      <c r="J128" s="50" t="str">
        <f t="shared" si="128"/>
        <v/>
      </c>
      <c r="K128" s="50" t="str">
        <f t="shared" si="129"/>
        <v/>
      </c>
      <c r="L128" s="82" t="str" cm="1">
        <f t="array" ref="L128">IF(AND(OR(J128=0,J128=""),OR(K128=0,K128="")),"",_xlfn.IFS($C$21&gt;=0.0035,0.003,$C$21&lt;0.0005,0,$C$21&lt;0.0035,$C$21-0.0005))</f>
        <v/>
      </c>
      <c r="M128" s="64" t="str">
        <f t="shared" si="125"/>
        <v/>
      </c>
      <c r="N128" s="65" t="str">
        <f t="shared" si="126"/>
        <v/>
      </c>
      <c r="O128" s="66" t="str">
        <f t="shared" si="127"/>
        <v/>
      </c>
      <c r="P128" s="17">
        <v>93</v>
      </c>
      <c r="Q128" s="20" t="str">
        <f t="shared" si="104"/>
        <v/>
      </c>
      <c r="Y128" s="14"/>
      <c r="Z128" s="14"/>
      <c r="AA128" s="4"/>
      <c r="AC128" s="4"/>
    </row>
    <row r="129" spans="1:29" s="14" customFormat="1" x14ac:dyDescent="0.4">
      <c r="A129" s="98">
        <f>B116</f>
        <v>2028</v>
      </c>
      <c r="B129" s="246"/>
      <c r="C129" s="247"/>
      <c r="D129" s="51" t="s">
        <v>82</v>
      </c>
      <c r="E129" s="74" t="str">
        <f>IF(OR(G128="",G129=""),"",IF(G128+1&gt;DATE(B116+1,3,31),"",G128+1))</f>
        <v/>
      </c>
      <c r="F129" s="181" t="str">
        <f t="shared" si="83"/>
        <v/>
      </c>
      <c r="G129" s="100" t="str">
        <f t="shared" si="123"/>
        <v/>
      </c>
      <c r="H129" s="181" t="str">
        <f t="shared" si="83"/>
        <v/>
      </c>
      <c r="I129" s="182" t="str">
        <f t="shared" si="124"/>
        <v/>
      </c>
      <c r="J129" s="50" t="str">
        <f t="shared" si="128"/>
        <v/>
      </c>
      <c r="K129" s="50" t="str">
        <f t="shared" si="129"/>
        <v/>
      </c>
      <c r="L129" s="183" t="str" cm="1">
        <f t="array" ref="L129">IF(AND(OR(J129=0,J129=""),OR(K129=0,K129="")),"",_xlfn.IFS($C$21&gt;=0.0035,0.003,$C$21&lt;0.0005,0,$C$21&lt;0.0035,$C$21-0.0005))</f>
        <v/>
      </c>
      <c r="M129" s="200" t="str">
        <f t="shared" si="125"/>
        <v/>
      </c>
      <c r="N129" s="68" t="str">
        <f t="shared" si="126"/>
        <v/>
      </c>
      <c r="O129" s="69" t="str">
        <f t="shared" si="127"/>
        <v/>
      </c>
      <c r="P129" s="17">
        <v>94</v>
      </c>
      <c r="Q129" s="20" t="str">
        <f t="shared" si="104"/>
        <v/>
      </c>
      <c r="S129" s="3"/>
      <c r="AA129" s="4"/>
      <c r="AB129" s="3"/>
      <c r="AC129" s="4"/>
    </row>
    <row r="130" spans="1:29" s="3" customFormat="1" ht="19.5" thickBot="1" x14ac:dyDescent="0.45">
      <c r="A130" s="98">
        <f>B116</f>
        <v>2028</v>
      </c>
      <c r="B130" s="246"/>
      <c r="C130" s="247"/>
      <c r="D130" s="51" t="s">
        <v>80</v>
      </c>
      <c r="E130" s="74" t="str">
        <f>IF(OR(G129="",G130=""),"",IF(G129+1&gt;DATE(B116+1,3,31),"",G129+1))</f>
        <v/>
      </c>
      <c r="F130" s="52" t="str">
        <f t="shared" si="83"/>
        <v/>
      </c>
      <c r="G130" s="76" t="str">
        <f t="shared" si="123"/>
        <v/>
      </c>
      <c r="H130" s="52" t="str">
        <f t="shared" si="83"/>
        <v/>
      </c>
      <c r="I130" s="53" t="str">
        <f t="shared" si="124"/>
        <v/>
      </c>
      <c r="J130" s="50" t="str">
        <f t="shared" si="128"/>
        <v/>
      </c>
      <c r="K130" s="50" t="str">
        <f t="shared" si="129"/>
        <v/>
      </c>
      <c r="L130" s="83" t="str" cm="1">
        <f t="array" ref="L130">IF(AND(OR(J130=0,J130=""),OR(K130=0,K130="")),"",_xlfn.IFS($C$21&gt;=0.0035,0.003,$C$21&lt;0.0005,0,$C$21&lt;0.0035,$C$21-0.0005))</f>
        <v/>
      </c>
      <c r="M130" s="67" t="str">
        <f t="shared" si="125"/>
        <v/>
      </c>
      <c r="N130" s="68" t="str">
        <f t="shared" si="126"/>
        <v/>
      </c>
      <c r="O130" s="69" t="str">
        <f t="shared" si="127"/>
        <v/>
      </c>
      <c r="P130" s="17">
        <v>95</v>
      </c>
      <c r="Q130" s="21" t="str">
        <f t="shared" si="104"/>
        <v/>
      </c>
      <c r="Y130" s="14"/>
      <c r="Z130" s="14"/>
      <c r="AA130" s="4"/>
      <c r="AC130" s="4"/>
    </row>
    <row r="131" spans="1:29" s="3" customFormat="1" ht="19.5" thickBot="1" x14ac:dyDescent="0.45">
      <c r="A131" s="99">
        <f>B116</f>
        <v>2028</v>
      </c>
      <c r="B131" s="234"/>
      <c r="C131" s="157" t="s">
        <v>10</v>
      </c>
      <c r="D131" s="58"/>
      <c r="E131" s="75" cm="1">
        <f t="array" ref="E131">_xlfn.SINGLE(IF(E124:E130&lt;&gt;"",MIN(E124:E130),""))</f>
        <v>47027</v>
      </c>
      <c r="F131" s="59" t="str">
        <f t="shared" si="83"/>
        <v>日</v>
      </c>
      <c r="G131" s="75" cm="1">
        <f t="array" ref="G131">_xlfn.SINGLE(IF(G124:G130&lt;&gt;"",MAX(G124:G130),""))</f>
        <v>47208</v>
      </c>
      <c r="H131" s="59" t="str">
        <f t="shared" si="83"/>
        <v>土</v>
      </c>
      <c r="I131" s="60">
        <f>SUM(I124:I130)</f>
        <v>182</v>
      </c>
      <c r="J131" s="58"/>
      <c r="K131" s="58"/>
      <c r="L131" s="84"/>
      <c r="M131" s="70">
        <f>SUM(M124:M130)</f>
        <v>1211669</v>
      </c>
      <c r="N131" s="71"/>
      <c r="O131" s="72"/>
      <c r="P131" s="17">
        <v>96</v>
      </c>
      <c r="Q131" s="22">
        <f t="shared" si="104"/>
        <v>47208</v>
      </c>
      <c r="Y131" s="14"/>
      <c r="Z131" s="14"/>
      <c r="AA131" s="4"/>
      <c r="AB131" s="14"/>
      <c r="AC131" s="4"/>
    </row>
    <row r="132" spans="1:29" s="3" customFormat="1" x14ac:dyDescent="0.4">
      <c r="A132" s="97">
        <f>B132</f>
        <v>2029</v>
      </c>
      <c r="B132" s="233">
        <f t="shared" ref="B132" si="130">B116+1</f>
        <v>2029</v>
      </c>
      <c r="C132" s="247" t="s">
        <v>3</v>
      </c>
      <c r="D132" s="45" t="s">
        <v>83</v>
      </c>
      <c r="E132" s="73">
        <f>IF(OR(G131="",G132=""),"",IF(G131+1&gt;DATE(B132,9,30),"",G131+1))</f>
        <v>47209</v>
      </c>
      <c r="F132" s="46" t="str">
        <f t="shared" si="83"/>
        <v>日</v>
      </c>
      <c r="G132" s="76">
        <f t="shared" ref="G132:G138" si="131">IF(OR(G131="",$C$19="",$C$20=""),"",IF(G131+1&gt;DATE(A132,9,30),"",IF($C$19="月末",IF(EOMONTH(G131,VLOOKUP($C$20,$U$35:$V$39,2,FALSE))&gt;DATE(A132,9,30),DATE(A132,9,30),EOMONTH(G131,VLOOKUP($C$20,$U$35:$V$39,2,FALSE))),IF(EOMONTH(G131,VLOOKUP($C$20,$U$35:$V$39,2,FALSE)-1)+$C$19&gt;DATE(A132,9,30),DATE(A132,9,30),EOMONTH(G131,VLOOKUP($C$20,$U$35:$V$39,2,FALSE)-1)+$C$19))))</f>
        <v>47268</v>
      </c>
      <c r="H132" s="46" t="str">
        <f t="shared" si="83"/>
        <v>水</v>
      </c>
      <c r="I132" s="47">
        <f t="shared" ref="I132:I138" si="132">IF(G132="","",DATEDIF(E132,G132,"D")+1)</f>
        <v>60</v>
      </c>
      <c r="J132" s="191" cm="1">
        <f t="array" ref="J132">_xlfn.SINGLE(IF(G132&lt;&gt;"",IF($C$5="","",IF(J124:J130&lt;&gt;"",IF(MIN(J124:J130)&lt;=0,"",IF(AND($C$19&lt;&gt;"月末",G131&lt;&gt;$C$18),IF(OR(AND(G131=DATE(A132,9,30),G131&lt;&gt;(DATE(A132,9,$C$19))),G131=DATE(A132,3,31)),MIN(J124:J130),IF(MIN(J124:J130)=$C$7,MIN(J124:J130)-$C$7,MIN(J124:J130)-$C$6)),IF(MIN(J124:J130)=$C$7,MIN(J124:J130)-$C$7,MIN(J124:J130)-$C$6))),"")),""))</f>
        <v>7400000000</v>
      </c>
      <c r="K132" s="191" cm="1">
        <f t="array" ref="K132">_xlfn.SINGLE(IF($C$12="","",IF(K124:K130&lt;&gt;"",IF(MIN(K124:K130)&lt;=0,"",IF(AND($C$19&lt;&gt;"月末",G131&lt;&gt;$C$18),IF(OR(AND(G131=DATE(A132,9,30),G131&lt;&gt;(DATE(A132,9,$C$19))),G131=DATE(A132,3,31)),MIN(K124:K130),IF(MIN(K124:K130)=$C$14,MIN(K124:K130)-$C$14,MIN(K124:K130)-$C$13)),IF(MIN(K124:K130)=$C$14,MIN(K124:K130)-$C$14,MIN(K124:K130)-$C$13))),"")))</f>
        <v>740000000</v>
      </c>
      <c r="L132" s="82" cm="1">
        <f t="array" ref="L132">IF(AND(OR(J132=0,J132=""),OR(K132=0,K132="")),"",_xlfn.IFS($C$21&gt;=0.0035,0.003,$C$21&lt;0.0005,0,$C$21&lt;0.0035,$C$21-0.0005))</f>
        <v>3.0000000000000001E-3</v>
      </c>
      <c r="M132" s="61">
        <f t="shared" ref="M132:M138" si="133">IF(OR(G132="",K132="",K132=0),"",ROUNDDOWN(K132*(I132/365)*L132,0))</f>
        <v>364931</v>
      </c>
      <c r="N132" s="62">
        <f t="shared" ref="N132:N138" si="134">IF(OR(J132="",J132=0,$G132=""),"",IF(AND($C$19&lt;&gt;"月末",$G132&lt;&gt;$C$18),IF(OR(AND($G132=DATE($A132,9,30),$G132&lt;&gt;DATE($A132,9,$C$19)),$G132=DATE($A132+1,3,31)),"",$C$6),$C$6))</f>
        <v>350000000</v>
      </c>
      <c r="O132" s="63">
        <f>IF(OR(K132="",K132=0,$G132=""),"",IF(AND($C$19&lt;&gt;"月末",$G132&lt;&gt;$C$18),IF(OR(AND($G132=DATE($A132,9,30),$G132&lt;&gt;DATE($A132,9,$C$19)),$G132=DATE($A132+1,3,31)),"",$C$13),$C$13))</f>
        <v>35000000</v>
      </c>
      <c r="P132" s="17">
        <v>97</v>
      </c>
      <c r="Q132" s="19">
        <f t="shared" ref="Q132:Q163" si="135">IF(G132&lt;&gt;"",G132,"")</f>
        <v>47268</v>
      </c>
      <c r="R132" s="4"/>
      <c r="Y132" s="14"/>
      <c r="Z132" s="14"/>
      <c r="AA132" s="4"/>
      <c r="AC132" s="4"/>
    </row>
    <row r="133" spans="1:29" s="3" customFormat="1" x14ac:dyDescent="0.4">
      <c r="A133" s="98">
        <f>B132</f>
        <v>2029</v>
      </c>
      <c r="B133" s="246"/>
      <c r="C133" s="247"/>
      <c r="D133" s="49" t="s">
        <v>84</v>
      </c>
      <c r="E133" s="73">
        <f>IF(OR(G132="",G133=""),"",IF(G132+1&gt;DATE(B132,9,30),"",G132+1))</f>
        <v>47269</v>
      </c>
      <c r="F133" s="46" t="str">
        <f t="shared" si="83"/>
        <v>木</v>
      </c>
      <c r="G133" s="76">
        <f t="shared" si="131"/>
        <v>47329</v>
      </c>
      <c r="H133" s="46" t="str">
        <f t="shared" si="83"/>
        <v>月</v>
      </c>
      <c r="I133" s="47">
        <f t="shared" si="132"/>
        <v>61</v>
      </c>
      <c r="J133" s="50">
        <f>IF(OR(G133="",J132="",$C$5=""),"",IF(J132&lt;=0,"",IF(J132=$C$7,J132-$C$7,J132-$C$6)))</f>
        <v>7050000000</v>
      </c>
      <c r="K133" s="50">
        <f>IF($C$12="","",IF(G133="","",IF(G133&lt;$C$15,"",IF(K132="","",IF(K132&lt;=0,"",IF(K132=$C$14,K132-$C$14,K132-$C$13))))))</f>
        <v>705000000</v>
      </c>
      <c r="L133" s="82" cm="1">
        <f t="array" ref="L133">IF(AND(OR(J133=0,J133=""),OR(K133=0,K133="")),"",_xlfn.IFS($C$21&gt;=0.0035,0.003,$C$21&lt;0.0005,0,$C$21&lt;0.0035,$C$21-0.0005))</f>
        <v>3.0000000000000001E-3</v>
      </c>
      <c r="M133" s="64">
        <f t="shared" si="133"/>
        <v>353465</v>
      </c>
      <c r="N133" s="65">
        <f t="shared" si="134"/>
        <v>350000000</v>
      </c>
      <c r="O133" s="66">
        <f t="shared" ref="O133:O138" si="136">IF(OR(K133="",K133=0,$G133=""),"",IF(AND($C$19&lt;&gt;"月末",$G133&lt;&gt;$C$18),IF(OR(AND($G133=DATE($A133,9,30),$G133&lt;&gt;DATE($A133,9,$C$19)),$G133=DATE($A133+1,3,31)),"",$C$13),$C$13))</f>
        <v>35000000</v>
      </c>
      <c r="P133" s="17">
        <v>98</v>
      </c>
      <c r="Q133" s="20">
        <f t="shared" si="135"/>
        <v>47329</v>
      </c>
      <c r="R133" s="4"/>
      <c r="Y133" s="14"/>
      <c r="Z133" s="14"/>
      <c r="AA133" s="4"/>
      <c r="AC133" s="4"/>
    </row>
    <row r="134" spans="1:29" s="3" customFormat="1" x14ac:dyDescent="0.4">
      <c r="A134" s="98">
        <f>B132</f>
        <v>2029</v>
      </c>
      <c r="B134" s="246"/>
      <c r="C134" s="247"/>
      <c r="D134" s="49" t="s">
        <v>85</v>
      </c>
      <c r="E134" s="73">
        <f>IF(OR(G133="",G134=""),"",IF(G133+1&gt;DATE(B132,9,30),"",G133+1))</f>
        <v>47330</v>
      </c>
      <c r="F134" s="46" t="str">
        <f t="shared" si="83"/>
        <v>火</v>
      </c>
      <c r="G134" s="76">
        <f t="shared" si="131"/>
        <v>47391</v>
      </c>
      <c r="H134" s="46" t="str">
        <f t="shared" si="83"/>
        <v>日</v>
      </c>
      <c r="I134" s="47">
        <f t="shared" si="132"/>
        <v>62</v>
      </c>
      <c r="J134" s="50">
        <f t="shared" ref="J134:J138" si="137">IF(OR(G134="",J133="",$C$5=""),"",IF(J133&lt;=0,"",IF(J133=$C$7,J133-$C$7,J133-$C$6)))</f>
        <v>6700000000</v>
      </c>
      <c r="K134" s="50">
        <f t="shared" ref="K134:K138" si="138">IF($C$12="","",IF(G134="","",IF(G134&lt;$C$15,"",IF(K133="","",IF(K133&lt;=0,"",IF(K133=$C$14,K133-$C$14,K133-$C$13))))))</f>
        <v>670000000</v>
      </c>
      <c r="L134" s="82" cm="1">
        <f t="array" ref="L134">IF(AND(OR(J134=0,J134=""),OR(K134=0,K134="")),"",_xlfn.IFS($C$21&gt;=0.0035,0.003,$C$21&lt;0.0005,0,$C$21&lt;0.0035,$C$21-0.0005))</f>
        <v>3.0000000000000001E-3</v>
      </c>
      <c r="M134" s="64">
        <f t="shared" si="133"/>
        <v>341424</v>
      </c>
      <c r="N134" s="65">
        <f t="shared" si="134"/>
        <v>350000000</v>
      </c>
      <c r="O134" s="66">
        <f t="shared" si="136"/>
        <v>35000000</v>
      </c>
      <c r="P134" s="17">
        <v>99</v>
      </c>
      <c r="Q134" s="20">
        <f t="shared" si="135"/>
        <v>47391</v>
      </c>
      <c r="S134" s="14"/>
      <c r="Y134" s="14"/>
      <c r="Z134" s="14"/>
      <c r="AA134" s="4"/>
      <c r="AC134" s="4"/>
    </row>
    <row r="135" spans="1:29" s="3" customFormat="1" x14ac:dyDescent="0.4">
      <c r="A135" s="98">
        <f>B132</f>
        <v>2029</v>
      </c>
      <c r="B135" s="246"/>
      <c r="C135" s="247"/>
      <c r="D135" s="49" t="s">
        <v>86</v>
      </c>
      <c r="E135" s="73" t="str">
        <f>IF(OR(G134="",G135=""),"",IF(G134+1&gt;DATE(B132,9,30),"",G134+1))</f>
        <v/>
      </c>
      <c r="F135" s="46" t="str">
        <f t="shared" si="83"/>
        <v/>
      </c>
      <c r="G135" s="76" t="str">
        <f t="shared" si="131"/>
        <v/>
      </c>
      <c r="H135" s="46" t="str">
        <f t="shared" si="83"/>
        <v/>
      </c>
      <c r="I135" s="47" t="str">
        <f t="shared" si="132"/>
        <v/>
      </c>
      <c r="J135" s="50" t="str">
        <f t="shared" si="137"/>
        <v/>
      </c>
      <c r="K135" s="50" t="str">
        <f t="shared" si="138"/>
        <v/>
      </c>
      <c r="L135" s="82" t="str" cm="1">
        <f t="array" ref="L135">IF(AND(OR(J135=0,J135=""),OR(K135=0,K135="")),"",_xlfn.IFS($C$21&gt;=0.0035,0.003,$C$21&lt;0.0005,0,$C$21&lt;0.0035,$C$21-0.0005))</f>
        <v/>
      </c>
      <c r="M135" s="64" t="str">
        <f t="shared" si="133"/>
        <v/>
      </c>
      <c r="N135" s="65" t="str">
        <f t="shared" si="134"/>
        <v/>
      </c>
      <c r="O135" s="66" t="str">
        <f t="shared" si="136"/>
        <v/>
      </c>
      <c r="P135" s="17">
        <v>100</v>
      </c>
      <c r="Q135" s="20" t="str">
        <f t="shared" si="135"/>
        <v/>
      </c>
      <c r="Y135" s="14"/>
      <c r="Z135" s="14"/>
      <c r="AA135" s="4"/>
      <c r="AC135" s="4"/>
    </row>
    <row r="136" spans="1:29" s="3" customFormat="1" x14ac:dyDescent="0.4">
      <c r="A136" s="98">
        <f>B132</f>
        <v>2029</v>
      </c>
      <c r="B136" s="246"/>
      <c r="C136" s="247"/>
      <c r="D136" s="49" t="s">
        <v>87</v>
      </c>
      <c r="E136" s="73" t="str">
        <f>IF(OR(G135="",G136=""),"",IF(G135+1&gt;DATE(B132,9,30),"",G135+1))</f>
        <v/>
      </c>
      <c r="F136" s="46" t="str">
        <f t="shared" si="83"/>
        <v/>
      </c>
      <c r="G136" s="76" t="str">
        <f t="shared" si="131"/>
        <v/>
      </c>
      <c r="H136" s="46" t="str">
        <f t="shared" si="83"/>
        <v/>
      </c>
      <c r="I136" s="47" t="str">
        <f t="shared" si="132"/>
        <v/>
      </c>
      <c r="J136" s="50" t="str">
        <f t="shared" si="137"/>
        <v/>
      </c>
      <c r="K136" s="50" t="str">
        <f t="shared" si="138"/>
        <v/>
      </c>
      <c r="L136" s="82" t="str" cm="1">
        <f t="array" ref="L136">IF(AND(OR(J136=0,J136=""),OR(K136=0,K136="")),"",_xlfn.IFS($C$21&gt;=0.0035,0.003,$C$21&lt;0.0005,0,$C$21&lt;0.0035,$C$21-0.0005))</f>
        <v/>
      </c>
      <c r="M136" s="64" t="str">
        <f t="shared" si="133"/>
        <v/>
      </c>
      <c r="N136" s="65" t="str">
        <f t="shared" si="134"/>
        <v/>
      </c>
      <c r="O136" s="66" t="str">
        <f t="shared" si="136"/>
        <v/>
      </c>
      <c r="P136" s="17">
        <v>101</v>
      </c>
      <c r="Q136" s="20" t="str">
        <f t="shared" si="135"/>
        <v/>
      </c>
      <c r="Y136" s="14"/>
      <c r="Z136" s="14"/>
      <c r="AA136" s="4"/>
      <c r="AC136" s="4"/>
    </row>
    <row r="137" spans="1:29" s="14" customFormat="1" x14ac:dyDescent="0.4">
      <c r="A137" s="98">
        <f>B132</f>
        <v>2029</v>
      </c>
      <c r="B137" s="246"/>
      <c r="C137" s="247"/>
      <c r="D137" s="51" t="s">
        <v>88</v>
      </c>
      <c r="E137" s="74" t="str">
        <f>IF(OR(G136="",G137=""),"",IF(G136+1&gt;DATE(B132,9,30),"",G136+1))</f>
        <v/>
      </c>
      <c r="F137" s="181" t="str">
        <f t="shared" si="83"/>
        <v/>
      </c>
      <c r="G137" s="100" t="str">
        <f t="shared" si="131"/>
        <v/>
      </c>
      <c r="H137" s="181" t="str">
        <f t="shared" si="83"/>
        <v/>
      </c>
      <c r="I137" s="182" t="str">
        <f t="shared" si="132"/>
        <v/>
      </c>
      <c r="J137" s="50" t="str">
        <f t="shared" si="137"/>
        <v/>
      </c>
      <c r="K137" s="50" t="str">
        <f t="shared" si="138"/>
        <v/>
      </c>
      <c r="L137" s="183" t="str" cm="1">
        <f t="array" ref="L137">IF(AND(OR(J137=0,J137=""),OR(K137=0,K137="")),"",_xlfn.IFS($C$21&gt;=0.0035,0.003,$C$21&lt;0.0005,0,$C$21&lt;0.0035,$C$21-0.0005))</f>
        <v/>
      </c>
      <c r="M137" s="200" t="str">
        <f t="shared" si="133"/>
        <v/>
      </c>
      <c r="N137" s="68" t="str">
        <f t="shared" si="134"/>
        <v/>
      </c>
      <c r="O137" s="202" t="str">
        <f t="shared" si="136"/>
        <v/>
      </c>
      <c r="P137" s="17">
        <v>102</v>
      </c>
      <c r="Q137" s="20" t="str">
        <f t="shared" si="135"/>
        <v/>
      </c>
      <c r="S137" s="3"/>
      <c r="AA137" s="4"/>
      <c r="AB137" s="3"/>
      <c r="AC137" s="4"/>
    </row>
    <row r="138" spans="1:29" s="3" customFormat="1" ht="19.5" thickBot="1" x14ac:dyDescent="0.45">
      <c r="A138" s="98">
        <f>B132</f>
        <v>2029</v>
      </c>
      <c r="B138" s="246"/>
      <c r="C138" s="247"/>
      <c r="D138" s="51" t="s">
        <v>78</v>
      </c>
      <c r="E138" s="74" t="str">
        <f>IF(OR(G137="",G138=""),"",IF(G137+1&gt;DATE(B132,9,30),"",G137+1))</f>
        <v/>
      </c>
      <c r="F138" s="52" t="str">
        <f t="shared" si="83"/>
        <v/>
      </c>
      <c r="G138" s="76" t="str">
        <f t="shared" si="131"/>
        <v/>
      </c>
      <c r="H138" s="52" t="str">
        <f t="shared" si="83"/>
        <v/>
      </c>
      <c r="I138" s="53" t="str">
        <f t="shared" si="132"/>
        <v/>
      </c>
      <c r="J138" s="50" t="str">
        <f t="shared" si="137"/>
        <v/>
      </c>
      <c r="K138" s="50" t="str">
        <f t="shared" si="138"/>
        <v/>
      </c>
      <c r="L138" s="83" t="str" cm="1">
        <f t="array" ref="L138">IF(AND(OR(J138=0,J138=""),OR(K138=0,K138="")),"",_xlfn.IFS($C$21&gt;=0.0035,0.003,$C$21&lt;0.0005,0,$C$21&lt;0.0035,$C$21-0.0005))</f>
        <v/>
      </c>
      <c r="M138" s="67" t="str">
        <f t="shared" si="133"/>
        <v/>
      </c>
      <c r="N138" s="68" t="str">
        <f t="shared" si="134"/>
        <v/>
      </c>
      <c r="O138" s="69" t="str">
        <f t="shared" si="136"/>
        <v/>
      </c>
      <c r="P138" s="17">
        <v>103</v>
      </c>
      <c r="Q138" s="21" t="str">
        <f t="shared" si="135"/>
        <v/>
      </c>
      <c r="Y138" s="14"/>
      <c r="Z138" s="14"/>
      <c r="AA138" s="4"/>
      <c r="AC138" s="4"/>
    </row>
    <row r="139" spans="1:29" s="3" customFormat="1" ht="19.5" thickBot="1" x14ac:dyDescent="0.45">
      <c r="A139" s="98">
        <f>B132</f>
        <v>2029</v>
      </c>
      <c r="B139" s="246"/>
      <c r="C139" s="157" t="s">
        <v>10</v>
      </c>
      <c r="D139" s="58"/>
      <c r="E139" s="75" cm="1">
        <f t="array" ref="E139">_xlfn.SINGLE(IF(E132:E138&lt;&gt;"",MIN(E132:E138),""))</f>
        <v>47209</v>
      </c>
      <c r="F139" s="59" t="str">
        <f t="shared" si="83"/>
        <v>日</v>
      </c>
      <c r="G139" s="75" cm="1">
        <f t="array" ref="G139">_xlfn.SINGLE(IF(G132:G138&lt;&gt;"",MAX(G132:G138),""))</f>
        <v>47391</v>
      </c>
      <c r="H139" s="59" t="str">
        <f t="shared" si="83"/>
        <v>日</v>
      </c>
      <c r="I139" s="60">
        <f>SUM(I132:I138)</f>
        <v>183</v>
      </c>
      <c r="J139" s="58"/>
      <c r="K139" s="58"/>
      <c r="L139" s="84"/>
      <c r="M139" s="70">
        <f>SUM(M132:M138)</f>
        <v>1059820</v>
      </c>
      <c r="N139" s="71"/>
      <c r="O139" s="72"/>
      <c r="P139" s="17">
        <v>104</v>
      </c>
      <c r="Q139" s="22">
        <f t="shared" si="135"/>
        <v>47391</v>
      </c>
      <c r="Y139" s="14"/>
      <c r="Z139" s="14"/>
      <c r="AA139" s="4"/>
      <c r="AB139" s="14"/>
      <c r="AC139" s="4"/>
    </row>
    <row r="140" spans="1:29" s="3" customFormat="1" x14ac:dyDescent="0.4">
      <c r="A140" s="98">
        <f>B132</f>
        <v>2029</v>
      </c>
      <c r="B140" s="246"/>
      <c r="C140" s="248" t="s">
        <v>4</v>
      </c>
      <c r="D140" s="54" t="s">
        <v>89</v>
      </c>
      <c r="E140" s="73">
        <f>IF(OR(G139="",G140=""),"",IF(G139+1&gt;DATE(B132+1,3,31),"",G139+1))</f>
        <v>47392</v>
      </c>
      <c r="F140" s="46" t="str">
        <f t="shared" si="83"/>
        <v>月</v>
      </c>
      <c r="G140" s="76">
        <f t="shared" ref="G140:G146" si="139">IF(OR(G139="",$C$19="",$C$20=""),"",IF(G139+1&gt;DATE(A132+1,3,31),"",IF($C$19="月末",IF(EOMONTH(G139,VLOOKUP($C$20,$U$35:$V$39,2,FALSE))&gt;DATE(A132+1,3,31),DATE(A132+1,3,31),EOMONTH(G139,VLOOKUP($C$20,$U$35:$V$39,2,FALSE))),IF(EOMONTH(G139,VLOOKUP($C$20,$U$35:$V$39,2,FALSE)-1)+$C$19&gt;DATE(A132+1,3,31),DATE(A132+1,3,31),EOMONTH(G139,VLOOKUP($C$20,$U$35:$V$39,2,FALSE)-1)+$C$19))))</f>
        <v>47452</v>
      </c>
      <c r="H140" s="46" t="str">
        <f t="shared" si="83"/>
        <v>金</v>
      </c>
      <c r="I140" s="47">
        <f t="shared" ref="I140:I146" si="140">IF(G140="","",DATEDIF(E140,G140,"D")+1)</f>
        <v>61</v>
      </c>
      <c r="J140" s="191" cm="1">
        <f t="array" ref="J140">_xlfn.SINGLE(IF(G140&lt;&gt;"",IF($C$5="","",IF(J132:J138&lt;&gt;"",IF(MIN(J132:J138)&lt;=0,"",IF(AND($C$19&lt;&gt;"月末",G139&lt;&gt;$C$18),IF(OR(AND(G139=DATE(A140,9,30),G139&lt;&gt;(DATE(A140,9,$C$19))),G139=DATE(A140,3,31)),MIN(J132:J138),IF(MIN(J132:J138)=$C$7,MIN(J132:J138)-$C$7,MIN(J132:J138)-$C$6)),IF(MIN(J132:J138)=$C$7,MIN(J132:J138)-$C$7,MIN(J132:J138)-$C$6))),"")),""))</f>
        <v>6350000000</v>
      </c>
      <c r="K140" s="191" cm="1">
        <f t="array" ref="K140">_xlfn.SINGLE(IF($C$12="","",IF(K132:K138&lt;&gt;"",IF(MIN(K132:K138)&lt;=0,"",IF(AND($C$19&lt;&gt;"月末",G139&lt;&gt;$C$18),IF(OR(AND(G139=DATE(A140,9,30),G139&lt;&gt;(DATE(A140,9,$C$19))),G139=DATE(A140,3,31)),MIN(K132:K138),IF(MIN(K132:K138)=$C$14,MIN(K132:K138)-$C$14,MIN(K132:K138)-$C$13)),IF(MIN(K132:K138)=$C$14,MIN(K132:K138)-$C$14,MIN(K132:K138)-$C$13))),"")))</f>
        <v>635000000</v>
      </c>
      <c r="L140" s="85" cm="1">
        <f t="array" ref="L140">IF(AND(OR(J140=0,J140=""),OR(K140=0,K140="")),"",_xlfn.IFS($C$21&gt;=0.0035,0.003,$C$21&lt;0.0005,0,$C$21&lt;0.0035,$C$21-0.0005))</f>
        <v>3.0000000000000001E-3</v>
      </c>
      <c r="M140" s="61">
        <f t="shared" ref="M140:M146" si="141">IF(OR(G140="",K140="",K140=0),"",ROUNDDOWN(K140*(I140/365)*L140,0))</f>
        <v>318369</v>
      </c>
      <c r="N140" s="62">
        <f t="shared" ref="N140:N146" si="142">IF(OR(J140="",J140=0,$G140=""),"",IF(AND($C$19&lt;&gt;"月末",$G140&lt;&gt;$C$18),IF(OR(AND($G140=DATE($A140,9,30),$G140&lt;&gt;DATE($A140,9,$C$19)),$G140=DATE($A140+1,3,31)),"",$C$6),$C$6))</f>
        <v>350000000</v>
      </c>
      <c r="O140" s="63">
        <f>IF(OR(K140="",K140=0,$G140=""),"",IF(AND($C$19&lt;&gt;"月末",$G140&lt;&gt;$C$18),IF(OR(AND($G140=DATE($A140,9,30),$G140&lt;&gt;DATE($A140,9,$C$19)),$G140=DATE($A140+1,3,31)),"",$C$13),$C$13))</f>
        <v>35000000</v>
      </c>
      <c r="P140" s="17">
        <v>105</v>
      </c>
      <c r="Q140" s="19">
        <f t="shared" si="135"/>
        <v>47452</v>
      </c>
      <c r="R140" s="4"/>
      <c r="Y140" s="14"/>
      <c r="Z140" s="14"/>
      <c r="AA140" s="4"/>
      <c r="AC140" s="4"/>
    </row>
    <row r="141" spans="1:29" s="3" customFormat="1" x14ac:dyDescent="0.4">
      <c r="A141" s="98">
        <f>B132</f>
        <v>2029</v>
      </c>
      <c r="B141" s="246"/>
      <c r="C141" s="247"/>
      <c r="D141" s="49" t="s">
        <v>90</v>
      </c>
      <c r="E141" s="73">
        <f>IF(OR(G140="",G141=""),"",IF(G140+1&gt;DATE(B132+1,3,31),"",G140+1))</f>
        <v>47453</v>
      </c>
      <c r="F141" s="46" t="str">
        <f t="shared" si="83"/>
        <v>土</v>
      </c>
      <c r="G141" s="76">
        <f t="shared" si="139"/>
        <v>47513</v>
      </c>
      <c r="H141" s="46" t="str">
        <f t="shared" si="83"/>
        <v>水</v>
      </c>
      <c r="I141" s="47">
        <f t="shared" si="140"/>
        <v>61</v>
      </c>
      <c r="J141" s="50">
        <f>IF(OR(G141="",J140="",$C$5=""),"",IF(J140&lt;=0,"",IF(J140=$C$7,J140-$C$7,J140-$C$6)))</f>
        <v>6000000000</v>
      </c>
      <c r="K141" s="50">
        <f>IF($C$12="","",IF(G141="","",IF(G141&lt;$C$15,"",IF(K140="","",IF(K140&lt;=0,"",IF(K140=$C$14,K140-$C$14,K140-$C$13))))))</f>
        <v>600000000</v>
      </c>
      <c r="L141" s="82" cm="1">
        <f t="array" ref="L141">IF(AND(OR(J141=0,J141=""),OR(K141=0,K141="")),"",_xlfn.IFS($C$21&gt;=0.0035,0.003,$C$21&lt;0.0005,0,$C$21&lt;0.0035,$C$21-0.0005))</f>
        <v>3.0000000000000001E-3</v>
      </c>
      <c r="M141" s="64">
        <f t="shared" si="141"/>
        <v>300821</v>
      </c>
      <c r="N141" s="65">
        <f t="shared" si="142"/>
        <v>350000000</v>
      </c>
      <c r="O141" s="66">
        <f t="shared" ref="O141:O146" si="143">IF(OR(K141="",K141=0,$G141=""),"",IF(AND($C$19&lt;&gt;"月末",$G141&lt;&gt;$C$18),IF(OR(AND($G141=DATE($A141,9,30),$G141&lt;&gt;DATE($A141,9,$C$19)),$G141=DATE($A141+1,3,31)),"",$C$13),$C$13))</f>
        <v>35000000</v>
      </c>
      <c r="P141" s="17">
        <v>106</v>
      </c>
      <c r="Q141" s="20">
        <f t="shared" si="135"/>
        <v>47513</v>
      </c>
      <c r="R141" s="4"/>
      <c r="Y141" s="14"/>
      <c r="Z141" s="14"/>
      <c r="AA141" s="4"/>
      <c r="AC141" s="4"/>
    </row>
    <row r="142" spans="1:29" s="3" customFormat="1" x14ac:dyDescent="0.4">
      <c r="A142" s="98">
        <f>B132</f>
        <v>2029</v>
      </c>
      <c r="B142" s="246"/>
      <c r="C142" s="247"/>
      <c r="D142" s="49" t="s">
        <v>91</v>
      </c>
      <c r="E142" s="73">
        <f>IF(OR(G141="",G142=""),"",IF(G141+1&gt;DATE(B132+1,3,31),"",G141+1))</f>
        <v>47514</v>
      </c>
      <c r="F142" s="46" t="str">
        <f t="shared" si="83"/>
        <v>木</v>
      </c>
      <c r="G142" s="76">
        <f t="shared" si="139"/>
        <v>47572</v>
      </c>
      <c r="H142" s="46" t="str">
        <f t="shared" si="83"/>
        <v>土</v>
      </c>
      <c r="I142" s="47">
        <f t="shared" si="140"/>
        <v>59</v>
      </c>
      <c r="J142" s="50">
        <f t="shared" ref="J142:J146" si="144">IF(OR(G142="",J141="",$C$5=""),"",IF(J141&lt;=0,"",IF(J141=$C$7,J141-$C$7,J141-$C$6)))</f>
        <v>5650000000</v>
      </c>
      <c r="K142" s="50">
        <f t="shared" ref="K142:K146" si="145">IF($C$12="","",IF(G142="","",IF(G142&lt;$C$15,"",IF(K141="","",IF(K141&lt;=0,"",IF(K141=$C$14,K141-$C$14,K141-$C$13))))))</f>
        <v>565000000</v>
      </c>
      <c r="L142" s="82" cm="1">
        <f t="array" ref="L142">IF(AND(OR(J142=0,J142=""),OR(K142=0,K142="")),"",_xlfn.IFS($C$21&gt;=0.0035,0.003,$C$21&lt;0.0005,0,$C$21&lt;0.0035,$C$21-0.0005))</f>
        <v>3.0000000000000001E-3</v>
      </c>
      <c r="M142" s="64">
        <f t="shared" si="141"/>
        <v>273986</v>
      </c>
      <c r="N142" s="65">
        <f t="shared" si="142"/>
        <v>350000000</v>
      </c>
      <c r="O142" s="66">
        <f t="shared" si="143"/>
        <v>35000000</v>
      </c>
      <c r="P142" s="17">
        <v>107</v>
      </c>
      <c r="Q142" s="20">
        <f t="shared" si="135"/>
        <v>47572</v>
      </c>
      <c r="S142" s="14"/>
      <c r="Y142" s="14"/>
      <c r="Z142" s="14"/>
      <c r="AA142" s="4"/>
      <c r="AC142" s="4"/>
    </row>
    <row r="143" spans="1:29" s="3" customFormat="1" x14ac:dyDescent="0.4">
      <c r="A143" s="98">
        <f>B132</f>
        <v>2029</v>
      </c>
      <c r="B143" s="246"/>
      <c r="C143" s="247"/>
      <c r="D143" s="49" t="s">
        <v>92</v>
      </c>
      <c r="E143" s="73">
        <f>IF(OR(G142="",G143=""),"",IF(G142+1&gt;DATE(B132+1,3,31),"",G142+1))</f>
        <v>47573</v>
      </c>
      <c r="F143" s="46" t="str">
        <f t="shared" ref="F143:H206" si="146">IF(E143="","",TEXT(E143,"aaa"))</f>
        <v>日</v>
      </c>
      <c r="G143" s="76">
        <f t="shared" si="139"/>
        <v>47573</v>
      </c>
      <c r="H143" s="46" t="str">
        <f t="shared" si="146"/>
        <v>日</v>
      </c>
      <c r="I143" s="47">
        <f t="shared" si="140"/>
        <v>1</v>
      </c>
      <c r="J143" s="50">
        <f t="shared" si="144"/>
        <v>5300000000</v>
      </c>
      <c r="K143" s="50">
        <f t="shared" si="145"/>
        <v>530000000</v>
      </c>
      <c r="L143" s="82" cm="1">
        <f t="array" ref="L143">IF(AND(OR(J143=0,J143=""),OR(K143=0,K143="")),"",_xlfn.IFS($C$21&gt;=0.0035,0.003,$C$21&lt;0.0005,0,$C$21&lt;0.0035,$C$21-0.0005))</f>
        <v>3.0000000000000001E-3</v>
      </c>
      <c r="M143" s="64">
        <f t="shared" si="141"/>
        <v>4356</v>
      </c>
      <c r="N143" s="65" t="str">
        <f t="shared" si="142"/>
        <v/>
      </c>
      <c r="O143" s="66" t="str">
        <f t="shared" si="143"/>
        <v/>
      </c>
      <c r="P143" s="17">
        <v>108</v>
      </c>
      <c r="Q143" s="20">
        <f t="shared" si="135"/>
        <v>47573</v>
      </c>
      <c r="Y143" s="14"/>
      <c r="Z143" s="14"/>
      <c r="AA143" s="4"/>
      <c r="AC143" s="4"/>
    </row>
    <row r="144" spans="1:29" s="3" customFormat="1" x14ac:dyDescent="0.4">
      <c r="A144" s="98">
        <f>B132</f>
        <v>2029</v>
      </c>
      <c r="B144" s="246"/>
      <c r="C144" s="247"/>
      <c r="D144" s="49" t="s">
        <v>93</v>
      </c>
      <c r="E144" s="73" t="str">
        <f>IF(OR(G143="",G144=""),"",IF(G143+1&gt;DATE(B132+1,3,31),"",G143+1))</f>
        <v/>
      </c>
      <c r="F144" s="46" t="str">
        <f t="shared" si="146"/>
        <v/>
      </c>
      <c r="G144" s="76" t="str">
        <f t="shared" si="139"/>
        <v/>
      </c>
      <c r="H144" s="46" t="str">
        <f t="shared" si="146"/>
        <v/>
      </c>
      <c r="I144" s="47" t="str">
        <f t="shared" si="140"/>
        <v/>
      </c>
      <c r="J144" s="50" t="str">
        <f t="shared" si="144"/>
        <v/>
      </c>
      <c r="K144" s="50" t="str">
        <f t="shared" si="145"/>
        <v/>
      </c>
      <c r="L144" s="82" t="str" cm="1">
        <f t="array" ref="L144">IF(AND(OR(J144=0,J144=""),OR(K144=0,K144="")),"",_xlfn.IFS($C$21&gt;=0.0035,0.003,$C$21&lt;0.0005,0,$C$21&lt;0.0035,$C$21-0.0005))</f>
        <v/>
      </c>
      <c r="M144" s="64" t="str">
        <f t="shared" si="141"/>
        <v/>
      </c>
      <c r="N144" s="65" t="str">
        <f t="shared" si="142"/>
        <v/>
      </c>
      <c r="O144" s="66" t="str">
        <f t="shared" si="143"/>
        <v/>
      </c>
      <c r="P144" s="17">
        <v>109</v>
      </c>
      <c r="Q144" s="20" t="str">
        <f t="shared" si="135"/>
        <v/>
      </c>
      <c r="Y144" s="14"/>
      <c r="Z144" s="14"/>
      <c r="AA144" s="4"/>
      <c r="AC144" s="4"/>
    </row>
    <row r="145" spans="1:29" s="14" customFormat="1" x14ac:dyDescent="0.4">
      <c r="A145" s="98">
        <f>B132</f>
        <v>2029</v>
      </c>
      <c r="B145" s="246"/>
      <c r="C145" s="247"/>
      <c r="D145" s="51" t="s">
        <v>82</v>
      </c>
      <c r="E145" s="74" t="str">
        <f>IF(OR(G144="",G145=""),"",IF(G144+1&gt;DATE(B132+1,3,31),"",G144+1))</f>
        <v/>
      </c>
      <c r="F145" s="181" t="str">
        <f t="shared" si="146"/>
        <v/>
      </c>
      <c r="G145" s="100" t="str">
        <f t="shared" si="139"/>
        <v/>
      </c>
      <c r="H145" s="181" t="str">
        <f t="shared" si="146"/>
        <v/>
      </c>
      <c r="I145" s="182" t="str">
        <f t="shared" si="140"/>
        <v/>
      </c>
      <c r="J145" s="50" t="str">
        <f t="shared" si="144"/>
        <v/>
      </c>
      <c r="K145" s="50" t="str">
        <f t="shared" si="145"/>
        <v/>
      </c>
      <c r="L145" s="183" t="str" cm="1">
        <f t="array" ref="L145">IF(AND(OR(J145=0,J145=""),OR(K145=0,K145="")),"",_xlfn.IFS($C$21&gt;=0.0035,0.003,$C$21&lt;0.0005,0,$C$21&lt;0.0035,$C$21-0.0005))</f>
        <v/>
      </c>
      <c r="M145" s="200" t="str">
        <f t="shared" si="141"/>
        <v/>
      </c>
      <c r="N145" s="68" t="str">
        <f t="shared" si="142"/>
        <v/>
      </c>
      <c r="O145" s="202" t="str">
        <f t="shared" si="143"/>
        <v/>
      </c>
      <c r="P145" s="17">
        <v>110</v>
      </c>
      <c r="Q145" s="20" t="str">
        <f t="shared" si="135"/>
        <v/>
      </c>
      <c r="S145" s="3"/>
      <c r="AA145" s="4"/>
      <c r="AB145" s="3"/>
      <c r="AC145" s="4"/>
    </row>
    <row r="146" spans="1:29" s="3" customFormat="1" ht="19.5" thickBot="1" x14ac:dyDescent="0.45">
      <c r="A146" s="98">
        <f>B132</f>
        <v>2029</v>
      </c>
      <c r="B146" s="246"/>
      <c r="C146" s="247"/>
      <c r="D146" s="51" t="s">
        <v>80</v>
      </c>
      <c r="E146" s="74" t="str">
        <f>IF(OR(G145="",G146=""),"",IF(G145+1&gt;DATE(B132+1,3,31),"",G145+1))</f>
        <v/>
      </c>
      <c r="F146" s="52" t="str">
        <f t="shared" si="146"/>
        <v/>
      </c>
      <c r="G146" s="76" t="str">
        <f t="shared" si="139"/>
        <v/>
      </c>
      <c r="H146" s="52" t="str">
        <f t="shared" si="146"/>
        <v/>
      </c>
      <c r="I146" s="53" t="str">
        <f t="shared" si="140"/>
        <v/>
      </c>
      <c r="J146" s="50" t="str">
        <f t="shared" si="144"/>
        <v/>
      </c>
      <c r="K146" s="50" t="str">
        <f t="shared" si="145"/>
        <v/>
      </c>
      <c r="L146" s="83" t="str" cm="1">
        <f t="array" ref="L146">IF(AND(OR(J146=0,J146=""),OR(K146=0,K146="")),"",_xlfn.IFS($C$21&gt;=0.0035,0.003,$C$21&lt;0.0005,0,$C$21&lt;0.0035,$C$21-0.0005))</f>
        <v/>
      </c>
      <c r="M146" s="67" t="str">
        <f t="shared" si="141"/>
        <v/>
      </c>
      <c r="N146" s="68" t="str">
        <f t="shared" si="142"/>
        <v/>
      </c>
      <c r="O146" s="69" t="str">
        <f t="shared" si="143"/>
        <v/>
      </c>
      <c r="P146" s="17">
        <v>111</v>
      </c>
      <c r="Q146" s="21" t="str">
        <f t="shared" si="135"/>
        <v/>
      </c>
      <c r="Y146" s="14"/>
      <c r="Z146" s="14"/>
      <c r="AA146" s="4"/>
      <c r="AC146" s="4"/>
    </row>
    <row r="147" spans="1:29" s="3" customFormat="1" ht="19.5" thickBot="1" x14ac:dyDescent="0.45">
      <c r="A147" s="99">
        <f>B132</f>
        <v>2029</v>
      </c>
      <c r="B147" s="234"/>
      <c r="C147" s="157" t="s">
        <v>10</v>
      </c>
      <c r="D147" s="58"/>
      <c r="E147" s="75" cm="1">
        <f t="array" ref="E147">_xlfn.SINGLE(IF(E140:E146&lt;&gt;"",MIN(E140:E146),""))</f>
        <v>47392</v>
      </c>
      <c r="F147" s="59" t="str">
        <f t="shared" si="146"/>
        <v>月</v>
      </c>
      <c r="G147" s="75" cm="1">
        <f t="array" ref="G147">_xlfn.SINGLE(IF(G140:G146&lt;&gt;"",MAX(G140:G146),""))</f>
        <v>47573</v>
      </c>
      <c r="H147" s="59" t="str">
        <f t="shared" si="146"/>
        <v>日</v>
      </c>
      <c r="I147" s="60">
        <f>SUM(I140:I146)</f>
        <v>182</v>
      </c>
      <c r="J147" s="58"/>
      <c r="K147" s="58"/>
      <c r="L147" s="84"/>
      <c r="M147" s="70">
        <f>SUM(M140:M146)</f>
        <v>897532</v>
      </c>
      <c r="N147" s="71"/>
      <c r="O147" s="72"/>
      <c r="P147" s="17">
        <v>112</v>
      </c>
      <c r="Q147" s="22">
        <f t="shared" si="135"/>
        <v>47573</v>
      </c>
      <c r="Y147" s="14"/>
      <c r="Z147" s="14"/>
      <c r="AA147" s="4"/>
      <c r="AB147" s="14"/>
      <c r="AC147" s="4"/>
    </row>
    <row r="148" spans="1:29" s="3" customFormat="1" x14ac:dyDescent="0.4">
      <c r="A148" s="97">
        <f>B148</f>
        <v>2030</v>
      </c>
      <c r="B148" s="233">
        <f t="shared" ref="B148" si="147">B132+1</f>
        <v>2030</v>
      </c>
      <c r="C148" s="247" t="s">
        <v>3</v>
      </c>
      <c r="D148" s="45" t="s">
        <v>83</v>
      </c>
      <c r="E148" s="73">
        <f>IF(OR(G147="",G148=""),"",IF(G147+1&gt;DATE(B148,9,30),"",G147+1))</f>
        <v>47574</v>
      </c>
      <c r="F148" s="46" t="str">
        <f t="shared" si="146"/>
        <v>月</v>
      </c>
      <c r="G148" s="76">
        <f t="shared" ref="G148:G154" si="148">IF(OR(G147="",$C$19="",$C$20=""),"",IF(G147+1&gt;DATE(A148,9,30),"",IF($C$19="月末",IF(EOMONTH(G147,VLOOKUP($C$20,$U$35:$V$39,2,FALSE))&gt;DATE(A148,9,30),DATE(A148,9,30),EOMONTH(G147,VLOOKUP($C$20,$U$35:$V$39,2,FALSE))),IF(EOMONTH(G147,VLOOKUP($C$20,$U$35:$V$39,2,FALSE)-1)+$C$19&gt;DATE(A148,9,30),DATE(A148,9,30),EOMONTH(G147,VLOOKUP($C$20,$U$35:$V$39,2,FALSE)-1)+$C$19))))</f>
        <v>47633</v>
      </c>
      <c r="H148" s="46" t="str">
        <f t="shared" si="146"/>
        <v>木</v>
      </c>
      <c r="I148" s="47">
        <f t="shared" ref="I148:I154" si="149">IF(G148="","",DATEDIF(E148,G148,"D")+1)</f>
        <v>60</v>
      </c>
      <c r="J148" s="191" cm="1">
        <f t="array" ref="J148">_xlfn.SINGLE(IF(G148&lt;&gt;"",IF($C$5="","",IF(J140:J146&lt;&gt;"",IF(MIN(J140:J146)&lt;=0,"",IF(AND($C$19&lt;&gt;"月末",G147&lt;&gt;$C$18),IF(OR(AND(G147=DATE(A148,9,30),G147&lt;&gt;(DATE(A148,9,$C$19))),G147=DATE(A148,3,31)),MIN(J140:J146),IF(MIN(J140:J146)=$C$7,MIN(J140:J146)-$C$7,MIN(J140:J146)-$C$6)),IF(MIN(J140:J146)=$C$7,MIN(J140:J146)-$C$7,MIN(J140:J146)-$C$6))),"")),""))</f>
        <v>5300000000</v>
      </c>
      <c r="K148" s="191" cm="1">
        <f t="array" ref="K148">_xlfn.SINGLE(IF($C$12="","",IF(K140:K146&lt;&gt;"",IF(MIN(K140:K146)&lt;=0,"",IF(AND($C$19&lt;&gt;"月末",G147&lt;&gt;$C$18),IF(OR(AND(G147=DATE(A148,9,30),G147&lt;&gt;(DATE(A148,9,$C$19))),G147=DATE(A148,3,31)),MIN(K140:K146),IF(MIN(K140:K146)=$C$14,MIN(K140:K146)-$C$14,MIN(K140:K146)-$C$13)),IF(MIN(K140:K146)=$C$14,MIN(K140:K146)-$C$14,MIN(K140:K146)-$C$13))),"")))</f>
        <v>530000000</v>
      </c>
      <c r="L148" s="82" cm="1">
        <f t="array" ref="L148">IF(AND(OR(J148=0,J148=""),OR(K148=0,K148="")),"",_xlfn.IFS($C$21&gt;=0.0035,0.003,$C$21&lt;0.0005,0,$C$21&lt;0.0035,$C$21-0.0005))</f>
        <v>3.0000000000000001E-3</v>
      </c>
      <c r="M148" s="61">
        <f t="shared" ref="M148:M154" si="150">IF(OR(G148="",K148="",K148=0),"",ROUNDDOWN(K148*(I148/365)*L148,0))</f>
        <v>261369</v>
      </c>
      <c r="N148" s="62">
        <f t="shared" ref="N148:N154" si="151">IF(OR(J148="",J148=0,$G148=""),"",IF(AND($C$19&lt;&gt;"月末",$G148&lt;&gt;$C$18),IF(OR(AND($G148=DATE($A148,9,30),$G148&lt;&gt;DATE($A148,9,$C$19)),$G148=DATE($A148+1,3,31)),"",$C$6),$C$6))</f>
        <v>350000000</v>
      </c>
      <c r="O148" s="63">
        <f>IF(OR(K148="",K148=0,$G148=""),"",IF(AND($C$19&lt;&gt;"月末",$G148&lt;&gt;$C$18),IF(OR(AND($G148=DATE($A148,9,30),$G148&lt;&gt;DATE($A148,9,$C$19)),$G148=DATE($A148+1,3,31)),"",$C$13),$C$13))</f>
        <v>35000000</v>
      </c>
      <c r="P148" s="17">
        <v>113</v>
      </c>
      <c r="Q148" s="19">
        <f t="shared" si="135"/>
        <v>47633</v>
      </c>
      <c r="R148" s="4"/>
      <c r="Y148" s="14"/>
      <c r="Z148" s="14"/>
      <c r="AA148" s="4"/>
      <c r="AC148" s="4"/>
    </row>
    <row r="149" spans="1:29" s="3" customFormat="1" x14ac:dyDescent="0.4">
      <c r="A149" s="98">
        <f>B148</f>
        <v>2030</v>
      </c>
      <c r="B149" s="246"/>
      <c r="C149" s="247"/>
      <c r="D149" s="49" t="s">
        <v>84</v>
      </c>
      <c r="E149" s="73">
        <f>IF(OR(G148="",G149=""),"",IF(G148+1&gt;DATE(B148,9,30),"",G148+1))</f>
        <v>47634</v>
      </c>
      <c r="F149" s="46" t="str">
        <f t="shared" si="146"/>
        <v>金</v>
      </c>
      <c r="G149" s="76">
        <f t="shared" si="148"/>
        <v>47694</v>
      </c>
      <c r="H149" s="46" t="str">
        <f t="shared" si="146"/>
        <v>火</v>
      </c>
      <c r="I149" s="47">
        <f t="shared" si="149"/>
        <v>61</v>
      </c>
      <c r="J149" s="50">
        <f>IF(OR(G149="",J148="",$C$5=""),"",IF(J148&lt;=0,"",IF(J148=$C$7,J148-$C$7,J148-$C$6)))</f>
        <v>4950000000</v>
      </c>
      <c r="K149" s="50">
        <f>IF($C$12="","",IF(G149="","",IF(G149&lt;$C$15,"",IF(K148="","",IF(K148&lt;=0,"",IF(K148=$C$14,K148-$C$14,K148-$C$13))))))</f>
        <v>495000000</v>
      </c>
      <c r="L149" s="82" cm="1">
        <f t="array" ref="L149">IF(AND(OR(J149=0,J149=""),OR(K149=0,K149="")),"",_xlfn.IFS($C$21&gt;=0.0035,0.003,$C$21&lt;0.0005,0,$C$21&lt;0.0035,$C$21-0.0005))</f>
        <v>3.0000000000000001E-3</v>
      </c>
      <c r="M149" s="64">
        <f t="shared" si="150"/>
        <v>248178</v>
      </c>
      <c r="N149" s="65">
        <f t="shared" si="151"/>
        <v>350000000</v>
      </c>
      <c r="O149" s="66">
        <f t="shared" ref="O149:O154" si="152">IF(OR(K149="",K149=0,$G149=""),"",IF(AND($C$19&lt;&gt;"月末",$G149&lt;&gt;$C$18),IF(OR(AND($G149=DATE($A149,9,30),$G149&lt;&gt;DATE($A149,9,$C$19)),$G149=DATE($A149+1,3,31)),"",$C$13),$C$13))</f>
        <v>35000000</v>
      </c>
      <c r="P149" s="17">
        <v>114</v>
      </c>
      <c r="Q149" s="20">
        <f t="shared" si="135"/>
        <v>47694</v>
      </c>
      <c r="R149" s="4"/>
      <c r="Y149" s="14"/>
      <c r="Z149" s="14"/>
      <c r="AA149" s="4"/>
      <c r="AC149" s="4"/>
    </row>
    <row r="150" spans="1:29" s="3" customFormat="1" x14ac:dyDescent="0.4">
      <c r="A150" s="98">
        <f>B148</f>
        <v>2030</v>
      </c>
      <c r="B150" s="246"/>
      <c r="C150" s="247"/>
      <c r="D150" s="49" t="s">
        <v>85</v>
      </c>
      <c r="E150" s="73">
        <f>IF(OR(G149="",G150=""),"",IF(G149+1&gt;DATE(B148,9,30),"",G149+1))</f>
        <v>47695</v>
      </c>
      <c r="F150" s="46" t="str">
        <f t="shared" si="146"/>
        <v>水</v>
      </c>
      <c r="G150" s="76">
        <f t="shared" si="148"/>
        <v>47756</v>
      </c>
      <c r="H150" s="46" t="str">
        <f t="shared" si="146"/>
        <v>月</v>
      </c>
      <c r="I150" s="47">
        <f t="shared" si="149"/>
        <v>62</v>
      </c>
      <c r="J150" s="50">
        <f t="shared" ref="J150:J154" si="153">IF(OR(G150="",J149="",$C$5=""),"",IF(J149&lt;=0,"",IF(J149=$C$7,J149-$C$7,J149-$C$6)))</f>
        <v>4600000000</v>
      </c>
      <c r="K150" s="50">
        <f t="shared" ref="K150:K154" si="154">IF($C$12="","",IF(G150="","",IF(G150&lt;$C$15,"",IF(K149="","",IF(K149&lt;=0,"",IF(K149=$C$14,K149-$C$14,K149-$C$13))))))</f>
        <v>460000000</v>
      </c>
      <c r="L150" s="82" cm="1">
        <f t="array" ref="L150">IF(AND(OR(J150=0,J150=""),OR(K150=0,K150="")),"",_xlfn.IFS($C$21&gt;=0.0035,0.003,$C$21&lt;0.0005,0,$C$21&lt;0.0035,$C$21-0.0005))</f>
        <v>3.0000000000000001E-3</v>
      </c>
      <c r="M150" s="64">
        <f t="shared" si="150"/>
        <v>234410</v>
      </c>
      <c r="N150" s="65">
        <f t="shared" si="151"/>
        <v>350000000</v>
      </c>
      <c r="O150" s="66">
        <f t="shared" si="152"/>
        <v>35000000</v>
      </c>
      <c r="P150" s="17">
        <v>115</v>
      </c>
      <c r="Q150" s="20">
        <f t="shared" si="135"/>
        <v>47756</v>
      </c>
      <c r="S150" s="14"/>
      <c r="Y150" s="14"/>
      <c r="Z150" s="14"/>
      <c r="AA150" s="4"/>
      <c r="AC150" s="4"/>
    </row>
    <row r="151" spans="1:29" s="3" customFormat="1" x14ac:dyDescent="0.4">
      <c r="A151" s="98">
        <f>B148</f>
        <v>2030</v>
      </c>
      <c r="B151" s="246"/>
      <c r="C151" s="247"/>
      <c r="D151" s="49" t="s">
        <v>86</v>
      </c>
      <c r="E151" s="73" t="str">
        <f>IF(OR(G150="",G151=""),"",IF(G150+1&gt;DATE(B148,9,30),"",G150+1))</f>
        <v/>
      </c>
      <c r="F151" s="46" t="str">
        <f t="shared" si="146"/>
        <v/>
      </c>
      <c r="G151" s="76" t="str">
        <f t="shared" si="148"/>
        <v/>
      </c>
      <c r="H151" s="46" t="str">
        <f t="shared" si="146"/>
        <v/>
      </c>
      <c r="I151" s="47" t="str">
        <f t="shared" si="149"/>
        <v/>
      </c>
      <c r="J151" s="50" t="str">
        <f t="shared" si="153"/>
        <v/>
      </c>
      <c r="K151" s="50" t="str">
        <f t="shared" si="154"/>
        <v/>
      </c>
      <c r="L151" s="82" t="str" cm="1">
        <f t="array" ref="L151">IF(AND(OR(J151=0,J151=""),OR(K151=0,K151="")),"",_xlfn.IFS($C$21&gt;=0.0035,0.003,$C$21&lt;0.0005,0,$C$21&lt;0.0035,$C$21-0.0005))</f>
        <v/>
      </c>
      <c r="M151" s="64" t="str">
        <f t="shared" si="150"/>
        <v/>
      </c>
      <c r="N151" s="65" t="str">
        <f t="shared" si="151"/>
        <v/>
      </c>
      <c r="O151" s="66" t="str">
        <f t="shared" si="152"/>
        <v/>
      </c>
      <c r="P151" s="17">
        <v>116</v>
      </c>
      <c r="Q151" s="20" t="str">
        <f t="shared" si="135"/>
        <v/>
      </c>
      <c r="Y151" s="14"/>
      <c r="Z151" s="14"/>
      <c r="AA151" s="4"/>
      <c r="AC151" s="4"/>
    </row>
    <row r="152" spans="1:29" s="3" customFormat="1" x14ac:dyDescent="0.4">
      <c r="A152" s="98">
        <f>B148</f>
        <v>2030</v>
      </c>
      <c r="B152" s="246"/>
      <c r="C152" s="247"/>
      <c r="D152" s="49" t="s">
        <v>87</v>
      </c>
      <c r="E152" s="73" t="str">
        <f>IF(OR(G151="",G152=""),"",IF(G151+1&gt;DATE(B148,9,30),"",G151+1))</f>
        <v/>
      </c>
      <c r="F152" s="46" t="str">
        <f t="shared" si="146"/>
        <v/>
      </c>
      <c r="G152" s="76" t="str">
        <f t="shared" si="148"/>
        <v/>
      </c>
      <c r="H152" s="46" t="str">
        <f t="shared" si="146"/>
        <v/>
      </c>
      <c r="I152" s="47" t="str">
        <f t="shared" si="149"/>
        <v/>
      </c>
      <c r="J152" s="50" t="str">
        <f t="shared" si="153"/>
        <v/>
      </c>
      <c r="K152" s="50" t="str">
        <f t="shared" si="154"/>
        <v/>
      </c>
      <c r="L152" s="82" t="str" cm="1">
        <f t="array" ref="L152">IF(AND(OR(J152=0,J152=""),OR(K152=0,K152="")),"",_xlfn.IFS($C$21&gt;=0.0035,0.003,$C$21&lt;0.0005,0,$C$21&lt;0.0035,$C$21-0.0005))</f>
        <v/>
      </c>
      <c r="M152" s="64" t="str">
        <f t="shared" si="150"/>
        <v/>
      </c>
      <c r="N152" s="65" t="str">
        <f t="shared" si="151"/>
        <v/>
      </c>
      <c r="O152" s="66" t="str">
        <f t="shared" si="152"/>
        <v/>
      </c>
      <c r="P152" s="17">
        <v>117</v>
      </c>
      <c r="Q152" s="20" t="str">
        <f t="shared" si="135"/>
        <v/>
      </c>
      <c r="Y152" s="14"/>
      <c r="Z152" s="14"/>
      <c r="AA152" s="4"/>
      <c r="AC152" s="4"/>
    </row>
    <row r="153" spans="1:29" s="14" customFormat="1" x14ac:dyDescent="0.4">
      <c r="A153" s="98">
        <f>B148</f>
        <v>2030</v>
      </c>
      <c r="B153" s="246"/>
      <c r="C153" s="247"/>
      <c r="D153" s="51" t="s">
        <v>88</v>
      </c>
      <c r="E153" s="74" t="str">
        <f>IF(OR(G152="",G153=""),"",IF(G152+1&gt;DATE(B148,9,30),"",G152+1))</f>
        <v/>
      </c>
      <c r="F153" s="181" t="str">
        <f t="shared" si="146"/>
        <v/>
      </c>
      <c r="G153" s="100" t="str">
        <f t="shared" si="148"/>
        <v/>
      </c>
      <c r="H153" s="181" t="str">
        <f t="shared" si="146"/>
        <v/>
      </c>
      <c r="I153" s="182" t="str">
        <f t="shared" si="149"/>
        <v/>
      </c>
      <c r="J153" s="50" t="str">
        <f t="shared" si="153"/>
        <v/>
      </c>
      <c r="K153" s="50" t="str">
        <f t="shared" si="154"/>
        <v/>
      </c>
      <c r="L153" s="183" t="str" cm="1">
        <f t="array" ref="L153">IF(AND(OR(J153=0,J153=""),OR(K153=0,K153="")),"",_xlfn.IFS($C$21&gt;=0.0035,0.003,$C$21&lt;0.0005,0,$C$21&lt;0.0035,$C$21-0.0005))</f>
        <v/>
      </c>
      <c r="M153" s="200" t="str">
        <f t="shared" si="150"/>
        <v/>
      </c>
      <c r="N153" s="68" t="str">
        <f t="shared" si="151"/>
        <v/>
      </c>
      <c r="O153" s="202" t="str">
        <f t="shared" si="152"/>
        <v/>
      </c>
      <c r="P153" s="17">
        <v>118</v>
      </c>
      <c r="Q153" s="20" t="str">
        <f t="shared" si="135"/>
        <v/>
      </c>
      <c r="S153" s="3"/>
      <c r="AA153" s="4"/>
      <c r="AB153" s="3"/>
      <c r="AC153" s="4"/>
    </row>
    <row r="154" spans="1:29" s="3" customFormat="1" ht="19.5" thickBot="1" x14ac:dyDescent="0.45">
      <c r="A154" s="98">
        <f>B148</f>
        <v>2030</v>
      </c>
      <c r="B154" s="246"/>
      <c r="C154" s="247"/>
      <c r="D154" s="51" t="s">
        <v>78</v>
      </c>
      <c r="E154" s="74" t="str">
        <f>IF(OR(G153="",G154=""),"",IF(G153+1&gt;DATE(B148,9,30),"",G153+1))</f>
        <v/>
      </c>
      <c r="F154" s="52" t="str">
        <f t="shared" si="146"/>
        <v/>
      </c>
      <c r="G154" s="76" t="str">
        <f t="shared" si="148"/>
        <v/>
      </c>
      <c r="H154" s="52" t="str">
        <f t="shared" si="146"/>
        <v/>
      </c>
      <c r="I154" s="53" t="str">
        <f t="shared" si="149"/>
        <v/>
      </c>
      <c r="J154" s="50" t="str">
        <f t="shared" si="153"/>
        <v/>
      </c>
      <c r="K154" s="50" t="str">
        <f t="shared" si="154"/>
        <v/>
      </c>
      <c r="L154" s="83" t="str" cm="1">
        <f t="array" ref="L154">IF(AND(OR(J154=0,J154=""),OR(K154=0,K154="")),"",_xlfn.IFS($C$21&gt;=0.0035,0.003,$C$21&lt;0.0005,0,$C$21&lt;0.0035,$C$21-0.0005))</f>
        <v/>
      </c>
      <c r="M154" s="67" t="str">
        <f t="shared" si="150"/>
        <v/>
      </c>
      <c r="N154" s="68" t="str">
        <f t="shared" si="151"/>
        <v/>
      </c>
      <c r="O154" s="69" t="str">
        <f t="shared" si="152"/>
        <v/>
      </c>
      <c r="P154" s="17">
        <v>119</v>
      </c>
      <c r="Q154" s="21" t="str">
        <f t="shared" si="135"/>
        <v/>
      </c>
      <c r="Y154" s="14"/>
      <c r="Z154" s="14"/>
      <c r="AA154" s="4"/>
      <c r="AC154" s="4"/>
    </row>
    <row r="155" spans="1:29" s="3" customFormat="1" ht="19.5" thickBot="1" x14ac:dyDescent="0.45">
      <c r="A155" s="98">
        <f>B148</f>
        <v>2030</v>
      </c>
      <c r="B155" s="246"/>
      <c r="C155" s="157" t="s">
        <v>10</v>
      </c>
      <c r="D155" s="58"/>
      <c r="E155" s="75" cm="1">
        <f t="array" ref="E155">_xlfn.SINGLE(IF(E148:E154&lt;&gt;"",MIN(E148:E154),""))</f>
        <v>47574</v>
      </c>
      <c r="F155" s="59" t="str">
        <f t="shared" si="146"/>
        <v>月</v>
      </c>
      <c r="G155" s="75" cm="1">
        <f t="array" ref="G155">_xlfn.SINGLE(IF(G148:G154&lt;&gt;"",MAX(G148:G154),""))</f>
        <v>47756</v>
      </c>
      <c r="H155" s="59" t="str">
        <f t="shared" si="146"/>
        <v>月</v>
      </c>
      <c r="I155" s="60">
        <f>SUM(I148:I154)</f>
        <v>183</v>
      </c>
      <c r="J155" s="58"/>
      <c r="K155" s="58"/>
      <c r="L155" s="84"/>
      <c r="M155" s="70">
        <f>SUM(M148:M154)</f>
        <v>743957</v>
      </c>
      <c r="N155" s="71"/>
      <c r="O155" s="72"/>
      <c r="P155" s="17">
        <v>120</v>
      </c>
      <c r="Q155" s="22">
        <f t="shared" si="135"/>
        <v>47756</v>
      </c>
      <c r="Y155" s="14"/>
      <c r="Z155" s="14"/>
      <c r="AA155" s="4"/>
      <c r="AB155" s="14"/>
      <c r="AC155" s="4"/>
    </row>
    <row r="156" spans="1:29" s="3" customFormat="1" x14ac:dyDescent="0.4">
      <c r="A156" s="98">
        <f>B148</f>
        <v>2030</v>
      </c>
      <c r="B156" s="246"/>
      <c r="C156" s="248" t="s">
        <v>4</v>
      </c>
      <c r="D156" s="54" t="s">
        <v>89</v>
      </c>
      <c r="E156" s="73">
        <f>IF(OR(G155="",G156=""),"",IF(G155+1&gt;DATE(B148+1,3,31),"",G155+1))</f>
        <v>47757</v>
      </c>
      <c r="F156" s="46" t="str">
        <f t="shared" si="146"/>
        <v>火</v>
      </c>
      <c r="G156" s="76">
        <f t="shared" ref="G156:G162" si="155">IF(OR(G155="",$C$19="",$C$20=""),"",IF(G155+1&gt;DATE(A148+1,3,31),"",IF($C$19="月末",IF(EOMONTH(G155,VLOOKUP($C$20,$U$35:$V$39,2,FALSE))&gt;DATE(A148+1,3,31),DATE(A148+1,3,31),EOMONTH(G155,VLOOKUP($C$20,$U$35:$V$39,2,FALSE))),IF(EOMONTH(G155,VLOOKUP($C$20,$U$35:$V$39,2,FALSE)-1)+$C$19&gt;DATE(A148+1,3,31),DATE(A148+1,3,31),EOMONTH(G155,VLOOKUP($C$20,$U$35:$V$39,2,FALSE)-1)+$C$19))))</f>
        <v>47817</v>
      </c>
      <c r="H156" s="46" t="str">
        <f t="shared" si="146"/>
        <v>土</v>
      </c>
      <c r="I156" s="47">
        <f t="shared" ref="I156:I162" si="156">IF(G156="","",DATEDIF(E156,G156,"D")+1)</f>
        <v>61</v>
      </c>
      <c r="J156" s="191" cm="1">
        <f t="array" ref="J156">_xlfn.SINGLE(IF(G156&lt;&gt;"",IF($C$5="","",IF(J148:J154&lt;&gt;"",IF(MIN(J148:J154)&lt;=0,"",IF(AND($C$19&lt;&gt;"月末",G155&lt;&gt;$C$18),IF(OR(AND(G155=DATE(A156,9,30),G155&lt;&gt;(DATE(A156,9,$C$19))),G155=DATE(A156,3,31)),MIN(J148:J154),IF(MIN(J148:J154)=$C$7,MIN(J148:J154)-$C$7,MIN(J148:J154)-$C$6)),IF(MIN(J148:J154)=$C$7,MIN(J148:J154)-$C$7,MIN(J148:J154)-$C$6))),"")),""))</f>
        <v>4250000000</v>
      </c>
      <c r="K156" s="191" cm="1">
        <f t="array" ref="K156">_xlfn.SINGLE(IF($C$12="","",IF(K148:K154&lt;&gt;"",IF(MIN(K148:K154)&lt;=0,"",IF(AND($C$19&lt;&gt;"月末",G155&lt;&gt;$C$18),IF(OR(AND(G155=DATE(A156,9,30),G155&lt;&gt;(DATE(A156,9,$C$19))),G155=DATE(A156,3,31)),MIN(K148:K154),IF(MIN(K148:K154)=$C$14,MIN(K148:K154)-$C$14,MIN(K148:K154)-$C$13)),IF(MIN(K148:K154)=$C$14,MIN(K148:K154)-$C$14,MIN(K148:K154)-$C$13))),"")))</f>
        <v>425000000</v>
      </c>
      <c r="L156" s="85" cm="1">
        <f t="array" ref="L156">IF(AND(OR(J156=0,J156=""),OR(K156=0,K156="")),"",_xlfn.IFS($C$21&gt;=0.0035,0.003,$C$21&lt;0.0005,0,$C$21&lt;0.0035,$C$21-0.0005))</f>
        <v>3.0000000000000001E-3</v>
      </c>
      <c r="M156" s="61">
        <f t="shared" ref="M156:M162" si="157">IF(OR(G156="",K156="",K156=0),"",ROUNDDOWN(K156*(I156/365)*L156,0))</f>
        <v>213082</v>
      </c>
      <c r="N156" s="62">
        <f t="shared" ref="N156:N162" si="158">IF(OR(J156="",J156=0,$G156=""),"",IF(AND($C$19&lt;&gt;"月末",$G156&lt;&gt;$C$18),IF(OR(AND($G156=DATE($A156,9,30),$G156&lt;&gt;DATE($A156,9,$C$19)),$G156=DATE($A156+1,3,31)),"",$C$6),$C$6))</f>
        <v>350000000</v>
      </c>
      <c r="O156" s="63">
        <f>IF(OR(K156="",K156=0,$G156=""),"",IF(AND($C$19&lt;&gt;"月末",$G156&lt;&gt;$C$18),IF(OR(AND($G156=DATE($A156,9,30),$G156&lt;&gt;DATE($A156,9,$C$19)),$G156=DATE($A156+1,3,31)),"",$C$13),$C$13))</f>
        <v>35000000</v>
      </c>
      <c r="P156" s="17">
        <v>121</v>
      </c>
      <c r="Q156" s="19">
        <f t="shared" si="135"/>
        <v>47817</v>
      </c>
      <c r="R156" s="4"/>
      <c r="Y156" s="14"/>
      <c r="Z156" s="14"/>
      <c r="AA156" s="4"/>
      <c r="AC156" s="4"/>
    </row>
    <row r="157" spans="1:29" s="3" customFormat="1" x14ac:dyDescent="0.4">
      <c r="A157" s="98">
        <f>B148</f>
        <v>2030</v>
      </c>
      <c r="B157" s="246"/>
      <c r="C157" s="247"/>
      <c r="D157" s="49" t="s">
        <v>90</v>
      </c>
      <c r="E157" s="73">
        <f>IF(OR(G156="",G157=""),"",IF(G156+1&gt;DATE(B148+1,3,31),"",G156+1))</f>
        <v>47818</v>
      </c>
      <c r="F157" s="46" t="str">
        <f t="shared" si="146"/>
        <v>日</v>
      </c>
      <c r="G157" s="76">
        <f t="shared" si="155"/>
        <v>47878</v>
      </c>
      <c r="H157" s="46" t="str">
        <f t="shared" si="146"/>
        <v>木</v>
      </c>
      <c r="I157" s="47">
        <f t="shared" si="156"/>
        <v>61</v>
      </c>
      <c r="J157" s="50">
        <f>IF(OR(G157="",J156="",$C$5=""),"",IF(J156&lt;=0,"",IF(J156=$C$7,J156-$C$7,J156-$C$6)))</f>
        <v>3900000000</v>
      </c>
      <c r="K157" s="50">
        <f>IF($C$12="","",IF(G157="","",IF(G157&lt;$C$15,"",IF(K156="","",IF(K156&lt;=0,"",IF(K156=$C$14,K156-$C$14,K156-$C$13))))))</f>
        <v>390000000</v>
      </c>
      <c r="L157" s="82" cm="1">
        <f t="array" ref="L157">IF(AND(OR(J157=0,J157=""),OR(K157=0,K157="")),"",_xlfn.IFS($C$21&gt;=0.0035,0.003,$C$21&lt;0.0005,0,$C$21&lt;0.0035,$C$21-0.0005))</f>
        <v>3.0000000000000001E-3</v>
      </c>
      <c r="M157" s="64">
        <f t="shared" si="157"/>
        <v>195534</v>
      </c>
      <c r="N157" s="65">
        <f t="shared" si="158"/>
        <v>350000000</v>
      </c>
      <c r="O157" s="66">
        <f t="shared" ref="O157:O162" si="159">IF(OR(K157="",K157=0,$G157=""),"",IF(AND($C$19&lt;&gt;"月末",$G157&lt;&gt;$C$18),IF(OR(AND($G157=DATE($A157,9,30),$G157&lt;&gt;DATE($A157,9,$C$19)),$G157=DATE($A157+1,3,31)),"",$C$13),$C$13))</f>
        <v>35000000</v>
      </c>
      <c r="P157" s="17">
        <v>122</v>
      </c>
      <c r="Q157" s="20">
        <f t="shared" si="135"/>
        <v>47878</v>
      </c>
      <c r="R157" s="4"/>
      <c r="Y157" s="14"/>
      <c r="Z157" s="14"/>
      <c r="AA157" s="4"/>
      <c r="AC157" s="4"/>
    </row>
    <row r="158" spans="1:29" s="3" customFormat="1" x14ac:dyDescent="0.4">
      <c r="A158" s="98">
        <f>B148</f>
        <v>2030</v>
      </c>
      <c r="B158" s="246"/>
      <c r="C158" s="247"/>
      <c r="D158" s="49" t="s">
        <v>91</v>
      </c>
      <c r="E158" s="73">
        <f>IF(OR(G157="",G158=""),"",IF(G157+1&gt;DATE(B148+1,3,31),"",G157+1))</f>
        <v>47879</v>
      </c>
      <c r="F158" s="46" t="str">
        <f t="shared" si="146"/>
        <v>金</v>
      </c>
      <c r="G158" s="76">
        <f t="shared" si="155"/>
        <v>47937</v>
      </c>
      <c r="H158" s="46" t="str">
        <f t="shared" si="146"/>
        <v>日</v>
      </c>
      <c r="I158" s="47">
        <f t="shared" si="156"/>
        <v>59</v>
      </c>
      <c r="J158" s="50">
        <f t="shared" ref="J158:J162" si="160">IF(OR(G158="",J157="",$C$5=""),"",IF(J157&lt;=0,"",IF(J157=$C$7,J157-$C$7,J157-$C$6)))</f>
        <v>3550000000</v>
      </c>
      <c r="K158" s="50">
        <f t="shared" ref="K158:K162" si="161">IF($C$12="","",IF(G158="","",IF(G158&lt;$C$15,"",IF(K157="","",IF(K157&lt;=0,"",IF(K157=$C$14,K157-$C$14,K157-$C$13))))))</f>
        <v>355000000</v>
      </c>
      <c r="L158" s="82" cm="1">
        <f t="array" ref="L158">IF(AND(OR(J158=0,J158=""),OR(K158=0,K158="")),"",_xlfn.IFS($C$21&gt;=0.0035,0.003,$C$21&lt;0.0005,0,$C$21&lt;0.0035,$C$21-0.0005))</f>
        <v>3.0000000000000001E-3</v>
      </c>
      <c r="M158" s="64">
        <f t="shared" si="157"/>
        <v>172150</v>
      </c>
      <c r="N158" s="65">
        <f t="shared" si="158"/>
        <v>350000000</v>
      </c>
      <c r="O158" s="66">
        <f t="shared" si="159"/>
        <v>35000000</v>
      </c>
      <c r="P158" s="17">
        <v>123</v>
      </c>
      <c r="Q158" s="20">
        <f t="shared" si="135"/>
        <v>47937</v>
      </c>
      <c r="S158" s="14"/>
      <c r="Y158" s="14"/>
      <c r="Z158" s="14"/>
      <c r="AA158" s="4"/>
      <c r="AC158" s="4"/>
    </row>
    <row r="159" spans="1:29" s="3" customFormat="1" x14ac:dyDescent="0.4">
      <c r="A159" s="98">
        <f>B148</f>
        <v>2030</v>
      </c>
      <c r="B159" s="246"/>
      <c r="C159" s="247"/>
      <c r="D159" s="49" t="s">
        <v>92</v>
      </c>
      <c r="E159" s="73">
        <f>IF(OR(G158="",G159=""),"",IF(G158+1&gt;DATE(B148+1,3,31),"",G158+1))</f>
        <v>47938</v>
      </c>
      <c r="F159" s="46" t="str">
        <f t="shared" si="146"/>
        <v>月</v>
      </c>
      <c r="G159" s="76">
        <f t="shared" si="155"/>
        <v>47938</v>
      </c>
      <c r="H159" s="46" t="str">
        <f t="shared" si="146"/>
        <v>月</v>
      </c>
      <c r="I159" s="47">
        <f t="shared" si="156"/>
        <v>1</v>
      </c>
      <c r="J159" s="50">
        <f t="shared" si="160"/>
        <v>3200000000</v>
      </c>
      <c r="K159" s="50">
        <f t="shared" si="161"/>
        <v>320000000</v>
      </c>
      <c r="L159" s="82" cm="1">
        <f t="array" ref="L159">IF(AND(OR(J159=0,J159=""),OR(K159=0,K159="")),"",_xlfn.IFS($C$21&gt;=0.0035,0.003,$C$21&lt;0.0005,0,$C$21&lt;0.0035,$C$21-0.0005))</f>
        <v>3.0000000000000001E-3</v>
      </c>
      <c r="M159" s="64">
        <f t="shared" si="157"/>
        <v>2630</v>
      </c>
      <c r="N159" s="65" t="str">
        <f t="shared" si="158"/>
        <v/>
      </c>
      <c r="O159" s="66" t="str">
        <f t="shared" si="159"/>
        <v/>
      </c>
      <c r="P159" s="17">
        <v>124</v>
      </c>
      <c r="Q159" s="20">
        <f t="shared" si="135"/>
        <v>47938</v>
      </c>
      <c r="Y159" s="14"/>
      <c r="Z159" s="14"/>
      <c r="AA159" s="4"/>
      <c r="AC159" s="4"/>
    </row>
    <row r="160" spans="1:29" s="3" customFormat="1" x14ac:dyDescent="0.4">
      <c r="A160" s="98">
        <f>B148</f>
        <v>2030</v>
      </c>
      <c r="B160" s="246"/>
      <c r="C160" s="247"/>
      <c r="D160" s="49" t="s">
        <v>93</v>
      </c>
      <c r="E160" s="73" t="str">
        <f>IF(OR(G159="",G160=""),"",IF(G159+1&gt;DATE(B148+1,3,31),"",G159+1))</f>
        <v/>
      </c>
      <c r="F160" s="46" t="str">
        <f t="shared" si="146"/>
        <v/>
      </c>
      <c r="G160" s="76" t="str">
        <f t="shared" si="155"/>
        <v/>
      </c>
      <c r="H160" s="46" t="str">
        <f t="shared" si="146"/>
        <v/>
      </c>
      <c r="I160" s="47" t="str">
        <f t="shared" si="156"/>
        <v/>
      </c>
      <c r="J160" s="50" t="str">
        <f t="shared" si="160"/>
        <v/>
      </c>
      <c r="K160" s="50" t="str">
        <f t="shared" si="161"/>
        <v/>
      </c>
      <c r="L160" s="82" t="str" cm="1">
        <f t="array" ref="L160">IF(AND(OR(J160=0,J160=""),OR(K160=0,K160="")),"",_xlfn.IFS($C$21&gt;=0.0035,0.003,$C$21&lt;0.0005,0,$C$21&lt;0.0035,$C$21-0.0005))</f>
        <v/>
      </c>
      <c r="M160" s="64" t="str">
        <f t="shared" si="157"/>
        <v/>
      </c>
      <c r="N160" s="65" t="str">
        <f t="shared" si="158"/>
        <v/>
      </c>
      <c r="O160" s="66" t="str">
        <f t="shared" si="159"/>
        <v/>
      </c>
      <c r="P160" s="17">
        <v>125</v>
      </c>
      <c r="Q160" s="20" t="str">
        <f t="shared" si="135"/>
        <v/>
      </c>
      <c r="Y160" s="14"/>
      <c r="Z160" s="14"/>
      <c r="AA160" s="4"/>
      <c r="AC160" s="4"/>
    </row>
    <row r="161" spans="1:29" s="14" customFormat="1" x14ac:dyDescent="0.4">
      <c r="A161" s="98">
        <f>B148</f>
        <v>2030</v>
      </c>
      <c r="B161" s="246"/>
      <c r="C161" s="247"/>
      <c r="D161" s="51" t="s">
        <v>82</v>
      </c>
      <c r="E161" s="74" t="str">
        <f>IF(OR(G160="",G161=""),"",IF(G160+1&gt;DATE(B148+1,3,31),"",G160+1))</f>
        <v/>
      </c>
      <c r="F161" s="181" t="str">
        <f t="shared" si="146"/>
        <v/>
      </c>
      <c r="G161" s="100" t="str">
        <f t="shared" si="155"/>
        <v/>
      </c>
      <c r="H161" s="181" t="str">
        <f t="shared" si="146"/>
        <v/>
      </c>
      <c r="I161" s="182" t="str">
        <f t="shared" si="156"/>
        <v/>
      </c>
      <c r="J161" s="50" t="str">
        <f t="shared" si="160"/>
        <v/>
      </c>
      <c r="K161" s="50" t="str">
        <f t="shared" si="161"/>
        <v/>
      </c>
      <c r="L161" s="183" t="str" cm="1">
        <f t="array" ref="L161">IF(AND(OR(J161=0,J161=""),OR(K161=0,K161="")),"",_xlfn.IFS($C$21&gt;=0.0035,0.003,$C$21&lt;0.0005,0,$C$21&lt;0.0035,$C$21-0.0005))</f>
        <v/>
      </c>
      <c r="M161" s="200" t="str">
        <f t="shared" si="157"/>
        <v/>
      </c>
      <c r="N161" s="68" t="str">
        <f t="shared" si="158"/>
        <v/>
      </c>
      <c r="O161" s="202" t="str">
        <f t="shared" si="159"/>
        <v/>
      </c>
      <c r="P161" s="17">
        <v>126</v>
      </c>
      <c r="Q161" s="20" t="str">
        <f t="shared" si="135"/>
        <v/>
      </c>
      <c r="S161" s="3"/>
      <c r="AA161" s="4"/>
      <c r="AB161" s="3"/>
      <c r="AC161" s="4"/>
    </row>
    <row r="162" spans="1:29" s="3" customFormat="1" ht="19.5" thickBot="1" x14ac:dyDescent="0.45">
      <c r="A162" s="98">
        <f>B148</f>
        <v>2030</v>
      </c>
      <c r="B162" s="246"/>
      <c r="C162" s="247"/>
      <c r="D162" s="51" t="s">
        <v>80</v>
      </c>
      <c r="E162" s="74" t="str">
        <f>IF(OR(G161="",G162=""),"",IF(G161+1&gt;DATE(B148+1,3,31),"",G161+1))</f>
        <v/>
      </c>
      <c r="F162" s="52" t="str">
        <f t="shared" si="146"/>
        <v/>
      </c>
      <c r="G162" s="76" t="str">
        <f t="shared" si="155"/>
        <v/>
      </c>
      <c r="H162" s="52" t="str">
        <f t="shared" si="146"/>
        <v/>
      </c>
      <c r="I162" s="53" t="str">
        <f t="shared" si="156"/>
        <v/>
      </c>
      <c r="J162" s="50" t="str">
        <f t="shared" si="160"/>
        <v/>
      </c>
      <c r="K162" s="50" t="str">
        <f t="shared" si="161"/>
        <v/>
      </c>
      <c r="L162" s="83" t="str" cm="1">
        <f t="array" ref="L162">IF(AND(OR(J162=0,J162=""),OR(K162=0,K162="")),"",_xlfn.IFS($C$21&gt;=0.0035,0.003,$C$21&lt;0.0005,0,$C$21&lt;0.0035,$C$21-0.0005))</f>
        <v/>
      </c>
      <c r="M162" s="67" t="str">
        <f t="shared" si="157"/>
        <v/>
      </c>
      <c r="N162" s="68" t="str">
        <f t="shared" si="158"/>
        <v/>
      </c>
      <c r="O162" s="69" t="str">
        <f t="shared" si="159"/>
        <v/>
      </c>
      <c r="P162" s="17">
        <v>127</v>
      </c>
      <c r="Q162" s="21" t="str">
        <f t="shared" si="135"/>
        <v/>
      </c>
      <c r="Y162" s="14"/>
      <c r="Z162" s="14"/>
      <c r="AA162" s="4"/>
      <c r="AC162" s="4"/>
    </row>
    <row r="163" spans="1:29" s="3" customFormat="1" ht="19.5" thickBot="1" x14ac:dyDescent="0.45">
      <c r="A163" s="99">
        <f>B148</f>
        <v>2030</v>
      </c>
      <c r="B163" s="234"/>
      <c r="C163" s="157" t="s">
        <v>10</v>
      </c>
      <c r="D163" s="58"/>
      <c r="E163" s="75" cm="1">
        <f t="array" ref="E163">_xlfn.SINGLE(IF(E156:E162&lt;&gt;"",MIN(E156:E162),""))</f>
        <v>47757</v>
      </c>
      <c r="F163" s="59" t="str">
        <f t="shared" si="146"/>
        <v>火</v>
      </c>
      <c r="G163" s="75" cm="1">
        <f t="array" ref="G163">_xlfn.SINGLE(IF(G156:G162&lt;&gt;"",MAX(G156:G162),""))</f>
        <v>47938</v>
      </c>
      <c r="H163" s="59" t="str">
        <f t="shared" si="146"/>
        <v>月</v>
      </c>
      <c r="I163" s="60">
        <f>SUM(I156:I162)</f>
        <v>182</v>
      </c>
      <c r="J163" s="58"/>
      <c r="K163" s="58"/>
      <c r="L163" s="84"/>
      <c r="M163" s="70">
        <f>SUM(M156:M162)</f>
        <v>583396</v>
      </c>
      <c r="N163" s="71"/>
      <c r="O163" s="72"/>
      <c r="P163" s="17">
        <v>128</v>
      </c>
      <c r="Q163" s="22">
        <f t="shared" si="135"/>
        <v>47938</v>
      </c>
      <c r="Y163" s="14"/>
      <c r="Z163" s="14"/>
      <c r="AA163" s="4"/>
      <c r="AB163" s="14"/>
      <c r="AC163" s="4"/>
    </row>
    <row r="164" spans="1:29" s="3" customFormat="1" x14ac:dyDescent="0.4">
      <c r="A164" s="97">
        <f>B164</f>
        <v>2031</v>
      </c>
      <c r="B164" s="233">
        <f t="shared" ref="B164" si="162">B148+1</f>
        <v>2031</v>
      </c>
      <c r="C164" s="247" t="s">
        <v>3</v>
      </c>
      <c r="D164" s="45" t="s">
        <v>83</v>
      </c>
      <c r="E164" s="73">
        <f>IF(OR(G163="",G164=""),"",IF(G163+1&gt;DATE(B164,9,30),"",G163+1))</f>
        <v>47939</v>
      </c>
      <c r="F164" s="46" t="str">
        <f t="shared" si="146"/>
        <v>火</v>
      </c>
      <c r="G164" s="76">
        <f t="shared" ref="G164:G170" si="163">IF(OR(G163="",$C$19="",$C$20=""),"",IF(G163+1&gt;DATE(A164,9,30),"",IF($C$19="月末",IF(EOMONTH(G163,VLOOKUP($C$20,$U$35:$V$39,2,FALSE))&gt;DATE(A164,9,30),DATE(A164,9,30),EOMONTH(G163,VLOOKUP($C$20,$U$35:$V$39,2,FALSE))),IF(EOMONTH(G163,VLOOKUP($C$20,$U$35:$V$39,2,FALSE)-1)+$C$19&gt;DATE(A164,9,30),DATE(A164,9,30),EOMONTH(G163,VLOOKUP($C$20,$U$35:$V$39,2,FALSE)-1)+$C$19))))</f>
        <v>47998</v>
      </c>
      <c r="H164" s="46" t="str">
        <f t="shared" si="146"/>
        <v>金</v>
      </c>
      <c r="I164" s="47">
        <f t="shared" ref="I164:I170" si="164">IF(G164="","",DATEDIF(E164,G164,"D")+1)</f>
        <v>60</v>
      </c>
      <c r="J164" s="191" cm="1">
        <f t="array" ref="J164">_xlfn.SINGLE(IF(G164&lt;&gt;"",IF($C$5="","",IF(J156:J162&lt;&gt;"",IF(MIN(J156:J162)&lt;=0,"",IF(AND($C$19&lt;&gt;"月末",G163&lt;&gt;$C$18),IF(OR(AND(G163=DATE(A164,9,30),G163&lt;&gt;(DATE(A164,9,$C$19))),G163=DATE(A164,3,31)),MIN(J156:J162),IF(MIN(J156:J162)=$C$7,MIN(J156:J162)-$C$7,MIN(J156:J162)-$C$6)),IF(MIN(J156:J162)=$C$7,MIN(J156:J162)-$C$7,MIN(J156:J162)-$C$6))),"")),""))</f>
        <v>3200000000</v>
      </c>
      <c r="K164" s="191" cm="1">
        <f t="array" ref="K164">_xlfn.SINGLE(IF($C$12="","",IF(K156:K162&lt;&gt;"",IF(MIN(K156:K162)&lt;=0,"",IF(AND($C$19&lt;&gt;"月末",G163&lt;&gt;$C$18),IF(OR(AND(G163=DATE(A164,9,30),G163&lt;&gt;(DATE(A164,9,$C$19))),G163=DATE(A164,3,31)),MIN(K156:K162),IF(MIN(K156:K162)=$C$14,MIN(K156:K162)-$C$14,MIN(K156:K162)-$C$13)),IF(MIN(K156:K162)=$C$14,MIN(K156:K162)-$C$14,MIN(K156:K162)-$C$13))),"")))</f>
        <v>320000000</v>
      </c>
      <c r="L164" s="82" cm="1">
        <f t="array" ref="L164">IF(AND(OR(J164=0,J164=""),OR(K164=0,K164="")),"",_xlfn.IFS($C$21&gt;=0.0035,0.003,$C$21&lt;0.0005,0,$C$21&lt;0.0035,$C$21-0.0005))</f>
        <v>3.0000000000000001E-3</v>
      </c>
      <c r="M164" s="61">
        <f t="shared" ref="M164:M170" si="165">IF(OR(G164="",K164="",K164=0),"",ROUNDDOWN(K164*(I164/365)*L164,0))</f>
        <v>157808</v>
      </c>
      <c r="N164" s="62">
        <f t="shared" ref="N164:N170" si="166">IF(OR(J164="",J164=0,$G164=""),"",IF(AND($C$19&lt;&gt;"月末",$G164&lt;&gt;$C$18),IF(OR(AND($G164=DATE($A164,9,30),$G164&lt;&gt;DATE($A164,9,$C$19)),$G164=DATE($A164+1,3,31)),"",$C$6),$C$6))</f>
        <v>350000000</v>
      </c>
      <c r="O164" s="63">
        <f>IF(OR(K164="",K164=0,$G164=""),"",IF(AND($C$19&lt;&gt;"月末",$G164&lt;&gt;$C$18),IF(OR(AND($G164=DATE($A164,9,30),$G164&lt;&gt;DATE($A164,9,$C$19)),$G164=DATE($A164+1,3,31)),"",$C$13),$C$13))</f>
        <v>35000000</v>
      </c>
      <c r="P164" s="17">
        <v>129</v>
      </c>
      <c r="Q164" s="19">
        <f t="shared" ref="Q164:Q195" si="167">IF(G164&lt;&gt;"",G164,"")</f>
        <v>47998</v>
      </c>
      <c r="R164" s="4"/>
      <c r="Y164" s="14"/>
      <c r="Z164" s="14"/>
      <c r="AA164" s="4"/>
      <c r="AC164" s="4"/>
    </row>
    <row r="165" spans="1:29" s="3" customFormat="1" x14ac:dyDescent="0.4">
      <c r="A165" s="98">
        <f>B164</f>
        <v>2031</v>
      </c>
      <c r="B165" s="246"/>
      <c r="C165" s="247"/>
      <c r="D165" s="49" t="s">
        <v>84</v>
      </c>
      <c r="E165" s="73">
        <f>IF(OR(G164="",G165=""),"",IF(G164+1&gt;DATE(B164,9,30),"",G164+1))</f>
        <v>47999</v>
      </c>
      <c r="F165" s="46" t="str">
        <f t="shared" si="146"/>
        <v>土</v>
      </c>
      <c r="G165" s="76">
        <f t="shared" si="163"/>
        <v>48059</v>
      </c>
      <c r="H165" s="46" t="str">
        <f t="shared" si="146"/>
        <v>水</v>
      </c>
      <c r="I165" s="47">
        <f t="shared" si="164"/>
        <v>61</v>
      </c>
      <c r="J165" s="50">
        <f>IF(OR(G165="",J164="",$C$5=""),"",IF(J164&lt;=0,"",IF(J164=$C$7,J164-$C$7,J164-$C$6)))</f>
        <v>2850000000</v>
      </c>
      <c r="K165" s="50">
        <f>IF($C$12="","",IF(G165="","",IF(G165&lt;$C$15,"",IF(K164="","",IF(K164&lt;=0,"",IF(K164=$C$14,K164-$C$14,K164-$C$13))))))</f>
        <v>285000000</v>
      </c>
      <c r="L165" s="82" cm="1">
        <f t="array" ref="L165">IF(AND(OR(J165=0,J165=""),OR(K165=0,K165="")),"",_xlfn.IFS($C$21&gt;=0.0035,0.003,$C$21&lt;0.0005,0,$C$21&lt;0.0035,$C$21-0.0005))</f>
        <v>3.0000000000000001E-3</v>
      </c>
      <c r="M165" s="64">
        <f t="shared" si="165"/>
        <v>142890</v>
      </c>
      <c r="N165" s="65">
        <f t="shared" si="166"/>
        <v>350000000</v>
      </c>
      <c r="O165" s="66">
        <f t="shared" ref="O165:O170" si="168">IF(OR(K165="",K165=0,$G165=""),"",IF(AND($C$19&lt;&gt;"月末",$G165&lt;&gt;$C$18),IF(OR(AND($G165=DATE($A165,9,30),$G165&lt;&gt;DATE($A165,9,$C$19)),$G165=DATE($A165+1,3,31)),"",$C$13),$C$13))</f>
        <v>35000000</v>
      </c>
      <c r="P165" s="17">
        <v>130</v>
      </c>
      <c r="Q165" s="20">
        <f t="shared" si="167"/>
        <v>48059</v>
      </c>
      <c r="R165" s="4"/>
      <c r="Y165" s="14"/>
      <c r="Z165" s="14"/>
      <c r="AA165" s="4"/>
      <c r="AC165" s="4"/>
    </row>
    <row r="166" spans="1:29" s="3" customFormat="1" x14ac:dyDescent="0.4">
      <c r="A166" s="98">
        <f>B164</f>
        <v>2031</v>
      </c>
      <c r="B166" s="246"/>
      <c r="C166" s="247"/>
      <c r="D166" s="49" t="s">
        <v>85</v>
      </c>
      <c r="E166" s="73">
        <f>IF(OR(G165="",G166=""),"",IF(G165+1&gt;DATE(B164,9,30),"",G165+1))</f>
        <v>48060</v>
      </c>
      <c r="F166" s="46" t="str">
        <f t="shared" si="146"/>
        <v>木</v>
      </c>
      <c r="G166" s="76">
        <f t="shared" si="163"/>
        <v>48121</v>
      </c>
      <c r="H166" s="46" t="str">
        <f t="shared" si="146"/>
        <v>火</v>
      </c>
      <c r="I166" s="47">
        <f t="shared" si="164"/>
        <v>62</v>
      </c>
      <c r="J166" s="50">
        <f t="shared" ref="J166:J170" si="169">IF(OR(G166="",J165="",$C$5=""),"",IF(J165&lt;=0,"",IF(J165=$C$7,J165-$C$7,J165-$C$6)))</f>
        <v>2500000000</v>
      </c>
      <c r="K166" s="50">
        <f t="shared" ref="K166:K170" si="170">IF($C$12="","",IF(G166="","",IF(G166&lt;$C$15,"",IF(K165="","",IF(K165&lt;=0,"",IF(K165=$C$14,K165-$C$14,K165-$C$13))))))</f>
        <v>250000000</v>
      </c>
      <c r="L166" s="82" cm="1">
        <f t="array" ref="L166">IF(AND(OR(J166=0,J166=""),OR(K166=0,K166="")),"",_xlfn.IFS($C$21&gt;=0.0035,0.003,$C$21&lt;0.0005,0,$C$21&lt;0.0035,$C$21-0.0005))</f>
        <v>3.0000000000000001E-3</v>
      </c>
      <c r="M166" s="64">
        <f t="shared" si="165"/>
        <v>127397</v>
      </c>
      <c r="N166" s="65">
        <f t="shared" si="166"/>
        <v>350000000</v>
      </c>
      <c r="O166" s="66">
        <f t="shared" si="168"/>
        <v>35000000</v>
      </c>
      <c r="P166" s="17">
        <v>131</v>
      </c>
      <c r="Q166" s="20">
        <f t="shared" si="167"/>
        <v>48121</v>
      </c>
      <c r="S166" s="14"/>
      <c r="Y166" s="14"/>
      <c r="Z166" s="14"/>
      <c r="AA166" s="4"/>
      <c r="AC166" s="4"/>
    </row>
    <row r="167" spans="1:29" s="3" customFormat="1" x14ac:dyDescent="0.4">
      <c r="A167" s="98">
        <f>B164</f>
        <v>2031</v>
      </c>
      <c r="B167" s="246"/>
      <c r="C167" s="247"/>
      <c r="D167" s="49" t="s">
        <v>86</v>
      </c>
      <c r="E167" s="73" t="str">
        <f>IF(OR(G166="",G167=""),"",IF(G166+1&gt;DATE(B164,9,30),"",G166+1))</f>
        <v/>
      </c>
      <c r="F167" s="46" t="str">
        <f t="shared" si="146"/>
        <v/>
      </c>
      <c r="G167" s="76" t="str">
        <f t="shared" si="163"/>
        <v/>
      </c>
      <c r="H167" s="46" t="str">
        <f t="shared" si="146"/>
        <v/>
      </c>
      <c r="I167" s="47" t="str">
        <f t="shared" si="164"/>
        <v/>
      </c>
      <c r="J167" s="50" t="str">
        <f t="shared" si="169"/>
        <v/>
      </c>
      <c r="K167" s="50" t="str">
        <f t="shared" si="170"/>
        <v/>
      </c>
      <c r="L167" s="82" t="str" cm="1">
        <f t="array" ref="L167">IF(AND(OR(J167=0,J167=""),OR(K167=0,K167="")),"",_xlfn.IFS($C$21&gt;=0.0035,0.003,$C$21&lt;0.0005,0,$C$21&lt;0.0035,$C$21-0.0005))</f>
        <v/>
      </c>
      <c r="M167" s="64" t="str">
        <f t="shared" si="165"/>
        <v/>
      </c>
      <c r="N167" s="65" t="str">
        <f t="shared" si="166"/>
        <v/>
      </c>
      <c r="O167" s="66" t="str">
        <f t="shared" si="168"/>
        <v/>
      </c>
      <c r="P167" s="17">
        <v>132</v>
      </c>
      <c r="Q167" s="20" t="str">
        <f t="shared" si="167"/>
        <v/>
      </c>
      <c r="Y167" s="14"/>
      <c r="Z167" s="14"/>
      <c r="AA167" s="4"/>
      <c r="AC167" s="4"/>
    </row>
    <row r="168" spans="1:29" s="3" customFormat="1" x14ac:dyDescent="0.4">
      <c r="A168" s="98">
        <f>B164</f>
        <v>2031</v>
      </c>
      <c r="B168" s="246"/>
      <c r="C168" s="247"/>
      <c r="D168" s="49" t="s">
        <v>87</v>
      </c>
      <c r="E168" s="73" t="str">
        <f>IF(OR(G167="",G168=""),"",IF(G167+1&gt;DATE(B164,9,30),"",G167+1))</f>
        <v/>
      </c>
      <c r="F168" s="46" t="str">
        <f t="shared" si="146"/>
        <v/>
      </c>
      <c r="G168" s="76" t="str">
        <f t="shared" si="163"/>
        <v/>
      </c>
      <c r="H168" s="46" t="str">
        <f t="shared" si="146"/>
        <v/>
      </c>
      <c r="I168" s="47" t="str">
        <f t="shared" si="164"/>
        <v/>
      </c>
      <c r="J168" s="50" t="str">
        <f t="shared" si="169"/>
        <v/>
      </c>
      <c r="K168" s="50" t="str">
        <f t="shared" si="170"/>
        <v/>
      </c>
      <c r="L168" s="82" t="str" cm="1">
        <f t="array" ref="L168">IF(AND(OR(J168=0,J168=""),OR(K168=0,K168="")),"",_xlfn.IFS($C$21&gt;=0.0035,0.003,$C$21&lt;0.0005,0,$C$21&lt;0.0035,$C$21-0.0005))</f>
        <v/>
      </c>
      <c r="M168" s="64" t="str">
        <f t="shared" si="165"/>
        <v/>
      </c>
      <c r="N168" s="65" t="str">
        <f t="shared" si="166"/>
        <v/>
      </c>
      <c r="O168" s="66" t="str">
        <f t="shared" si="168"/>
        <v/>
      </c>
      <c r="P168" s="17">
        <v>133</v>
      </c>
      <c r="Q168" s="20" t="str">
        <f t="shared" si="167"/>
        <v/>
      </c>
      <c r="Y168" s="14"/>
      <c r="Z168" s="14"/>
      <c r="AA168" s="4"/>
      <c r="AC168" s="4"/>
    </row>
    <row r="169" spans="1:29" s="14" customFormat="1" x14ac:dyDescent="0.4">
      <c r="A169" s="98">
        <f>B164</f>
        <v>2031</v>
      </c>
      <c r="B169" s="246"/>
      <c r="C169" s="247"/>
      <c r="D169" s="51" t="s">
        <v>88</v>
      </c>
      <c r="E169" s="74" t="str">
        <f>IF(OR(G168="",G169=""),"",IF(G168+1&gt;DATE(B164,9,30),"",G168+1))</f>
        <v/>
      </c>
      <c r="F169" s="181" t="str">
        <f t="shared" si="146"/>
        <v/>
      </c>
      <c r="G169" s="100" t="str">
        <f t="shared" si="163"/>
        <v/>
      </c>
      <c r="H169" s="181" t="str">
        <f t="shared" si="146"/>
        <v/>
      </c>
      <c r="I169" s="182" t="str">
        <f t="shared" si="164"/>
        <v/>
      </c>
      <c r="J169" s="50" t="str">
        <f t="shared" si="169"/>
        <v/>
      </c>
      <c r="K169" s="50" t="str">
        <f t="shared" si="170"/>
        <v/>
      </c>
      <c r="L169" s="183" t="str" cm="1">
        <f t="array" ref="L169">IF(AND(OR(J169=0,J169=""),OR(K169=0,K169="")),"",_xlfn.IFS($C$21&gt;=0.0035,0.003,$C$21&lt;0.0005,0,$C$21&lt;0.0035,$C$21-0.0005))</f>
        <v/>
      </c>
      <c r="M169" s="200" t="str">
        <f t="shared" si="165"/>
        <v/>
      </c>
      <c r="N169" s="68" t="str">
        <f t="shared" si="166"/>
        <v/>
      </c>
      <c r="O169" s="202" t="str">
        <f t="shared" si="168"/>
        <v/>
      </c>
      <c r="P169" s="17">
        <v>134</v>
      </c>
      <c r="Q169" s="20" t="str">
        <f t="shared" si="167"/>
        <v/>
      </c>
      <c r="S169" s="3"/>
      <c r="AA169" s="4"/>
      <c r="AB169" s="3"/>
      <c r="AC169" s="4"/>
    </row>
    <row r="170" spans="1:29" s="3" customFormat="1" ht="19.5" thickBot="1" x14ac:dyDescent="0.45">
      <c r="A170" s="98">
        <f>B164</f>
        <v>2031</v>
      </c>
      <c r="B170" s="246"/>
      <c r="C170" s="247"/>
      <c r="D170" s="51" t="s">
        <v>78</v>
      </c>
      <c r="E170" s="74" t="str">
        <f>IF(OR(G169="",G170=""),"",IF(G169+1&gt;DATE(B164,9,30),"",G169+1))</f>
        <v/>
      </c>
      <c r="F170" s="52" t="str">
        <f t="shared" si="146"/>
        <v/>
      </c>
      <c r="G170" s="76" t="str">
        <f t="shared" si="163"/>
        <v/>
      </c>
      <c r="H170" s="52" t="str">
        <f t="shared" si="146"/>
        <v/>
      </c>
      <c r="I170" s="53" t="str">
        <f t="shared" si="164"/>
        <v/>
      </c>
      <c r="J170" s="50" t="str">
        <f t="shared" si="169"/>
        <v/>
      </c>
      <c r="K170" s="50" t="str">
        <f t="shared" si="170"/>
        <v/>
      </c>
      <c r="L170" s="83" t="str" cm="1">
        <f t="array" ref="L170">IF(AND(OR(J170=0,J170=""),OR(K170=0,K170="")),"",_xlfn.IFS($C$21&gt;=0.0035,0.003,$C$21&lt;0.0005,0,$C$21&lt;0.0035,$C$21-0.0005))</f>
        <v/>
      </c>
      <c r="M170" s="67" t="str">
        <f t="shared" si="165"/>
        <v/>
      </c>
      <c r="N170" s="68" t="str">
        <f t="shared" si="166"/>
        <v/>
      </c>
      <c r="O170" s="69" t="str">
        <f t="shared" si="168"/>
        <v/>
      </c>
      <c r="P170" s="17">
        <v>135</v>
      </c>
      <c r="Q170" s="21" t="str">
        <f t="shared" si="167"/>
        <v/>
      </c>
      <c r="Y170" s="14"/>
      <c r="Z170" s="14"/>
      <c r="AA170" s="4"/>
      <c r="AC170" s="4"/>
    </row>
    <row r="171" spans="1:29" s="3" customFormat="1" ht="19.5" thickBot="1" x14ac:dyDescent="0.45">
      <c r="A171" s="98">
        <f>B164</f>
        <v>2031</v>
      </c>
      <c r="B171" s="246"/>
      <c r="C171" s="157" t="s">
        <v>10</v>
      </c>
      <c r="D171" s="58"/>
      <c r="E171" s="75" cm="1">
        <f t="array" ref="E171">_xlfn.SINGLE(IF(E164:E170&lt;&gt;"",MIN(E164:E170),""))</f>
        <v>47939</v>
      </c>
      <c r="F171" s="59" t="str">
        <f t="shared" si="146"/>
        <v>火</v>
      </c>
      <c r="G171" s="75" cm="1">
        <f t="array" ref="G171">_xlfn.SINGLE(IF(G164:G170&lt;&gt;"",MAX(G164:G170),""))</f>
        <v>48121</v>
      </c>
      <c r="H171" s="59" t="str">
        <f t="shared" si="146"/>
        <v>火</v>
      </c>
      <c r="I171" s="60">
        <f>SUM(I164:I170)</f>
        <v>183</v>
      </c>
      <c r="J171" s="58"/>
      <c r="K171" s="58"/>
      <c r="L171" s="84"/>
      <c r="M171" s="70">
        <f>SUM(M164:M170)</f>
        <v>428095</v>
      </c>
      <c r="N171" s="71"/>
      <c r="O171" s="72"/>
      <c r="P171" s="17">
        <v>136</v>
      </c>
      <c r="Q171" s="22">
        <f t="shared" si="167"/>
        <v>48121</v>
      </c>
      <c r="Y171" s="14"/>
      <c r="Z171" s="14"/>
      <c r="AA171" s="4"/>
      <c r="AB171" s="14"/>
      <c r="AC171" s="4"/>
    </row>
    <row r="172" spans="1:29" s="3" customFormat="1" x14ac:dyDescent="0.4">
      <c r="A172" s="98">
        <f>B164</f>
        <v>2031</v>
      </c>
      <c r="B172" s="246"/>
      <c r="C172" s="248" t="s">
        <v>4</v>
      </c>
      <c r="D172" s="54" t="s">
        <v>89</v>
      </c>
      <c r="E172" s="73">
        <f>IF(OR(G171="",G172=""),"",IF(G171+1&gt;DATE(B164+1,3,31),"",G171+1))</f>
        <v>48122</v>
      </c>
      <c r="F172" s="46" t="str">
        <f t="shared" si="146"/>
        <v>水</v>
      </c>
      <c r="G172" s="76">
        <f t="shared" ref="G172:G178" si="171">IF(OR(G171="",$C$19="",$C$20=""),"",IF(G171+1&gt;DATE(A164+1,3,31),"",IF($C$19="月末",IF(EOMONTH(G171,VLOOKUP($C$20,$U$35:$V$39,2,FALSE))&gt;DATE(A164+1,3,31),DATE(A164+1,3,31),EOMONTH(G171,VLOOKUP($C$20,$U$35:$V$39,2,FALSE))),IF(EOMONTH(G171,VLOOKUP($C$20,$U$35:$V$39,2,FALSE)-1)+$C$19&gt;DATE(A164+1,3,31),DATE(A164+1,3,31),EOMONTH(G171,VLOOKUP($C$20,$U$35:$V$39,2,FALSE)-1)+$C$19))))</f>
        <v>48182</v>
      </c>
      <c r="H172" s="46" t="str">
        <f t="shared" si="146"/>
        <v>日</v>
      </c>
      <c r="I172" s="47">
        <f t="shared" ref="I172:I178" si="172">IF(G172="","",DATEDIF(E172,G172,"D")+1)</f>
        <v>61</v>
      </c>
      <c r="J172" s="191" cm="1">
        <f t="array" ref="J172">_xlfn.SINGLE(IF(G172&lt;&gt;"",IF($C$5="","",IF(J164:J170&lt;&gt;"",IF(MIN(J164:J170)&lt;=0,"",IF(AND($C$19&lt;&gt;"月末",G171&lt;&gt;$C$18),IF(OR(AND(G171=DATE(A172,9,30),G171&lt;&gt;(DATE(A172,9,$C$19))),G171=DATE(A172,3,31)),MIN(J164:J170),IF(MIN(J164:J170)=$C$7,MIN(J164:J170)-$C$7,MIN(J164:J170)-$C$6)),IF(MIN(J164:J170)=$C$7,MIN(J164:J170)-$C$7,MIN(J164:J170)-$C$6))),"")),""))</f>
        <v>2150000000</v>
      </c>
      <c r="K172" s="191" cm="1">
        <f t="array" ref="K172">_xlfn.SINGLE(IF($C$12="","",IF(K164:K170&lt;&gt;"",IF(MIN(K164:K170)&lt;=0,"",IF(AND($C$19&lt;&gt;"月末",G171&lt;&gt;$C$18),IF(OR(AND(G171=DATE(A172,9,30),G171&lt;&gt;(DATE(A172,9,$C$19))),G171=DATE(A172,3,31)),MIN(K164:K170),IF(MIN(K164:K170)=$C$14,MIN(K164:K170)-$C$14,MIN(K164:K170)-$C$13)),IF(MIN(K164:K170)=$C$14,MIN(K164:K170)-$C$14,MIN(K164:K170)-$C$13))),"")))</f>
        <v>215000000</v>
      </c>
      <c r="L172" s="85" cm="1">
        <f t="array" ref="L172">IF(AND(OR(J172=0,J172=""),OR(K172=0,K172="")),"",_xlfn.IFS($C$21&gt;=0.0035,0.003,$C$21&lt;0.0005,0,$C$21&lt;0.0035,$C$21-0.0005))</f>
        <v>3.0000000000000001E-3</v>
      </c>
      <c r="M172" s="61">
        <f t="shared" ref="M172:M178" si="173">IF(OR(G172="",K172="",K172=0),"",ROUNDDOWN(K172*(I172/365)*L172,0))</f>
        <v>107794</v>
      </c>
      <c r="N172" s="62">
        <f t="shared" ref="N172:N178" si="174">IF(OR(J172="",J172=0,$G172=""),"",IF(AND($C$19&lt;&gt;"月末",$G172&lt;&gt;$C$18),IF(OR(AND($G172=DATE($A172,9,30),$G172&lt;&gt;DATE($A172,9,$C$19)),$G172=DATE($A172+1,3,31)),"",$C$6),$C$6))</f>
        <v>350000000</v>
      </c>
      <c r="O172" s="63">
        <f>IF(OR(K172="",K172=0,$G172=""),"",IF(AND($C$19&lt;&gt;"月末",$G172&lt;&gt;$C$18),IF(OR(AND($G172=DATE($A172,9,30),$G172&lt;&gt;DATE($A172,9,$C$19)),$G172=DATE($A172+1,3,31)),"",$C$13),$C$13))</f>
        <v>35000000</v>
      </c>
      <c r="P172" s="17">
        <v>137</v>
      </c>
      <c r="Q172" s="19">
        <f t="shared" si="167"/>
        <v>48182</v>
      </c>
      <c r="R172" s="4"/>
      <c r="Y172" s="14"/>
      <c r="Z172" s="14"/>
      <c r="AA172" s="4"/>
      <c r="AC172" s="4"/>
    </row>
    <row r="173" spans="1:29" s="3" customFormat="1" x14ac:dyDescent="0.4">
      <c r="A173" s="98">
        <f>B164</f>
        <v>2031</v>
      </c>
      <c r="B173" s="246"/>
      <c r="C173" s="247"/>
      <c r="D173" s="49" t="s">
        <v>90</v>
      </c>
      <c r="E173" s="73">
        <f>IF(OR(G172="",G173=""),"",IF(G172+1&gt;DATE(B164+1,3,31),"",G172+1))</f>
        <v>48183</v>
      </c>
      <c r="F173" s="46" t="str">
        <f t="shared" si="146"/>
        <v>月</v>
      </c>
      <c r="G173" s="76">
        <f t="shared" si="171"/>
        <v>48243</v>
      </c>
      <c r="H173" s="46" t="str">
        <f t="shared" si="146"/>
        <v>金</v>
      </c>
      <c r="I173" s="47">
        <f t="shared" si="172"/>
        <v>61</v>
      </c>
      <c r="J173" s="50">
        <f>IF(OR(G173="",J172="",$C$5=""),"",IF(J172&lt;=0,"",IF(J172=$C$7,J172-$C$7,J172-$C$6)))</f>
        <v>1800000000</v>
      </c>
      <c r="K173" s="50">
        <f>IF($C$12="","",IF(G173="","",IF(G173&lt;$C$15,"",IF(K172="","",IF(K172&lt;=0,"",IF(K172=$C$14,K172-$C$14,K172-$C$13))))))</f>
        <v>180000000</v>
      </c>
      <c r="L173" s="82" cm="1">
        <f t="array" ref="L173">IF(AND(OR(J173=0,J173=""),OR(K173=0,K173="")),"",_xlfn.IFS($C$21&gt;=0.0035,0.003,$C$21&lt;0.0005,0,$C$21&lt;0.0035,$C$21-0.0005))</f>
        <v>3.0000000000000001E-3</v>
      </c>
      <c r="M173" s="200">
        <f t="shared" si="173"/>
        <v>90246</v>
      </c>
      <c r="N173" s="203">
        <f t="shared" si="174"/>
        <v>350000000</v>
      </c>
      <c r="O173" s="66">
        <f t="shared" ref="O173:O178" si="175">IF(OR(K173="",K173=0,$G173=""),"",IF(AND($C$19&lt;&gt;"月末",$G173&lt;&gt;$C$18),IF(OR(AND($G173=DATE($A173,9,30),$G173&lt;&gt;DATE($A173,9,$C$19)),$G173=DATE($A173+1,3,31)),"",$C$13),$C$13))</f>
        <v>35000000</v>
      </c>
      <c r="P173" s="17">
        <v>138</v>
      </c>
      <c r="Q173" s="20">
        <f t="shared" si="167"/>
        <v>48243</v>
      </c>
      <c r="R173" s="4"/>
      <c r="Y173" s="14"/>
      <c r="Z173" s="14"/>
      <c r="AA173" s="4"/>
      <c r="AC173" s="4"/>
    </row>
    <row r="174" spans="1:29" s="3" customFormat="1" x14ac:dyDescent="0.4">
      <c r="A174" s="98">
        <f>B164</f>
        <v>2031</v>
      </c>
      <c r="B174" s="246"/>
      <c r="C174" s="247"/>
      <c r="D174" s="49" t="s">
        <v>91</v>
      </c>
      <c r="E174" s="73">
        <f>IF(OR(G173="",G174=""),"",IF(G173+1&gt;DATE(B164+1,3,31),"",G173+1))</f>
        <v>48244</v>
      </c>
      <c r="F174" s="46" t="str">
        <f t="shared" si="146"/>
        <v>土</v>
      </c>
      <c r="G174" s="76">
        <f t="shared" si="171"/>
        <v>48303</v>
      </c>
      <c r="H174" s="46" t="str">
        <f t="shared" si="146"/>
        <v>火</v>
      </c>
      <c r="I174" s="47">
        <f t="shared" si="172"/>
        <v>60</v>
      </c>
      <c r="J174" s="50">
        <f t="shared" ref="J174:J178" si="176">IF(OR(G174="",J173="",$C$5=""),"",IF(J173&lt;=0,"",IF(J173=$C$7,J173-$C$7,J173-$C$6)))</f>
        <v>1450000000</v>
      </c>
      <c r="K174" s="50">
        <f t="shared" ref="K174:K178" si="177">IF($C$12="","",IF(G174="","",IF(G174&lt;$C$15,"",IF(K173="","",IF(K173&lt;=0,"",IF(K173=$C$14,K173-$C$14,K173-$C$13))))))</f>
        <v>145000000</v>
      </c>
      <c r="L174" s="82" cm="1">
        <f t="array" ref="L174">IF(AND(OR(J174=0,J174=""),OR(K174=0,K174="")),"",_xlfn.IFS($C$21&gt;=0.0035,0.003,$C$21&lt;0.0005,0,$C$21&lt;0.0035,$C$21-0.0005))</f>
        <v>3.0000000000000001E-3</v>
      </c>
      <c r="M174" s="151">
        <f t="shared" si="173"/>
        <v>71506</v>
      </c>
      <c r="N174" s="203">
        <f t="shared" si="174"/>
        <v>350000000</v>
      </c>
      <c r="O174" s="66">
        <f t="shared" si="175"/>
        <v>35000000</v>
      </c>
      <c r="P174" s="17">
        <v>139</v>
      </c>
      <c r="Q174" s="20">
        <f t="shared" si="167"/>
        <v>48303</v>
      </c>
      <c r="S174" s="14"/>
      <c r="Y174" s="14"/>
      <c r="Z174" s="14"/>
      <c r="AA174" s="4"/>
      <c r="AC174" s="4"/>
    </row>
    <row r="175" spans="1:29" s="3" customFormat="1" x14ac:dyDescent="0.4">
      <c r="A175" s="98">
        <f>B164</f>
        <v>2031</v>
      </c>
      <c r="B175" s="246"/>
      <c r="C175" s="247"/>
      <c r="D175" s="49" t="s">
        <v>92</v>
      </c>
      <c r="E175" s="73">
        <f>IF(OR(G174="",G175=""),"",IF(G174+1&gt;DATE(B164+1,3,31),"",G174+1))</f>
        <v>48304</v>
      </c>
      <c r="F175" s="46" t="str">
        <f t="shared" si="146"/>
        <v>水</v>
      </c>
      <c r="G175" s="76">
        <f t="shared" si="171"/>
        <v>48304</v>
      </c>
      <c r="H175" s="46" t="str">
        <f t="shared" si="146"/>
        <v>水</v>
      </c>
      <c r="I175" s="47">
        <f t="shared" si="172"/>
        <v>1</v>
      </c>
      <c r="J175" s="50">
        <f t="shared" si="176"/>
        <v>1100000000</v>
      </c>
      <c r="K175" s="50">
        <f t="shared" si="177"/>
        <v>110000000</v>
      </c>
      <c r="L175" s="82" cm="1">
        <f t="array" ref="L175">IF(AND(OR(J175=0,J175=""),OR(K175=0,K175="")),"",_xlfn.IFS($C$21&gt;=0.0035,0.003,$C$21&lt;0.0005,0,$C$21&lt;0.0035,$C$21-0.0005))</f>
        <v>3.0000000000000001E-3</v>
      </c>
      <c r="M175" s="151">
        <f t="shared" si="173"/>
        <v>904</v>
      </c>
      <c r="N175" s="203" t="str">
        <f t="shared" si="174"/>
        <v/>
      </c>
      <c r="O175" s="66" t="str">
        <f t="shared" si="175"/>
        <v/>
      </c>
      <c r="P175" s="17">
        <v>140</v>
      </c>
      <c r="Q175" s="20">
        <f t="shared" si="167"/>
        <v>48304</v>
      </c>
      <c r="Y175" s="14"/>
      <c r="Z175" s="14"/>
      <c r="AA175" s="4"/>
      <c r="AC175" s="4"/>
    </row>
    <row r="176" spans="1:29" s="3" customFormat="1" x14ac:dyDescent="0.4">
      <c r="A176" s="98">
        <f>B164</f>
        <v>2031</v>
      </c>
      <c r="B176" s="246"/>
      <c r="C176" s="247"/>
      <c r="D176" s="49" t="s">
        <v>93</v>
      </c>
      <c r="E176" s="73" t="str">
        <f>IF(OR(G175="",G176=""),"",IF(G175+1&gt;DATE(B164+1,3,31),"",G175+1))</f>
        <v/>
      </c>
      <c r="F176" s="46" t="str">
        <f t="shared" si="146"/>
        <v/>
      </c>
      <c r="G176" s="76" t="str">
        <f t="shared" si="171"/>
        <v/>
      </c>
      <c r="H176" s="46" t="str">
        <f t="shared" si="146"/>
        <v/>
      </c>
      <c r="I176" s="47" t="str">
        <f t="shared" si="172"/>
        <v/>
      </c>
      <c r="J176" s="50" t="str">
        <f t="shared" si="176"/>
        <v/>
      </c>
      <c r="K176" s="50" t="str">
        <f t="shared" si="177"/>
        <v/>
      </c>
      <c r="L176" s="82" t="str" cm="1">
        <f t="array" ref="L176">IF(AND(OR(J176=0,J176=""),OR(K176=0,K176="")),"",_xlfn.IFS($C$21&gt;=0.0035,0.003,$C$21&lt;0.0005,0,$C$21&lt;0.0035,$C$21-0.0005))</f>
        <v/>
      </c>
      <c r="M176" s="151" t="str">
        <f t="shared" si="173"/>
        <v/>
      </c>
      <c r="N176" s="203" t="str">
        <f t="shared" si="174"/>
        <v/>
      </c>
      <c r="O176" s="66" t="str">
        <f t="shared" si="175"/>
        <v/>
      </c>
      <c r="P176" s="17">
        <v>141</v>
      </c>
      <c r="Q176" s="20" t="str">
        <f t="shared" si="167"/>
        <v/>
      </c>
      <c r="Y176" s="14"/>
      <c r="Z176" s="14"/>
      <c r="AA176" s="4"/>
      <c r="AC176" s="4"/>
    </row>
    <row r="177" spans="1:29" s="14" customFormat="1" x14ac:dyDescent="0.4">
      <c r="A177" s="98">
        <f>B164</f>
        <v>2031</v>
      </c>
      <c r="B177" s="246"/>
      <c r="C177" s="247"/>
      <c r="D177" s="51" t="s">
        <v>82</v>
      </c>
      <c r="E177" s="74" t="str">
        <f>IF(OR(G176="",G177=""),"",IF(G176+1&gt;DATE(B164+1,3,31),"",G176+1))</f>
        <v/>
      </c>
      <c r="F177" s="181" t="str">
        <f t="shared" si="146"/>
        <v/>
      </c>
      <c r="G177" s="100" t="str">
        <f t="shared" si="171"/>
        <v/>
      </c>
      <c r="H177" s="181" t="str">
        <f t="shared" si="146"/>
        <v/>
      </c>
      <c r="I177" s="182" t="str">
        <f t="shared" si="172"/>
        <v/>
      </c>
      <c r="J177" s="50" t="str">
        <f t="shared" si="176"/>
        <v/>
      </c>
      <c r="K177" s="50" t="str">
        <f t="shared" si="177"/>
        <v/>
      </c>
      <c r="L177" s="183" t="str" cm="1">
        <f t="array" ref="L177">IF(AND(OR(J177=0,J177=""),OR(K177=0,K177="")),"",_xlfn.IFS($C$21&gt;=0.0035,0.003,$C$21&lt;0.0005,0,$C$21&lt;0.0035,$C$21-0.0005))</f>
        <v/>
      </c>
      <c r="M177" s="200" t="str">
        <f t="shared" si="173"/>
        <v/>
      </c>
      <c r="N177" s="203" t="str">
        <f t="shared" si="174"/>
        <v/>
      </c>
      <c r="O177" s="202" t="str">
        <f t="shared" si="175"/>
        <v/>
      </c>
      <c r="P177" s="17">
        <v>142</v>
      </c>
      <c r="Q177" s="20" t="str">
        <f t="shared" si="167"/>
        <v/>
      </c>
      <c r="S177" s="3"/>
      <c r="AA177" s="4"/>
      <c r="AB177" s="3"/>
      <c r="AC177" s="4"/>
    </row>
    <row r="178" spans="1:29" s="3" customFormat="1" ht="19.5" thickBot="1" x14ac:dyDescent="0.45">
      <c r="A178" s="98">
        <f>B164</f>
        <v>2031</v>
      </c>
      <c r="B178" s="246"/>
      <c r="C178" s="247"/>
      <c r="D178" s="51" t="s">
        <v>80</v>
      </c>
      <c r="E178" s="74" t="str">
        <f>IF(OR(G177="",G178=""),"",IF(G177+1&gt;DATE(B164+1,3,31),"",G177+1))</f>
        <v/>
      </c>
      <c r="F178" s="52" t="str">
        <f t="shared" si="146"/>
        <v/>
      </c>
      <c r="G178" s="76" t="str">
        <f t="shared" si="171"/>
        <v/>
      </c>
      <c r="H178" s="52" t="str">
        <f t="shared" si="146"/>
        <v/>
      </c>
      <c r="I178" s="53" t="str">
        <f t="shared" si="172"/>
        <v/>
      </c>
      <c r="J178" s="50" t="str">
        <f t="shared" si="176"/>
        <v/>
      </c>
      <c r="K178" s="50" t="str">
        <f t="shared" si="177"/>
        <v/>
      </c>
      <c r="L178" s="83" t="str" cm="1">
        <f t="array" ref="L178">IF(AND(OR(J178=0,J178=""),OR(K178=0,K178="")),"",_xlfn.IFS($C$21&gt;=0.0035,0.003,$C$21&lt;0.0005,0,$C$21&lt;0.0035,$C$21-0.0005))</f>
        <v/>
      </c>
      <c r="M178" s="207" t="str">
        <f t="shared" si="173"/>
        <v/>
      </c>
      <c r="N178" s="204" t="str">
        <f t="shared" si="174"/>
        <v/>
      </c>
      <c r="O178" s="69" t="str">
        <f t="shared" si="175"/>
        <v/>
      </c>
      <c r="P178" s="17">
        <v>143</v>
      </c>
      <c r="Q178" s="21" t="str">
        <f t="shared" si="167"/>
        <v/>
      </c>
      <c r="Y178" s="14"/>
      <c r="Z178" s="14"/>
      <c r="AA178" s="4"/>
      <c r="AC178" s="4"/>
    </row>
    <row r="179" spans="1:29" s="3" customFormat="1" ht="19.5" thickBot="1" x14ac:dyDescent="0.45">
      <c r="A179" s="99">
        <f>B164</f>
        <v>2031</v>
      </c>
      <c r="B179" s="234"/>
      <c r="C179" s="157" t="s">
        <v>10</v>
      </c>
      <c r="D179" s="58"/>
      <c r="E179" s="75" cm="1">
        <f t="array" ref="E179">_xlfn.SINGLE(IF(E172:E178&lt;&gt;"",MIN(E172:E178),""))</f>
        <v>48122</v>
      </c>
      <c r="F179" s="59" t="str">
        <f t="shared" si="146"/>
        <v>水</v>
      </c>
      <c r="G179" s="75" cm="1">
        <f t="array" ref="G179">_xlfn.SINGLE(IF(G172:G178&lt;&gt;"",MAX(G172:G178),""))</f>
        <v>48304</v>
      </c>
      <c r="H179" s="59" t="str">
        <f t="shared" si="146"/>
        <v>水</v>
      </c>
      <c r="I179" s="60">
        <f>SUM(I172:I178)</f>
        <v>183</v>
      </c>
      <c r="J179" s="58"/>
      <c r="K179" s="58"/>
      <c r="L179" s="84"/>
      <c r="M179" s="208">
        <f>SUM(M172:M178)</f>
        <v>270450</v>
      </c>
      <c r="N179" s="205"/>
      <c r="O179" s="72"/>
      <c r="P179" s="17">
        <v>144</v>
      </c>
      <c r="Q179" s="22">
        <f t="shared" si="167"/>
        <v>48304</v>
      </c>
      <c r="Y179" s="14"/>
      <c r="Z179" s="14"/>
      <c r="AA179" s="4"/>
      <c r="AB179" s="14"/>
      <c r="AC179" s="4"/>
    </row>
    <row r="180" spans="1:29" s="3" customFormat="1" x14ac:dyDescent="0.4">
      <c r="A180" s="95">
        <f>B180</f>
        <v>2032</v>
      </c>
      <c r="B180" s="233">
        <f t="shared" ref="B180" si="178">B164+1</f>
        <v>2032</v>
      </c>
      <c r="C180" s="247" t="s">
        <v>3</v>
      </c>
      <c r="D180" s="45" t="s">
        <v>83</v>
      </c>
      <c r="E180" s="73">
        <f>IF(OR(G179="",G180=""),"",IF(G179+1&gt;DATE(B180,9,30),"",G179+1))</f>
        <v>48305</v>
      </c>
      <c r="F180" s="46" t="str">
        <f t="shared" si="146"/>
        <v>木</v>
      </c>
      <c r="G180" s="76">
        <f t="shared" ref="G180:G186" si="179">IF(OR(G179="",$C$19="",$C$20=""),"",IF(G179+1&gt;DATE(A180,9,30),"",IF($C$19="月末",IF(EOMONTH(G179,VLOOKUP($C$20,$U$35:$V$39,2,FALSE))&gt;DATE(A180,9,30),DATE(A180,9,30),EOMONTH(G179,VLOOKUP($C$20,$U$35:$V$39,2,FALSE))),IF(EOMONTH(G179,VLOOKUP($C$20,$U$35:$V$39,2,FALSE)-1)+$C$19&gt;DATE(A180,9,30),DATE(A180,9,30),EOMONTH(G179,VLOOKUP($C$20,$U$35:$V$39,2,FALSE)-1)+$C$19))))</f>
        <v>48364</v>
      </c>
      <c r="H180" s="46" t="str">
        <f t="shared" si="146"/>
        <v>日</v>
      </c>
      <c r="I180" s="47">
        <f t="shared" ref="I180:I186" si="180">IF(G180="","",DATEDIF(E180,G180,"D")+1)</f>
        <v>60</v>
      </c>
      <c r="J180" s="191" cm="1">
        <f t="array" ref="J180">_xlfn.SINGLE(IF(G180&lt;&gt;"",IF($C$5="","",IF(J172:J178&lt;&gt;"",IF(MIN(J172:J178)&lt;=0,"",IF(AND($C$19&lt;&gt;"月末",G179&lt;&gt;$C$18),IF(OR(AND(G179=DATE(A180,9,30),G179&lt;&gt;(DATE(A180,9,$C$19))),G179=DATE(A180,3,31)),MIN(J172:J178),IF(MIN(J172:J178)=$C$7,MIN(J172:J178)-$C$7,MIN(J172:J178)-$C$6)),IF(MIN(J172:J178)=$C$7,MIN(J172:J178)-$C$7,MIN(J172:J178)-$C$6))),"")),""))</f>
        <v>1100000000</v>
      </c>
      <c r="K180" s="191" cm="1">
        <f t="array" ref="K180">_xlfn.SINGLE(IF($C$12="","",IF(K172:K178&lt;&gt;"",IF(MIN(K172:K178)&lt;=0,"",IF(AND($C$19&lt;&gt;"月末",G179&lt;&gt;$C$18),IF(OR(AND(G179=DATE(A180,9,30),G179&lt;&gt;(DATE(A180,9,$C$19))),G179=DATE(A180,3,31)),MIN(K172:K178),IF(MIN(K172:K178)=$C$14,MIN(K172:K178)-$C$14,MIN(K172:K178)-$C$13)),IF(MIN(K172:K178)=$C$14,MIN(K172:K178)-$C$14,MIN(K172:K178)-$C$13))),"")))</f>
        <v>110000000</v>
      </c>
      <c r="L180" s="82" cm="1">
        <f t="array" ref="L180">IF(AND(OR(J180=0,J180=""),OR(K180=0,K180="")),"",_xlfn.IFS($C$21&gt;=0.0035,0.003,$C$21&lt;0.0005,0,$C$21&lt;0.0035,$C$21-0.0005))</f>
        <v>3.0000000000000001E-3</v>
      </c>
      <c r="M180" s="61">
        <f t="shared" ref="M180:M186" si="181">IF(OR(G180="",K180="",K180=0),"",ROUNDDOWN(K180*(I180/365)*L180,0))</f>
        <v>54246</v>
      </c>
      <c r="N180" s="206">
        <f t="shared" ref="N180:N186" si="182">IF(OR(J180="",J180=0,$G180=""),"",IF(AND($C$19&lt;&gt;"月末",$G180&lt;&gt;$C$18),IF(OR(AND($G180=DATE($A180,9,30),$G180&lt;&gt;DATE($A180,9,$C$19)),$G180=DATE($A180+1,3,31)),"",$C$6),$C$6))</f>
        <v>350000000</v>
      </c>
      <c r="O180" s="63">
        <f>IF(OR(K180="",K180=0,$G180=""),"",IF(AND($C$19&lt;&gt;"月末",$G180&lt;&gt;$C$18),IF(OR(AND($G180=DATE($A180,9,30),$G180&lt;&gt;DATE($A180,9,$C$19)),$G180=DATE($A180+1,3,31)),"",$C$13),$C$13))</f>
        <v>35000000</v>
      </c>
      <c r="P180" s="17">
        <v>145</v>
      </c>
      <c r="Q180" s="19">
        <f t="shared" si="167"/>
        <v>48364</v>
      </c>
      <c r="R180" s="4"/>
      <c r="Y180" s="14"/>
      <c r="Z180" s="14"/>
      <c r="AA180" s="4"/>
      <c r="AC180" s="4"/>
    </row>
    <row r="181" spans="1:29" s="3" customFormat="1" x14ac:dyDescent="0.4">
      <c r="A181" s="95">
        <f>B180</f>
        <v>2032</v>
      </c>
      <c r="B181" s="246"/>
      <c r="C181" s="247"/>
      <c r="D181" s="49" t="s">
        <v>84</v>
      </c>
      <c r="E181" s="73">
        <f>IF(OR(G180="",G181=""),"",IF(G180+1&gt;DATE(B180,9,30),"",G180+1))</f>
        <v>48365</v>
      </c>
      <c r="F181" s="46" t="str">
        <f t="shared" si="146"/>
        <v>月</v>
      </c>
      <c r="G181" s="76">
        <f t="shared" si="179"/>
        <v>48425</v>
      </c>
      <c r="H181" s="46" t="str">
        <f t="shared" si="146"/>
        <v>金</v>
      </c>
      <c r="I181" s="47">
        <f t="shared" si="180"/>
        <v>61</v>
      </c>
      <c r="J181" s="50">
        <f>IF(OR(G181="",J180="",$C$5=""),"",IF(J180&lt;=0,"",IF(J180=$C$7,J180-$C$7,J180-$C$6)))</f>
        <v>750000000</v>
      </c>
      <c r="K181" s="50">
        <f>IF($C$12="","",IF(G181="","",IF(G181&lt;$C$15,"",IF(K180="","",IF(K180&lt;=0,"",IF(K180=$C$14,K180-$C$14,K180-$C$13))))))</f>
        <v>75000000</v>
      </c>
      <c r="L181" s="82" cm="1">
        <f t="array" ref="L181">IF(AND(OR(J181=0,J181=""),OR(K181=0,K181="")),"",_xlfn.IFS($C$21&gt;=0.0035,0.003,$C$21&lt;0.0005,0,$C$21&lt;0.0035,$C$21-0.0005))</f>
        <v>3.0000000000000001E-3</v>
      </c>
      <c r="M181" s="151">
        <f t="shared" si="181"/>
        <v>37602</v>
      </c>
      <c r="N181" s="203">
        <f t="shared" si="182"/>
        <v>350000000</v>
      </c>
      <c r="O181" s="66">
        <f t="shared" ref="O181:O186" si="183">IF(OR(K181="",K181=0,$G181=""),"",IF(AND($C$19&lt;&gt;"月末",$G181&lt;&gt;$C$18),IF(OR(AND($G181=DATE($A181,9,30),$G181&lt;&gt;DATE($A181,9,$C$19)),$G181=DATE($A181+1,3,31)),"",$C$13),$C$13))</f>
        <v>35000000</v>
      </c>
      <c r="P181" s="17">
        <v>146</v>
      </c>
      <c r="Q181" s="20">
        <f t="shared" si="167"/>
        <v>48425</v>
      </c>
      <c r="R181" s="4"/>
      <c r="Y181" s="14"/>
      <c r="Z181" s="14"/>
      <c r="AA181" s="4"/>
      <c r="AC181" s="4"/>
    </row>
    <row r="182" spans="1:29" s="3" customFormat="1" x14ac:dyDescent="0.4">
      <c r="A182" s="95">
        <f>B180</f>
        <v>2032</v>
      </c>
      <c r="B182" s="246"/>
      <c r="C182" s="247"/>
      <c r="D182" s="49" t="s">
        <v>85</v>
      </c>
      <c r="E182" s="73">
        <f>IF(OR(G181="",G182=""),"",IF(G181+1&gt;DATE(B180,9,30),"",G181+1))</f>
        <v>48426</v>
      </c>
      <c r="F182" s="46" t="str">
        <f t="shared" si="146"/>
        <v>土</v>
      </c>
      <c r="G182" s="76">
        <f t="shared" si="179"/>
        <v>48487</v>
      </c>
      <c r="H182" s="46" t="str">
        <f t="shared" si="146"/>
        <v>木</v>
      </c>
      <c r="I182" s="47">
        <f t="shared" si="180"/>
        <v>62</v>
      </c>
      <c r="J182" s="50">
        <f t="shared" ref="J182:J186" si="184">IF(OR(G182="",J181="",$C$5=""),"",IF(J181&lt;=0,"",IF(J181=$C$7,J181-$C$7,J181-$C$6)))</f>
        <v>400000000</v>
      </c>
      <c r="K182" s="50">
        <f t="shared" ref="K182:K186" si="185">IF($C$12="","",IF(G182="","",IF(G182&lt;$C$15,"",IF(K181="","",IF(K181&lt;=0,"",IF(K181=$C$14,K181-$C$14,K181-$C$13))))))</f>
        <v>40000000</v>
      </c>
      <c r="L182" s="82" cm="1">
        <f t="array" ref="L182">IF(AND(OR(J182=0,J182=""),OR(K182=0,K182="")),"",_xlfn.IFS($C$21&gt;=0.0035,0.003,$C$21&lt;0.0005,0,$C$21&lt;0.0035,$C$21-0.0005))</f>
        <v>3.0000000000000001E-3</v>
      </c>
      <c r="M182" s="151">
        <f t="shared" si="181"/>
        <v>20383</v>
      </c>
      <c r="N182" s="203">
        <f t="shared" si="182"/>
        <v>350000000</v>
      </c>
      <c r="O182" s="66">
        <f t="shared" si="183"/>
        <v>35000000</v>
      </c>
      <c r="P182" s="17">
        <v>147</v>
      </c>
      <c r="Q182" s="20">
        <f t="shared" si="167"/>
        <v>48487</v>
      </c>
      <c r="S182" s="14"/>
      <c r="Y182" s="14"/>
      <c r="Z182" s="14"/>
      <c r="AA182" s="4"/>
      <c r="AC182" s="4"/>
    </row>
    <row r="183" spans="1:29" s="3" customFormat="1" x14ac:dyDescent="0.4">
      <c r="A183" s="95">
        <f>B180</f>
        <v>2032</v>
      </c>
      <c r="B183" s="246"/>
      <c r="C183" s="247"/>
      <c r="D183" s="49" t="s">
        <v>86</v>
      </c>
      <c r="E183" s="73" t="str">
        <f>IF(OR(G182="",G183=""),"",IF(G182+1&gt;DATE(B180,9,30),"",G182+1))</f>
        <v/>
      </c>
      <c r="F183" s="46" t="str">
        <f t="shared" si="146"/>
        <v/>
      </c>
      <c r="G183" s="76" t="str">
        <f t="shared" si="179"/>
        <v/>
      </c>
      <c r="H183" s="46" t="str">
        <f t="shared" si="146"/>
        <v/>
      </c>
      <c r="I183" s="47" t="str">
        <f t="shared" si="180"/>
        <v/>
      </c>
      <c r="J183" s="50" t="str">
        <f t="shared" si="184"/>
        <v/>
      </c>
      <c r="K183" s="50" t="str">
        <f t="shared" si="185"/>
        <v/>
      </c>
      <c r="L183" s="82" t="str" cm="1">
        <f t="array" ref="L183">IF(AND(OR(J183=0,J183=""),OR(K183=0,K183="")),"",_xlfn.IFS($C$21&gt;=0.0035,0.003,$C$21&lt;0.0005,0,$C$21&lt;0.0035,$C$21-0.0005))</f>
        <v/>
      </c>
      <c r="M183" s="151" t="str">
        <f t="shared" si="181"/>
        <v/>
      </c>
      <c r="N183" s="203" t="str">
        <f t="shared" si="182"/>
        <v/>
      </c>
      <c r="O183" s="66" t="str">
        <f t="shared" si="183"/>
        <v/>
      </c>
      <c r="P183" s="17">
        <v>148</v>
      </c>
      <c r="Q183" s="20" t="str">
        <f t="shared" si="167"/>
        <v/>
      </c>
      <c r="Y183" s="14"/>
      <c r="Z183" s="14"/>
      <c r="AA183" s="4"/>
      <c r="AC183" s="4"/>
    </row>
    <row r="184" spans="1:29" s="3" customFormat="1" x14ac:dyDescent="0.4">
      <c r="A184" s="95">
        <f>B180</f>
        <v>2032</v>
      </c>
      <c r="B184" s="246"/>
      <c r="C184" s="247"/>
      <c r="D184" s="49" t="s">
        <v>87</v>
      </c>
      <c r="E184" s="73" t="str">
        <f>IF(OR(G183="",G184=""),"",IF(G183+1&gt;DATE(B180,9,30),"",G183+1))</f>
        <v/>
      </c>
      <c r="F184" s="46" t="str">
        <f t="shared" si="146"/>
        <v/>
      </c>
      <c r="G184" s="76" t="str">
        <f t="shared" si="179"/>
        <v/>
      </c>
      <c r="H184" s="46" t="str">
        <f t="shared" si="146"/>
        <v/>
      </c>
      <c r="I184" s="47" t="str">
        <f t="shared" si="180"/>
        <v/>
      </c>
      <c r="J184" s="50" t="str">
        <f t="shared" si="184"/>
        <v/>
      </c>
      <c r="K184" s="50" t="str">
        <f t="shared" si="185"/>
        <v/>
      </c>
      <c r="L184" s="82" t="str" cm="1">
        <f t="array" ref="L184">IF(AND(OR(J184=0,J184=""),OR(K184=0,K184="")),"",_xlfn.IFS($C$21&gt;=0.0035,0.003,$C$21&lt;0.0005,0,$C$21&lt;0.0035,$C$21-0.0005))</f>
        <v/>
      </c>
      <c r="M184" s="151" t="str">
        <f t="shared" si="181"/>
        <v/>
      </c>
      <c r="N184" s="203" t="str">
        <f t="shared" si="182"/>
        <v/>
      </c>
      <c r="O184" s="66" t="str">
        <f t="shared" si="183"/>
        <v/>
      </c>
      <c r="P184" s="17">
        <v>149</v>
      </c>
      <c r="Q184" s="20" t="str">
        <f t="shared" si="167"/>
        <v/>
      </c>
      <c r="Y184" s="14"/>
      <c r="Z184" s="14"/>
      <c r="AA184" s="4"/>
      <c r="AC184" s="4"/>
    </row>
    <row r="185" spans="1:29" s="14" customFormat="1" x14ac:dyDescent="0.4">
      <c r="A185" s="95">
        <f>B180</f>
        <v>2032</v>
      </c>
      <c r="B185" s="246"/>
      <c r="C185" s="247"/>
      <c r="D185" s="51" t="s">
        <v>88</v>
      </c>
      <c r="E185" s="74" t="str">
        <f>IF(OR(G184="",G185=""),"",IF(G184+1&gt;DATE(B180,9,30),"",G184+1))</f>
        <v/>
      </c>
      <c r="F185" s="181" t="str">
        <f t="shared" si="146"/>
        <v/>
      </c>
      <c r="G185" s="100" t="str">
        <f t="shared" si="179"/>
        <v/>
      </c>
      <c r="H185" s="181" t="str">
        <f t="shared" si="146"/>
        <v/>
      </c>
      <c r="I185" s="182" t="str">
        <f t="shared" si="180"/>
        <v/>
      </c>
      <c r="J185" s="50" t="str">
        <f t="shared" si="184"/>
        <v/>
      </c>
      <c r="K185" s="50" t="str">
        <f t="shared" si="185"/>
        <v/>
      </c>
      <c r="L185" s="183" t="str" cm="1">
        <f t="array" ref="L185">IF(AND(OR(J185=0,J185=""),OR(K185=0,K185="")),"",_xlfn.IFS($C$21&gt;=0.0035,0.003,$C$21&lt;0.0005,0,$C$21&lt;0.0035,$C$21-0.0005))</f>
        <v/>
      </c>
      <c r="M185" s="200" t="str">
        <f t="shared" si="181"/>
        <v/>
      </c>
      <c r="N185" s="203" t="str">
        <f t="shared" si="182"/>
        <v/>
      </c>
      <c r="O185" s="202" t="str">
        <f t="shared" si="183"/>
        <v/>
      </c>
      <c r="P185" s="17">
        <v>150</v>
      </c>
      <c r="Q185" s="20" t="str">
        <f t="shared" si="167"/>
        <v/>
      </c>
      <c r="S185" s="3"/>
      <c r="AA185" s="4"/>
      <c r="AB185" s="3"/>
      <c r="AC185" s="4"/>
    </row>
    <row r="186" spans="1:29" s="3" customFormat="1" ht="19.5" thickBot="1" x14ac:dyDescent="0.45">
      <c r="A186" s="95">
        <f>B180</f>
        <v>2032</v>
      </c>
      <c r="B186" s="246"/>
      <c r="C186" s="247"/>
      <c r="D186" s="51" t="s">
        <v>78</v>
      </c>
      <c r="E186" s="74" t="str">
        <f>IF(OR(G185="",G186=""),"",IF(G185+1&gt;DATE(B180,9,30),"",G185+1))</f>
        <v/>
      </c>
      <c r="F186" s="52" t="str">
        <f t="shared" si="146"/>
        <v/>
      </c>
      <c r="G186" s="76" t="str">
        <f t="shared" si="179"/>
        <v/>
      </c>
      <c r="H186" s="52" t="str">
        <f t="shared" si="146"/>
        <v/>
      </c>
      <c r="I186" s="53" t="str">
        <f t="shared" si="180"/>
        <v/>
      </c>
      <c r="J186" s="50" t="str">
        <f t="shared" si="184"/>
        <v/>
      </c>
      <c r="K186" s="50" t="str">
        <f t="shared" si="185"/>
        <v/>
      </c>
      <c r="L186" s="83" t="str" cm="1">
        <f t="array" ref="L186">IF(AND(OR(J186=0,J186=""),OR(K186=0,K186="")),"",_xlfn.IFS($C$21&gt;=0.0035,0.003,$C$21&lt;0.0005,0,$C$21&lt;0.0035,$C$21-0.0005))</f>
        <v/>
      </c>
      <c r="M186" s="207" t="str">
        <f t="shared" si="181"/>
        <v/>
      </c>
      <c r="N186" s="204" t="str">
        <f t="shared" si="182"/>
        <v/>
      </c>
      <c r="O186" s="69" t="str">
        <f t="shared" si="183"/>
        <v/>
      </c>
      <c r="P186" s="17">
        <v>151</v>
      </c>
      <c r="Q186" s="21" t="str">
        <f t="shared" si="167"/>
        <v/>
      </c>
      <c r="Y186" s="14"/>
      <c r="Z186" s="14"/>
      <c r="AA186" s="4"/>
      <c r="AC186" s="4"/>
    </row>
    <row r="187" spans="1:29" s="3" customFormat="1" ht="19.5" thickBot="1" x14ac:dyDescent="0.45">
      <c r="A187" s="95">
        <f>B180</f>
        <v>2032</v>
      </c>
      <c r="B187" s="246"/>
      <c r="C187" s="157" t="s">
        <v>10</v>
      </c>
      <c r="D187" s="58"/>
      <c r="E187" s="75" cm="1">
        <f t="array" ref="E187">_xlfn.SINGLE(IF(E180:E186&lt;&gt;"",MIN(E180:E186),""))</f>
        <v>48305</v>
      </c>
      <c r="F187" s="59" t="str">
        <f t="shared" si="146"/>
        <v>木</v>
      </c>
      <c r="G187" s="75" cm="1">
        <f t="array" ref="G187">_xlfn.SINGLE(IF(G180:G186&lt;&gt;"",MAX(G180:G186),""))</f>
        <v>48487</v>
      </c>
      <c r="H187" s="59" t="str">
        <f t="shared" si="146"/>
        <v>木</v>
      </c>
      <c r="I187" s="60">
        <f>SUM(I180:I186)</f>
        <v>183</v>
      </c>
      <c r="J187" s="58"/>
      <c r="K187" s="58"/>
      <c r="L187" s="84"/>
      <c r="M187" s="208">
        <f>SUM(M180:M186)</f>
        <v>112231</v>
      </c>
      <c r="N187" s="205"/>
      <c r="O187" s="72"/>
      <c r="P187" s="17">
        <v>152</v>
      </c>
      <c r="Q187" s="22">
        <f t="shared" si="167"/>
        <v>48487</v>
      </c>
      <c r="Y187" s="14"/>
      <c r="Z187" s="14"/>
      <c r="AA187" s="4"/>
      <c r="AB187" s="14"/>
      <c r="AC187" s="4"/>
    </row>
    <row r="188" spans="1:29" s="3" customFormat="1" x14ac:dyDescent="0.4">
      <c r="A188" s="95">
        <f>B180</f>
        <v>2032</v>
      </c>
      <c r="B188" s="246"/>
      <c r="C188" s="248" t="s">
        <v>4</v>
      </c>
      <c r="D188" s="54" t="s">
        <v>89</v>
      </c>
      <c r="E188" s="73">
        <f>IF(OR(G187="",G188=""),"",IF(G187+1&gt;DATE(B180+1,3,31),"",G187+1))</f>
        <v>48488</v>
      </c>
      <c r="F188" s="46" t="str">
        <f t="shared" si="146"/>
        <v>金</v>
      </c>
      <c r="G188" s="76">
        <f t="shared" ref="G188:G194" si="186">IF(OR(G187="",$C$19="",$C$20=""),"",IF(G187+1&gt;DATE(A180+1,3,31),"",IF($C$19="月末",IF(EOMONTH(G187,VLOOKUP($C$20,$U$35:$V$39,2,FALSE))&gt;DATE(A180+1,3,31),DATE(A180+1,3,31),EOMONTH(G187,VLOOKUP($C$20,$U$35:$V$39,2,FALSE))),IF(EOMONTH(G187,VLOOKUP($C$20,$U$35:$V$39,2,FALSE)-1)+$C$19&gt;DATE(A180+1,3,31),DATE(A180+1,3,31),EOMONTH(G187,VLOOKUP($C$20,$U$35:$V$39,2,FALSE)-1)+$C$19))))</f>
        <v>48548</v>
      </c>
      <c r="H188" s="46" t="str">
        <f t="shared" si="146"/>
        <v>火</v>
      </c>
      <c r="I188" s="47">
        <f t="shared" ref="I188:I194" si="187">IF(G188="","",DATEDIF(E188,G188,"D")+1)</f>
        <v>61</v>
      </c>
      <c r="J188" s="191" cm="1">
        <f t="array" ref="J188">_xlfn.SINGLE(IF(G188&lt;&gt;"",IF($C$5="","",IF(J180:J186&lt;&gt;"",IF(MIN(J180:J186)&lt;=0,"",IF(AND($C$19&lt;&gt;"月末",G187&lt;&gt;$C$18),IF(OR(AND(G187=DATE(A188,9,30),G187&lt;&gt;(DATE(A188,9,$C$19))),G187=DATE(A188,3,31)),MIN(J180:J186),IF(MIN(J180:J186)=$C$7,MIN(J180:J186)-$C$7,MIN(J180:J186)-$C$6)),IF(MIN(J180:J186)=$C$7,MIN(J180:J186)-$C$7,MIN(J180:J186)-$C$6))),"")),""))</f>
        <v>50000000</v>
      </c>
      <c r="K188" s="191" cm="1">
        <f t="array" ref="K188">_xlfn.SINGLE(IF($C$12="","",IF(K180:K186&lt;&gt;"",IF(MIN(K180:K186)&lt;=0,"",IF(AND($C$19&lt;&gt;"月末",G187&lt;&gt;$C$18),IF(OR(AND(G187=DATE(A188,9,30),G187&lt;&gt;(DATE(A188,9,$C$19))),G187=DATE(A188,3,31)),MIN(K180:K186),IF(MIN(K180:K186)=$C$14,MIN(K180:K186)-$C$14,MIN(K180:K186)-$C$13)),IF(MIN(K180:K186)=$C$14,MIN(K180:K186)-$C$14,MIN(K180:K186)-$C$13))),"")))</f>
        <v>5000000</v>
      </c>
      <c r="L188" s="85" cm="1">
        <f t="array" ref="L188">IF(AND(OR(J188=0,J188=""),OR(K188=0,K188="")),"",_xlfn.IFS($C$21&gt;=0.0035,0.003,$C$21&lt;0.0005,0,$C$21&lt;0.0035,$C$21-0.0005))</f>
        <v>3.0000000000000001E-3</v>
      </c>
      <c r="M188" s="61">
        <f t="shared" ref="M188:M194" si="188">IF(OR(G188="",K188="",K188=0),"",ROUNDDOWN(K188*(I188/365)*L188,0))</f>
        <v>2506</v>
      </c>
      <c r="N188" s="206">
        <f t="shared" ref="N188:N194" si="189">IF(OR(J188="",J188=0,$G188=""),"",IF(AND($C$19&lt;&gt;"月末",$G188&lt;&gt;$C$18),IF(OR(AND($G188=DATE($A188,9,30),$G188&lt;&gt;DATE($A188,9,$C$19)),$G188=DATE($A188+1,3,31)),"",$C$6),$C$6))</f>
        <v>350000000</v>
      </c>
      <c r="O188" s="63">
        <f>IF(OR(K188="",K188=0,$G188=""),"",IF(AND($C$19&lt;&gt;"月末",$G188&lt;&gt;$C$18),IF(OR(AND($G188=DATE($A188,9,30),$G188&lt;&gt;DATE($A188,9,$C$19)),$G188=DATE($A188+1,3,31)),"",$C$13),$C$13))</f>
        <v>35000000</v>
      </c>
      <c r="P188" s="17">
        <v>153</v>
      </c>
      <c r="Q188" s="19">
        <f t="shared" si="167"/>
        <v>48548</v>
      </c>
      <c r="R188" s="4"/>
      <c r="Y188" s="14"/>
      <c r="Z188" s="14"/>
      <c r="AA188" s="4"/>
      <c r="AC188" s="4"/>
    </row>
    <row r="189" spans="1:29" s="3" customFormat="1" x14ac:dyDescent="0.4">
      <c r="A189" s="95">
        <f>B180</f>
        <v>2032</v>
      </c>
      <c r="B189" s="246"/>
      <c r="C189" s="247"/>
      <c r="D189" s="49" t="s">
        <v>90</v>
      </c>
      <c r="E189" s="73">
        <f>IF(OR(G188="",G189=""),"",IF(G188+1&gt;DATE(B180+1,3,31),"",G188+1))</f>
        <v>48549</v>
      </c>
      <c r="F189" s="46" t="str">
        <f t="shared" si="146"/>
        <v>水</v>
      </c>
      <c r="G189" s="76">
        <f t="shared" si="186"/>
        <v>48609</v>
      </c>
      <c r="H189" s="46" t="str">
        <f t="shared" si="146"/>
        <v>日</v>
      </c>
      <c r="I189" s="47">
        <f t="shared" si="187"/>
        <v>61</v>
      </c>
      <c r="J189" s="50">
        <f>IF(OR(G189="",J188="",$C$5=""),"",IF(J188&lt;=0,"",IF(J188=$C$7,J188-$C$7,J188-$C$6)))</f>
        <v>0</v>
      </c>
      <c r="K189" s="50">
        <f>IF($C$12="","",IF(G189="","",IF(G189&lt;$C$15,"",IF(K188="","",IF(K188&lt;=0,"",IF(K188=$C$14,K188-$C$14,K188-$C$13))))))</f>
        <v>0</v>
      </c>
      <c r="L189" s="82" t="str" cm="1">
        <f t="array" ref="L189">IF(AND(OR(J189=0,J189=""),OR(K189=0,K189="")),"",_xlfn.IFS($C$21&gt;=0.0035,0.003,$C$21&lt;0.0005,0,$C$21&lt;0.0035,$C$21-0.0005))</f>
        <v/>
      </c>
      <c r="M189" s="151" t="str">
        <f t="shared" si="188"/>
        <v/>
      </c>
      <c r="N189" s="203" t="str">
        <f t="shared" si="189"/>
        <v/>
      </c>
      <c r="O189" s="66" t="str">
        <f t="shared" ref="O189:O194" si="190">IF(OR(K189="",K189=0,$G189=""),"",IF(AND($C$19&lt;&gt;"月末",$G189&lt;&gt;$C$18),IF(OR(AND($G189=DATE($A189,9,30),$G189&lt;&gt;DATE($A189,9,$C$19)),$G189=DATE($A189+1,3,31)),"",$C$13),$C$13))</f>
        <v/>
      </c>
      <c r="P189" s="17">
        <v>154</v>
      </c>
      <c r="Q189" s="20">
        <f t="shared" si="167"/>
        <v>48609</v>
      </c>
      <c r="R189" s="4"/>
      <c r="Y189" s="14"/>
      <c r="Z189" s="14"/>
      <c r="AA189" s="4"/>
      <c r="AC189" s="4"/>
    </row>
    <row r="190" spans="1:29" s="3" customFormat="1" x14ac:dyDescent="0.4">
      <c r="A190" s="95">
        <f>B180</f>
        <v>2032</v>
      </c>
      <c r="B190" s="246"/>
      <c r="C190" s="247"/>
      <c r="D190" s="49" t="s">
        <v>91</v>
      </c>
      <c r="E190" s="73">
        <f>IF(OR(G189="",G190=""),"",IF(G189+1&gt;DATE(B180+1,3,31),"",G189+1))</f>
        <v>48610</v>
      </c>
      <c r="F190" s="46" t="str">
        <f t="shared" si="146"/>
        <v>月</v>
      </c>
      <c r="G190" s="76">
        <f t="shared" si="186"/>
        <v>48668</v>
      </c>
      <c r="H190" s="46" t="str">
        <f t="shared" si="146"/>
        <v>水</v>
      </c>
      <c r="I190" s="47">
        <f t="shared" si="187"/>
        <v>59</v>
      </c>
      <c r="J190" s="50" t="str">
        <f t="shared" ref="J190:J194" si="191">IF(OR(G190="",J189="",$C$5=""),"",IF(J189&lt;=0,"",IF(J189=$C$7,J189-$C$7,J189-$C$6)))</f>
        <v/>
      </c>
      <c r="K190" s="50" t="str">
        <f t="shared" ref="K190:K194" si="192">IF($C$12="","",IF(G190="","",IF(G190&lt;$C$15,"",IF(K189="","",IF(K189&lt;=0,"",IF(K189=$C$14,K189-$C$14,K189-$C$13))))))</f>
        <v/>
      </c>
      <c r="L190" s="82" t="str" cm="1">
        <f t="array" ref="L190">IF(AND(OR(J190=0,J190=""),OR(K190=0,K190="")),"",_xlfn.IFS($C$21&gt;=0.0035,0.003,$C$21&lt;0.0005,0,$C$21&lt;0.0035,$C$21-0.0005))</f>
        <v/>
      </c>
      <c r="M190" s="151" t="str">
        <f t="shared" si="188"/>
        <v/>
      </c>
      <c r="N190" s="203" t="str">
        <f t="shared" si="189"/>
        <v/>
      </c>
      <c r="O190" s="66" t="str">
        <f t="shared" si="190"/>
        <v/>
      </c>
      <c r="P190" s="17">
        <v>155</v>
      </c>
      <c r="Q190" s="20">
        <f t="shared" si="167"/>
        <v>48668</v>
      </c>
      <c r="S190" s="14"/>
      <c r="Y190" s="14"/>
      <c r="Z190" s="14"/>
      <c r="AA190" s="4"/>
      <c r="AC190" s="4"/>
    </row>
    <row r="191" spans="1:29" s="3" customFormat="1" x14ac:dyDescent="0.4">
      <c r="A191" s="95">
        <f>B180</f>
        <v>2032</v>
      </c>
      <c r="B191" s="246"/>
      <c r="C191" s="247"/>
      <c r="D191" s="49" t="s">
        <v>92</v>
      </c>
      <c r="E191" s="73">
        <f>IF(OR(G190="",G191=""),"",IF(G190+1&gt;DATE(B180+1,3,31),"",G190+1))</f>
        <v>48669</v>
      </c>
      <c r="F191" s="46" t="str">
        <f t="shared" si="146"/>
        <v>木</v>
      </c>
      <c r="G191" s="76">
        <f t="shared" si="186"/>
        <v>48669</v>
      </c>
      <c r="H191" s="46" t="str">
        <f t="shared" si="146"/>
        <v>木</v>
      </c>
      <c r="I191" s="47">
        <f t="shared" si="187"/>
        <v>1</v>
      </c>
      <c r="J191" s="50" t="str">
        <f t="shared" si="191"/>
        <v/>
      </c>
      <c r="K191" s="50" t="str">
        <f t="shared" si="192"/>
        <v/>
      </c>
      <c r="L191" s="82" t="str" cm="1">
        <f t="array" ref="L191">IF(AND(OR(J191=0,J191=""),OR(K191=0,K191="")),"",_xlfn.IFS($C$21&gt;=0.0035,0.003,$C$21&lt;0.0005,0,$C$21&lt;0.0035,$C$21-0.0005))</f>
        <v/>
      </c>
      <c r="M191" s="151" t="str">
        <f t="shared" si="188"/>
        <v/>
      </c>
      <c r="N191" s="203" t="str">
        <f t="shared" si="189"/>
        <v/>
      </c>
      <c r="O191" s="66" t="str">
        <f t="shared" si="190"/>
        <v/>
      </c>
      <c r="P191" s="17">
        <v>156</v>
      </c>
      <c r="Q191" s="20">
        <f t="shared" si="167"/>
        <v>48669</v>
      </c>
      <c r="Y191" s="14"/>
      <c r="Z191" s="14"/>
      <c r="AA191" s="4"/>
      <c r="AC191" s="4"/>
    </row>
    <row r="192" spans="1:29" s="3" customFormat="1" x14ac:dyDescent="0.4">
      <c r="A192" s="95">
        <f>B180</f>
        <v>2032</v>
      </c>
      <c r="B192" s="246"/>
      <c r="C192" s="247"/>
      <c r="D192" s="49" t="s">
        <v>93</v>
      </c>
      <c r="E192" s="73" t="str">
        <f>IF(OR(G191="",G192=""),"",IF(G191+1&gt;DATE(B180+1,3,31),"",G191+1))</f>
        <v/>
      </c>
      <c r="F192" s="46" t="str">
        <f t="shared" si="146"/>
        <v/>
      </c>
      <c r="G192" s="76" t="str">
        <f t="shared" si="186"/>
        <v/>
      </c>
      <c r="H192" s="46" t="str">
        <f t="shared" si="146"/>
        <v/>
      </c>
      <c r="I192" s="47" t="str">
        <f t="shared" si="187"/>
        <v/>
      </c>
      <c r="J192" s="50" t="str">
        <f t="shared" si="191"/>
        <v/>
      </c>
      <c r="K192" s="50" t="str">
        <f t="shared" si="192"/>
        <v/>
      </c>
      <c r="L192" s="82" t="str" cm="1">
        <f t="array" ref="L192">IF(AND(OR(J192=0,J192=""),OR(K192=0,K192="")),"",_xlfn.IFS($C$21&gt;=0.0035,0.003,$C$21&lt;0.0005,0,$C$21&lt;0.0035,$C$21-0.0005))</f>
        <v/>
      </c>
      <c r="M192" s="151" t="str">
        <f t="shared" si="188"/>
        <v/>
      </c>
      <c r="N192" s="203" t="str">
        <f t="shared" si="189"/>
        <v/>
      </c>
      <c r="O192" s="66" t="str">
        <f t="shared" si="190"/>
        <v/>
      </c>
      <c r="P192" s="17">
        <v>157</v>
      </c>
      <c r="Q192" s="20" t="str">
        <f t="shared" si="167"/>
        <v/>
      </c>
      <c r="Y192" s="14"/>
      <c r="Z192" s="14"/>
      <c r="AA192" s="4"/>
      <c r="AC192" s="4"/>
    </row>
    <row r="193" spans="1:29" s="14" customFormat="1" x14ac:dyDescent="0.4">
      <c r="A193" s="95">
        <f>B180</f>
        <v>2032</v>
      </c>
      <c r="B193" s="246"/>
      <c r="C193" s="247"/>
      <c r="D193" s="51" t="s">
        <v>82</v>
      </c>
      <c r="E193" s="74" t="str">
        <f>IF(OR(G192="",G193=""),"",IF(G192+1&gt;DATE(B180+1,3,31),"",G192+1))</f>
        <v/>
      </c>
      <c r="F193" s="181" t="str">
        <f t="shared" si="146"/>
        <v/>
      </c>
      <c r="G193" s="100" t="str">
        <f t="shared" si="186"/>
        <v/>
      </c>
      <c r="H193" s="181" t="str">
        <f t="shared" si="146"/>
        <v/>
      </c>
      <c r="I193" s="182" t="str">
        <f t="shared" si="187"/>
        <v/>
      </c>
      <c r="J193" s="50" t="str">
        <f t="shared" si="191"/>
        <v/>
      </c>
      <c r="K193" s="50" t="str">
        <f t="shared" si="192"/>
        <v/>
      </c>
      <c r="L193" s="183" t="str" cm="1">
        <f t="array" ref="L193">IF(AND(OR(J193=0,J193=""),OR(K193=0,K193="")),"",_xlfn.IFS($C$21&gt;=0.0035,0.003,$C$21&lt;0.0005,0,$C$21&lt;0.0035,$C$21-0.0005))</f>
        <v/>
      </c>
      <c r="M193" s="200" t="str">
        <f t="shared" si="188"/>
        <v/>
      </c>
      <c r="N193" s="203" t="str">
        <f t="shared" si="189"/>
        <v/>
      </c>
      <c r="O193" s="202" t="str">
        <f t="shared" si="190"/>
        <v/>
      </c>
      <c r="P193" s="17">
        <v>158</v>
      </c>
      <c r="Q193" s="20" t="str">
        <f t="shared" si="167"/>
        <v/>
      </c>
      <c r="S193" s="3"/>
      <c r="AA193" s="4"/>
      <c r="AB193" s="3"/>
      <c r="AC193" s="4"/>
    </row>
    <row r="194" spans="1:29" s="3" customFormat="1" ht="19.5" thickBot="1" x14ac:dyDescent="0.45">
      <c r="A194" s="95">
        <f>B180</f>
        <v>2032</v>
      </c>
      <c r="B194" s="246"/>
      <c r="C194" s="247"/>
      <c r="D194" s="51" t="s">
        <v>80</v>
      </c>
      <c r="E194" s="74" t="str">
        <f>IF(OR(G193="",G194=""),"",IF(G193+1&gt;DATE(B180+1,3,31),"",G193+1))</f>
        <v/>
      </c>
      <c r="F194" s="52" t="str">
        <f t="shared" si="146"/>
        <v/>
      </c>
      <c r="G194" s="76" t="str">
        <f t="shared" si="186"/>
        <v/>
      </c>
      <c r="H194" s="52" t="str">
        <f t="shared" si="146"/>
        <v/>
      </c>
      <c r="I194" s="53" t="str">
        <f t="shared" si="187"/>
        <v/>
      </c>
      <c r="J194" s="50" t="str">
        <f t="shared" si="191"/>
        <v/>
      </c>
      <c r="K194" s="50" t="str">
        <f t="shared" si="192"/>
        <v/>
      </c>
      <c r="L194" s="83" t="str" cm="1">
        <f t="array" ref="L194">IF(AND(OR(J194=0,J194=""),OR(K194=0,K194="")),"",_xlfn.IFS($C$21&gt;=0.0035,0.003,$C$21&lt;0.0005,0,$C$21&lt;0.0035,$C$21-0.0005))</f>
        <v/>
      </c>
      <c r="M194" s="207" t="str">
        <f t="shared" si="188"/>
        <v/>
      </c>
      <c r="N194" s="204" t="str">
        <f t="shared" si="189"/>
        <v/>
      </c>
      <c r="O194" s="69" t="str">
        <f t="shared" si="190"/>
        <v/>
      </c>
      <c r="P194" s="17">
        <v>159</v>
      </c>
      <c r="Q194" s="21" t="str">
        <f t="shared" si="167"/>
        <v/>
      </c>
      <c r="S194" s="1"/>
      <c r="Y194" s="14"/>
      <c r="Z194" s="14"/>
      <c r="AA194" s="4"/>
      <c r="AC194" s="4"/>
    </row>
    <row r="195" spans="1:29" s="3" customFormat="1" ht="19.5" thickBot="1" x14ac:dyDescent="0.45">
      <c r="A195" s="96">
        <f>B180</f>
        <v>2032</v>
      </c>
      <c r="B195" s="234"/>
      <c r="C195" s="157" t="s">
        <v>10</v>
      </c>
      <c r="D195" s="58"/>
      <c r="E195" s="75" cm="1">
        <f t="array" ref="E195">_xlfn.SINGLE(IF(E188:E194&lt;&gt;"",MIN(E188:E194),""))</f>
        <v>48488</v>
      </c>
      <c r="F195" s="59" t="str">
        <f t="shared" si="146"/>
        <v>金</v>
      </c>
      <c r="G195" s="75" cm="1">
        <f t="array" ref="G195">_xlfn.SINGLE(IF(G188:G194&lt;&gt;"",MAX(G188:G194),""))</f>
        <v>48669</v>
      </c>
      <c r="H195" s="59" t="str">
        <f t="shared" si="146"/>
        <v>木</v>
      </c>
      <c r="I195" s="60">
        <f>SUM(I188:I194)</f>
        <v>182</v>
      </c>
      <c r="J195" s="58"/>
      <c r="K195" s="58"/>
      <c r="L195" s="84"/>
      <c r="M195" s="208">
        <f>SUM(M188:M194)</f>
        <v>2506</v>
      </c>
      <c r="N195" s="205"/>
      <c r="O195" s="72"/>
      <c r="P195" s="17">
        <v>160</v>
      </c>
      <c r="Q195" s="22">
        <f t="shared" si="167"/>
        <v>48669</v>
      </c>
      <c r="S195" s="1"/>
      <c r="Y195" s="14"/>
      <c r="Z195" s="14"/>
      <c r="AA195" s="4"/>
      <c r="AB195" s="14"/>
      <c r="AC195" s="4"/>
    </row>
    <row r="196" spans="1:29" s="3" customFormat="1" x14ac:dyDescent="0.4">
      <c r="A196" s="94">
        <f>B196</f>
        <v>2033</v>
      </c>
      <c r="B196" s="233">
        <f t="shared" ref="B196" si="193">B180+1</f>
        <v>2033</v>
      </c>
      <c r="C196" s="247" t="s">
        <v>3</v>
      </c>
      <c r="D196" s="45" t="s">
        <v>83</v>
      </c>
      <c r="E196" s="73">
        <f>IF(OR(G195="",G196=""),"",IF(G195+1&gt;DATE(B196,9,30),"",G195+1))</f>
        <v>48670</v>
      </c>
      <c r="F196" s="46" t="str">
        <f t="shared" si="146"/>
        <v>金</v>
      </c>
      <c r="G196" s="76">
        <f t="shared" ref="G196:G202" si="194">IF(OR(G195="",$C$19="",$C$20=""),"",IF(G195+1&gt;DATE(A196,9,30),"",IF($C$19="月末",IF(EOMONTH(G195,VLOOKUP($C$20,$U$35:$V$39,2,FALSE))&gt;DATE(A196,9,30),DATE(A196,9,30),EOMONTH(G195,VLOOKUP($C$20,$U$35:$V$39,2,FALSE))),IF(EOMONTH(G195,VLOOKUP($C$20,$U$35:$V$39,2,FALSE)-1)+$C$19&gt;DATE(A196,9,30),DATE(A196,9,30),EOMONTH(G195,VLOOKUP($C$20,$U$35:$V$39,2,FALSE)-1)+$C$19))))</f>
        <v>48729</v>
      </c>
      <c r="H196" s="46" t="str">
        <f t="shared" si="146"/>
        <v>月</v>
      </c>
      <c r="I196" s="47">
        <f t="shared" ref="I196:I202" si="195">IF(G196="","",DATEDIF(E196,G196,"D")+1)</f>
        <v>60</v>
      </c>
      <c r="J196" s="191" t="str" cm="1">
        <f t="array" ref="J196">_xlfn.SINGLE(IF(G196&lt;&gt;"",IF($C$5="","",IF(J188:J194&lt;&gt;"",IF(MIN(J188:J194)&lt;=0,"",IF(AND($C$19&lt;&gt;"月末",G195&lt;&gt;$C$18),IF(OR(AND(G195=DATE(A196,9,30),G195&lt;&gt;(DATE(A196,9,$C$19))),G195=DATE(A196,3,31)),MIN(J188:J194),IF(MIN(J188:J194)=$C$7,MIN(J188:J194)-$C$7,MIN(J188:J194)-$C$6)),IF(MIN(J188:J194)=$C$7,MIN(J188:J194)-$C$7,MIN(J188:J194)-$C$6))),"")),""))</f>
        <v/>
      </c>
      <c r="K196" s="191" t="str" cm="1">
        <f t="array" ref="K196">_xlfn.SINGLE(IF($C$12="","",IF(K188:K194&lt;&gt;"",IF(MIN(K188:K194)&lt;=0,"",IF(AND($C$19&lt;&gt;"月末",G195&lt;&gt;$C$18),IF(OR(AND(G195=DATE(A196,9,30),G195&lt;&gt;(DATE(A196,9,$C$19))),G195=DATE(A196,3,31)),MIN(K188:K194),IF(MIN(K188:K194)=$C$14,MIN(K188:K194)-$C$14,MIN(K188:K194)-$C$13)),IF(MIN(K188:K194)=$C$14,MIN(K188:K194)-$C$14,MIN(K188:K194)-$C$13))),"")))</f>
        <v/>
      </c>
      <c r="L196" s="82" t="str" cm="1">
        <f t="array" ref="L196">IF(AND(OR(J196=0,J196=""),OR(K196=0,K196="")),"",_xlfn.IFS($C$21&gt;=0.0035,0.003,$C$21&lt;0.0005,0,$C$21&lt;0.0035,$C$21-0.0005))</f>
        <v/>
      </c>
      <c r="M196" s="61" t="str">
        <f t="shared" ref="M196:M202" si="196">IF(OR(G196="",K196="",K196=0),"",ROUNDDOWN(K196*(I196/365)*L196,0))</f>
        <v/>
      </c>
      <c r="N196" s="206" t="str">
        <f t="shared" ref="N196:N202" si="197">IF(OR(J196="",J196=0,$G196=""),"",IF(AND($C$19&lt;&gt;"月末",$G196&lt;&gt;$C$18),IF(OR(AND($G196=DATE($A196,9,30),$G196&lt;&gt;DATE($A196,9,$C$19)),$G196=DATE($A196+1,3,31)),"",$C$6),$C$6))</f>
        <v/>
      </c>
      <c r="O196" s="63" t="str">
        <f>IF(OR(K196="",K196=0,$G196=""),"",IF(AND($C$19&lt;&gt;"月末",$G196&lt;&gt;$C$18),IF(OR(AND($G196=DATE($A196,9,30),$G196&lt;&gt;DATE($A196,9,$C$19)),$G196=DATE($A196+1,3,31)),"",$C$13),$C$13))</f>
        <v/>
      </c>
      <c r="P196" s="17">
        <v>161</v>
      </c>
      <c r="Q196" s="19">
        <f t="shared" ref="Q196:Q211" si="198">IF(G196&lt;&gt;"",G196,"")</f>
        <v>48729</v>
      </c>
      <c r="S196" s="1"/>
      <c r="Y196" s="14"/>
      <c r="Z196" s="14"/>
      <c r="AA196" s="4"/>
      <c r="AC196" s="4"/>
    </row>
    <row r="197" spans="1:29" s="3" customFormat="1" x14ac:dyDescent="0.4">
      <c r="A197" s="95">
        <f>B196</f>
        <v>2033</v>
      </c>
      <c r="B197" s="246"/>
      <c r="C197" s="247"/>
      <c r="D197" s="49" t="s">
        <v>84</v>
      </c>
      <c r="E197" s="73">
        <f>IF(OR(G196="",G197=""),"",IF(G196+1&gt;DATE(B196,9,30),"",G196+1))</f>
        <v>48730</v>
      </c>
      <c r="F197" s="46" t="str">
        <f t="shared" si="146"/>
        <v>火</v>
      </c>
      <c r="G197" s="76">
        <f t="shared" si="194"/>
        <v>48790</v>
      </c>
      <c r="H197" s="46" t="str">
        <f t="shared" si="146"/>
        <v>土</v>
      </c>
      <c r="I197" s="47">
        <f t="shared" si="195"/>
        <v>61</v>
      </c>
      <c r="J197" s="50" t="str">
        <f>IF(OR(G197="",J196="",$C$5=""),"",IF(J196&lt;=0,"",IF(J196=$C$7,J196-$C$7,J196-$C$6)))</f>
        <v/>
      </c>
      <c r="K197" s="50" t="str">
        <f>IF($C$12="","",IF(G197="","",IF(G197&lt;$C$15,"",IF(K196="","",IF(K196&lt;=0,"",IF(K196=$C$14,K196-$C$14,K196-$C$13))))))</f>
        <v/>
      </c>
      <c r="L197" s="82" t="str" cm="1">
        <f t="array" ref="L197">IF(AND(OR(J197=0,J197=""),OR(K197=0,K197="")),"",_xlfn.IFS($C$21&gt;=0.0035,0.003,$C$21&lt;0.0005,0,$C$21&lt;0.0035,$C$21-0.0005))</f>
        <v/>
      </c>
      <c r="M197" s="151" t="str">
        <f t="shared" si="196"/>
        <v/>
      </c>
      <c r="N197" s="203" t="str">
        <f t="shared" si="197"/>
        <v/>
      </c>
      <c r="O197" s="66" t="str">
        <f t="shared" ref="O197:O202" si="199">IF(OR(K197="",K197=0,$G197=""),"",IF(AND($C$19&lt;&gt;"月末",$G197&lt;&gt;$C$18),IF(OR(AND($G197=DATE($A197,9,30),$G197&lt;&gt;DATE($A197,9,$C$19)),$G197=DATE($A197+1,3,31)),"",$C$13),$C$13))</f>
        <v/>
      </c>
      <c r="P197" s="17">
        <v>162</v>
      </c>
      <c r="Q197" s="20">
        <f t="shared" si="198"/>
        <v>48790</v>
      </c>
      <c r="S197" s="1"/>
      <c r="Y197" s="14"/>
      <c r="Z197" s="14"/>
      <c r="AA197" s="4"/>
      <c r="AC197" s="4"/>
    </row>
    <row r="198" spans="1:29" x14ac:dyDescent="0.4">
      <c r="A198" s="95">
        <f>B196</f>
        <v>2033</v>
      </c>
      <c r="B198" s="246"/>
      <c r="C198" s="247"/>
      <c r="D198" s="49" t="s">
        <v>85</v>
      </c>
      <c r="E198" s="73">
        <f>IF(OR(G197="",G198=""),"",IF(G197+1&gt;DATE(B196,9,30),"",G197+1))</f>
        <v>48791</v>
      </c>
      <c r="F198" s="46" t="str">
        <f t="shared" si="146"/>
        <v>日</v>
      </c>
      <c r="G198" s="76">
        <f t="shared" si="194"/>
        <v>48852</v>
      </c>
      <c r="H198" s="46" t="str">
        <f t="shared" si="146"/>
        <v>金</v>
      </c>
      <c r="I198" s="47">
        <f t="shared" si="195"/>
        <v>62</v>
      </c>
      <c r="J198" s="50" t="str">
        <f t="shared" ref="J198:J202" si="200">IF(OR(G198="",J197="",$C$5=""),"",IF(J197&lt;=0,"",IF(J197=$C$7,J197-$C$7,J197-$C$6)))</f>
        <v/>
      </c>
      <c r="K198" s="50" t="str">
        <f t="shared" ref="K198:K202" si="201">IF($C$12="","",IF(G198="","",IF(G198&lt;$C$15,"",IF(K197="","",IF(K197&lt;=0,"",IF(K197=$C$14,K197-$C$14,K197-$C$13))))))</f>
        <v/>
      </c>
      <c r="L198" s="82" t="str" cm="1">
        <f t="array" ref="L198">IF(AND(OR(J198=0,J198=""),OR(K198=0,K198="")),"",_xlfn.IFS($C$21&gt;=0.0035,0.003,$C$21&lt;0.0005,0,$C$21&lt;0.0035,$C$21-0.0005))</f>
        <v/>
      </c>
      <c r="M198" s="151" t="str">
        <f t="shared" si="196"/>
        <v/>
      </c>
      <c r="N198" s="203" t="str">
        <f t="shared" si="197"/>
        <v/>
      </c>
      <c r="O198" s="66" t="str">
        <f t="shared" si="199"/>
        <v/>
      </c>
      <c r="P198" s="17">
        <v>163</v>
      </c>
      <c r="Q198" s="20">
        <f t="shared" si="198"/>
        <v>48852</v>
      </c>
      <c r="S198" s="12"/>
      <c r="Y198" s="14"/>
      <c r="Z198" s="14"/>
      <c r="AA198" s="4"/>
      <c r="AB198" s="3"/>
      <c r="AC198" s="4"/>
    </row>
    <row r="199" spans="1:29" x14ac:dyDescent="0.4">
      <c r="A199" s="95">
        <f>B196</f>
        <v>2033</v>
      </c>
      <c r="B199" s="246"/>
      <c r="C199" s="247"/>
      <c r="D199" s="49" t="s">
        <v>86</v>
      </c>
      <c r="E199" s="73" t="str">
        <f>IF(OR(G198="",G199=""),"",IF(G198+1&gt;DATE(B196,9,30),"",G198+1))</f>
        <v/>
      </c>
      <c r="F199" s="46" t="str">
        <f t="shared" si="146"/>
        <v/>
      </c>
      <c r="G199" s="76" t="str">
        <f t="shared" si="194"/>
        <v/>
      </c>
      <c r="H199" s="46" t="str">
        <f t="shared" si="146"/>
        <v/>
      </c>
      <c r="I199" s="47" t="str">
        <f t="shared" si="195"/>
        <v/>
      </c>
      <c r="J199" s="50" t="str">
        <f t="shared" si="200"/>
        <v/>
      </c>
      <c r="K199" s="50" t="str">
        <f t="shared" si="201"/>
        <v/>
      </c>
      <c r="L199" s="82" t="str" cm="1">
        <f t="array" ref="L199">IF(AND(OR(J199=0,J199=""),OR(K199=0,K199="")),"",_xlfn.IFS($C$21&gt;=0.0035,0.003,$C$21&lt;0.0005,0,$C$21&lt;0.0035,$C$21-0.0005))</f>
        <v/>
      </c>
      <c r="M199" s="151" t="str">
        <f t="shared" si="196"/>
        <v/>
      </c>
      <c r="N199" s="203" t="str">
        <f t="shared" si="197"/>
        <v/>
      </c>
      <c r="O199" s="66" t="str">
        <f t="shared" si="199"/>
        <v/>
      </c>
      <c r="P199" s="17">
        <v>164</v>
      </c>
      <c r="Q199" s="20" t="str">
        <f t="shared" si="198"/>
        <v/>
      </c>
      <c r="Y199" s="14"/>
      <c r="Z199" s="14"/>
      <c r="AA199" s="4"/>
      <c r="AB199" s="3"/>
      <c r="AC199" s="4"/>
    </row>
    <row r="200" spans="1:29" x14ac:dyDescent="0.4">
      <c r="A200" s="95">
        <f>B196</f>
        <v>2033</v>
      </c>
      <c r="B200" s="246"/>
      <c r="C200" s="247"/>
      <c r="D200" s="49" t="s">
        <v>87</v>
      </c>
      <c r="E200" s="73" t="str">
        <f>IF(OR(G199="",G200=""),"",IF(G199+1&gt;DATE(B196,9,30),"",G199+1))</f>
        <v/>
      </c>
      <c r="F200" s="46" t="str">
        <f t="shared" si="146"/>
        <v/>
      </c>
      <c r="G200" s="76" t="str">
        <f t="shared" si="194"/>
        <v/>
      </c>
      <c r="H200" s="46" t="str">
        <f t="shared" si="146"/>
        <v/>
      </c>
      <c r="I200" s="47" t="str">
        <f t="shared" si="195"/>
        <v/>
      </c>
      <c r="J200" s="50" t="str">
        <f t="shared" si="200"/>
        <v/>
      </c>
      <c r="K200" s="50" t="str">
        <f t="shared" si="201"/>
        <v/>
      </c>
      <c r="L200" s="82" t="str" cm="1">
        <f t="array" ref="L200">IF(AND(OR(J200=0,J200=""),OR(K200=0,K200="")),"",_xlfn.IFS($C$21&gt;=0.0035,0.003,$C$21&lt;0.0005,0,$C$21&lt;0.0035,$C$21-0.0005))</f>
        <v/>
      </c>
      <c r="M200" s="151" t="str">
        <f t="shared" si="196"/>
        <v/>
      </c>
      <c r="N200" s="203" t="str">
        <f t="shared" si="197"/>
        <v/>
      </c>
      <c r="O200" s="66" t="str">
        <f t="shared" si="199"/>
        <v/>
      </c>
      <c r="P200" s="17">
        <v>165</v>
      </c>
      <c r="Q200" s="20" t="str">
        <f t="shared" si="198"/>
        <v/>
      </c>
    </row>
    <row r="201" spans="1:29" s="12" customFormat="1" x14ac:dyDescent="0.4">
      <c r="A201" s="95">
        <f>B196</f>
        <v>2033</v>
      </c>
      <c r="B201" s="246"/>
      <c r="C201" s="247"/>
      <c r="D201" s="51" t="s">
        <v>88</v>
      </c>
      <c r="E201" s="73" t="str">
        <f>IF(OR(G200="",G201=""),"",IF(G200+1&gt;DATE(B196,9,30),"",G200+1))</f>
        <v/>
      </c>
      <c r="F201" s="181" t="str">
        <f t="shared" si="146"/>
        <v/>
      </c>
      <c r="G201" s="100" t="str">
        <f t="shared" si="194"/>
        <v/>
      </c>
      <c r="H201" s="181" t="str">
        <f t="shared" si="146"/>
        <v/>
      </c>
      <c r="I201" s="182" t="str">
        <f t="shared" si="195"/>
        <v/>
      </c>
      <c r="J201" s="50" t="str">
        <f t="shared" si="200"/>
        <v/>
      </c>
      <c r="K201" s="50" t="str">
        <f t="shared" si="201"/>
        <v/>
      </c>
      <c r="L201" s="183" t="str" cm="1">
        <f t="array" ref="L201">IF(AND(OR(J201=0,J201=""),OR(K201=0,K201="")),"",_xlfn.IFS($C$21&gt;=0.0035,0.003,$C$21&lt;0.0005,0,$C$21&lt;0.0035,$C$21-0.0005))</f>
        <v/>
      </c>
      <c r="M201" s="200" t="str">
        <f t="shared" si="196"/>
        <v/>
      </c>
      <c r="N201" s="203" t="str">
        <f t="shared" si="197"/>
        <v/>
      </c>
      <c r="O201" s="202" t="str">
        <f t="shared" si="199"/>
        <v/>
      </c>
      <c r="P201" s="17">
        <v>166</v>
      </c>
      <c r="Q201" s="20" t="str">
        <f t="shared" si="198"/>
        <v/>
      </c>
      <c r="S201" s="1"/>
      <c r="AA201" s="163"/>
      <c r="AB201" s="1"/>
      <c r="AC201" s="163"/>
    </row>
    <row r="202" spans="1:29" ht="19.5" thickBot="1" x14ac:dyDescent="0.45">
      <c r="A202" s="95">
        <f>B196</f>
        <v>2033</v>
      </c>
      <c r="B202" s="246"/>
      <c r="C202" s="247"/>
      <c r="D202" s="51" t="s">
        <v>78</v>
      </c>
      <c r="E202" s="73" t="str">
        <f>IF(OR(G201="",G202=""),"",IF(G201+1&gt;DATE(B196,9,30),"",G201+1))</f>
        <v/>
      </c>
      <c r="F202" s="52" t="str">
        <f t="shared" si="146"/>
        <v/>
      </c>
      <c r="G202" s="76" t="str">
        <f t="shared" si="194"/>
        <v/>
      </c>
      <c r="H202" s="52" t="str">
        <f t="shared" si="146"/>
        <v/>
      </c>
      <c r="I202" s="53" t="str">
        <f t="shared" si="195"/>
        <v/>
      </c>
      <c r="J202" s="50" t="str">
        <f t="shared" si="200"/>
        <v/>
      </c>
      <c r="K202" s="50" t="str">
        <f t="shared" si="201"/>
        <v/>
      </c>
      <c r="L202" s="83" t="str" cm="1">
        <f t="array" ref="L202">IF(AND(OR(J202=0,J202=""),OR(K202=0,K202="")),"",_xlfn.IFS($C$21&gt;=0.0035,0.003,$C$21&lt;0.0005,0,$C$21&lt;0.0035,$C$21-0.0005))</f>
        <v/>
      </c>
      <c r="M202" s="207" t="str">
        <f t="shared" si="196"/>
        <v/>
      </c>
      <c r="N202" s="204" t="str">
        <f t="shared" si="197"/>
        <v/>
      </c>
      <c r="O202" s="69" t="str">
        <f t="shared" si="199"/>
        <v/>
      </c>
      <c r="P202" s="17">
        <v>167</v>
      </c>
      <c r="Q202" s="21" t="str">
        <f t="shared" si="198"/>
        <v/>
      </c>
    </row>
    <row r="203" spans="1:29" ht="19.5" thickBot="1" x14ac:dyDescent="0.45">
      <c r="A203" s="95">
        <f>B196</f>
        <v>2033</v>
      </c>
      <c r="B203" s="246"/>
      <c r="C203" s="157" t="s">
        <v>10</v>
      </c>
      <c r="D203" s="58"/>
      <c r="E203" s="75" cm="1">
        <f t="array" ref="E203">_xlfn.SINGLE(IF(E196:E202&lt;&gt;"",MIN(E196:E202),""))</f>
        <v>48670</v>
      </c>
      <c r="F203" s="59" t="str">
        <f t="shared" si="146"/>
        <v>金</v>
      </c>
      <c r="G203" s="75" cm="1">
        <f t="array" ref="G203">_xlfn.SINGLE(IF(G196:G202&lt;&gt;"",MAX(G196:G202),""))</f>
        <v>48852</v>
      </c>
      <c r="H203" s="59" t="str">
        <f t="shared" si="146"/>
        <v>金</v>
      </c>
      <c r="I203" s="60">
        <f>SUM(I196:I202)</f>
        <v>183</v>
      </c>
      <c r="J203" s="58"/>
      <c r="K203" s="58"/>
      <c r="L203" s="84"/>
      <c r="M203" s="208">
        <f>SUM(M196:M202)</f>
        <v>0</v>
      </c>
      <c r="N203" s="205"/>
      <c r="O203" s="72"/>
      <c r="P203" s="17">
        <v>168</v>
      </c>
      <c r="Q203" s="22">
        <f t="shared" si="198"/>
        <v>48852</v>
      </c>
      <c r="AB203" s="12"/>
    </row>
    <row r="204" spans="1:29" x14ac:dyDescent="0.4">
      <c r="A204" s="95">
        <f>B196</f>
        <v>2033</v>
      </c>
      <c r="B204" s="246"/>
      <c r="C204" s="248" t="s">
        <v>4</v>
      </c>
      <c r="D204" s="54" t="s">
        <v>89</v>
      </c>
      <c r="E204" s="73">
        <f>IF(OR(G203="",G204=""),"",IF(G203+1&gt;DATE(B196+1,3,31),"",G203+1))</f>
        <v>48853</v>
      </c>
      <c r="F204" s="46" t="str">
        <f t="shared" si="146"/>
        <v>土</v>
      </c>
      <c r="G204" s="76">
        <f t="shared" ref="G204:G210" si="202">IF(OR(G203="",$C$19="",$C$20=""),"",IF(G203+1&gt;DATE(A196+1,3,31),"",IF($C$19="月末",IF(EOMONTH(G203,VLOOKUP($C$20,$U$35:$V$39,2,FALSE))&gt;DATE(A196+1,3,31),DATE(A196+1,3,31),EOMONTH(G203,VLOOKUP($C$20,$U$35:$V$39,2,FALSE))),IF(EOMONTH(G203,VLOOKUP($C$20,$U$35:$V$39,2,FALSE)-1)+$C$19&gt;DATE(A196+1,3,31),DATE(A196+1,3,31),EOMONTH(G203,VLOOKUP($C$20,$U$35:$V$39,2,FALSE)-1)+$C$19))))</f>
        <v>48913</v>
      </c>
      <c r="H204" s="46" t="str">
        <f t="shared" si="146"/>
        <v>水</v>
      </c>
      <c r="I204" s="47">
        <f t="shared" ref="I204:I210" si="203">IF(G204="","",DATEDIF(E204,G204,"D")+1)</f>
        <v>61</v>
      </c>
      <c r="J204" s="191" t="str" cm="1">
        <f t="array" ref="J204">_xlfn.SINGLE(IF(G204&lt;&gt;"",IF($C$5="","",IF(J196:J202&lt;&gt;"",IF(MIN(J196:J202)&lt;=0,"",IF(AND($C$19&lt;&gt;"月末",G203&lt;&gt;$C$18),IF(OR(AND(G203=DATE(A204,9,30),G203&lt;&gt;(DATE(A204,9,$C$19))),G203=DATE(A204,3,31)),MIN(J196:J202),IF(MIN(J196:J202)=$C$7,MIN(J196:J202)-$C$7,MIN(J196:J202)-$C$6)),IF(MIN(J196:J202)=$C$7,MIN(J196:J202)-$C$7,MIN(J196:J202)-$C$6))),"")),""))</f>
        <v/>
      </c>
      <c r="K204" s="191" t="str" cm="1">
        <f t="array" ref="K204">_xlfn.SINGLE(IF($C$12="","",IF(K196:K202&lt;&gt;"",IF(MIN(K196:K202)&lt;=0,"",IF(AND($C$19&lt;&gt;"月末",G203&lt;&gt;$C$18),IF(OR(AND(G203=DATE(A204,9,30),G203&lt;&gt;(DATE(A204,9,$C$19))),G203=DATE(A204,3,31)),MIN(K196:K202),IF(MIN(K196:K202)=$C$14,MIN(K196:K202)-$C$14,MIN(K196:K202)-$C$13)),IF(MIN(K196:K202)=$C$14,MIN(K196:K202)-$C$14,MIN(K196:K202)-$C$13))),"")))</f>
        <v/>
      </c>
      <c r="L204" s="85" t="str" cm="1">
        <f t="array" ref="L204">IF(AND(OR(J204=0,J204=""),OR(K204=0,K204="")),"",_xlfn.IFS($C$21&gt;=0.0035,0.003,$C$21&lt;0.0005,0,$C$21&lt;0.0035,$C$21-0.0005))</f>
        <v/>
      </c>
      <c r="M204" s="61" t="str">
        <f t="shared" ref="M204:M210" si="204">IF(OR(G204="",K204="",K204=0),"",ROUNDDOWN(K204*(I204/365)*L204,0))</f>
        <v/>
      </c>
      <c r="N204" s="206" t="str">
        <f t="shared" ref="N204:N210" si="205">IF(OR(J204="",J204=0,$G204=""),"",IF(AND($C$19&lt;&gt;"月末",$G204&lt;&gt;$C$18),IF(OR(AND($G204=DATE($A204,9,30),$G204&lt;&gt;DATE($A204,9,$C$19)),$G204=DATE($A204+1,3,31)),"",$C$6),$C$6))</f>
        <v/>
      </c>
      <c r="O204" s="63" t="str">
        <f>IF(OR(K204="",K204=0,$G204=""),"",IF(AND($C$19&lt;&gt;"月末",$G204&lt;&gt;$C$18),IF(OR(AND($G204=DATE($A204,9,30),$G204&lt;&gt;DATE($A204,9,$C$19)),$G204=DATE($A204+1,3,31)),"",$C$13),$C$13))</f>
        <v/>
      </c>
      <c r="P204" s="17">
        <v>169</v>
      </c>
      <c r="Q204" s="19">
        <f t="shared" si="198"/>
        <v>48913</v>
      </c>
    </row>
    <row r="205" spans="1:29" x14ac:dyDescent="0.4">
      <c r="A205" s="95">
        <f>B196</f>
        <v>2033</v>
      </c>
      <c r="B205" s="246"/>
      <c r="C205" s="247"/>
      <c r="D205" s="49" t="s">
        <v>90</v>
      </c>
      <c r="E205" s="73">
        <f>IF(OR(G204="",G205=""),"",IF(G204+1&gt;DATE(B196+1,3,31),"",G204+1))</f>
        <v>48914</v>
      </c>
      <c r="F205" s="46" t="str">
        <f t="shared" si="146"/>
        <v>木</v>
      </c>
      <c r="G205" s="76">
        <f t="shared" si="202"/>
        <v>48974</v>
      </c>
      <c r="H205" s="46" t="str">
        <f t="shared" si="146"/>
        <v>月</v>
      </c>
      <c r="I205" s="47">
        <f t="shared" si="203"/>
        <v>61</v>
      </c>
      <c r="J205" s="50" t="str">
        <f>IF(OR(G205="",J204="",$C$5=""),"",IF(J204&lt;=0,"",IF(J204=$C$7,J204-$C$7,J204-$C$6)))</f>
        <v/>
      </c>
      <c r="K205" s="50" t="str">
        <f>IF($C$12="","",IF(G205="","",IF(G205&lt;$C$15,"",IF(K204="","",IF(K204&lt;=0,"",IF(K204=$C$14,K204-$C$14,K204-$C$13))))))</f>
        <v/>
      </c>
      <c r="L205" s="82" t="str" cm="1">
        <f t="array" ref="L205">IF(AND(OR(J205=0,J205=""),OR(K205=0,K205="")),"",_xlfn.IFS($C$21&gt;=0.0035,0.003,$C$21&lt;0.0005,0,$C$21&lt;0.0035,$C$21-0.0005))</f>
        <v/>
      </c>
      <c r="M205" s="151" t="str">
        <f t="shared" si="204"/>
        <v/>
      </c>
      <c r="N205" s="203" t="str">
        <f t="shared" si="205"/>
        <v/>
      </c>
      <c r="O205" s="66" t="str">
        <f t="shared" ref="O205:O210" si="206">IF(OR(K205="",K205=0,$G205=""),"",IF(AND($C$19&lt;&gt;"月末",$G205&lt;&gt;$C$18),IF(OR(AND($G205=DATE($A205,9,30),$G205&lt;&gt;DATE($A205,9,$C$19)),$G205=DATE($A205+1,3,31)),"",$C$13),$C$13))</f>
        <v/>
      </c>
      <c r="P205" s="17">
        <v>170</v>
      </c>
      <c r="Q205" s="20">
        <f t="shared" si="198"/>
        <v>48974</v>
      </c>
    </row>
    <row r="206" spans="1:29" x14ac:dyDescent="0.4">
      <c r="A206" s="95">
        <f>B196</f>
        <v>2033</v>
      </c>
      <c r="B206" s="246"/>
      <c r="C206" s="247"/>
      <c r="D206" s="49" t="s">
        <v>91</v>
      </c>
      <c r="E206" s="73">
        <f>IF(OR(G205="",G206=""),"",IF(G205+1&gt;DATE(B196+1,3,31),"",G205+1))</f>
        <v>48975</v>
      </c>
      <c r="F206" s="46" t="str">
        <f t="shared" si="146"/>
        <v>火</v>
      </c>
      <c r="G206" s="76">
        <f t="shared" si="202"/>
        <v>49033</v>
      </c>
      <c r="H206" s="46" t="str">
        <f t="shared" si="146"/>
        <v>木</v>
      </c>
      <c r="I206" s="47">
        <f t="shared" si="203"/>
        <v>59</v>
      </c>
      <c r="J206" s="50" t="str">
        <f t="shared" ref="J206:J210" si="207">IF(OR(G206="",J205="",$C$5=""),"",IF(J205&lt;=0,"",IF(J205=$C$7,J205-$C$7,J205-$C$6)))</f>
        <v/>
      </c>
      <c r="K206" s="50" t="str">
        <f t="shared" ref="K206:K210" si="208">IF($C$12="","",IF(G206="","",IF(G206&lt;$C$15,"",IF(K205="","",IF(K205&lt;=0,"",IF(K205=$C$14,K205-$C$14,K205-$C$13))))))</f>
        <v/>
      </c>
      <c r="L206" s="82" t="str" cm="1">
        <f t="array" ref="L206">IF(AND(OR(J206=0,J206=""),OR(K206=0,K206="")),"",_xlfn.IFS($C$21&gt;=0.0035,0.003,$C$21&lt;0.0005,0,$C$21&lt;0.0035,$C$21-0.0005))</f>
        <v/>
      </c>
      <c r="M206" s="151" t="str">
        <f t="shared" si="204"/>
        <v/>
      </c>
      <c r="N206" s="203" t="str">
        <f t="shared" si="205"/>
        <v/>
      </c>
      <c r="O206" s="66" t="str">
        <f t="shared" si="206"/>
        <v/>
      </c>
      <c r="P206" s="17">
        <v>171</v>
      </c>
      <c r="Q206" s="20">
        <f t="shared" si="198"/>
        <v>49033</v>
      </c>
      <c r="S206" s="12"/>
    </row>
    <row r="207" spans="1:29" x14ac:dyDescent="0.4">
      <c r="A207" s="95">
        <f>B196</f>
        <v>2033</v>
      </c>
      <c r="B207" s="246"/>
      <c r="C207" s="247"/>
      <c r="D207" s="49" t="s">
        <v>92</v>
      </c>
      <c r="E207" s="73">
        <f>IF(OR(G206="",G207=""),"",IF(G206+1&gt;DATE(B196+1,3,31),"",G206+1))</f>
        <v>49034</v>
      </c>
      <c r="F207" s="46" t="str">
        <f t="shared" ref="F207:H211" si="209">IF(E207="","",TEXT(E207,"aaa"))</f>
        <v>金</v>
      </c>
      <c r="G207" s="76">
        <f t="shared" si="202"/>
        <v>49034</v>
      </c>
      <c r="H207" s="46" t="str">
        <f t="shared" si="209"/>
        <v>金</v>
      </c>
      <c r="I207" s="47">
        <f t="shared" si="203"/>
        <v>1</v>
      </c>
      <c r="J207" s="50" t="str">
        <f t="shared" si="207"/>
        <v/>
      </c>
      <c r="K207" s="50" t="str">
        <f t="shared" si="208"/>
        <v/>
      </c>
      <c r="L207" s="82" t="str" cm="1">
        <f t="array" ref="L207">IF(AND(OR(J207=0,J207=""),OR(K207=0,K207="")),"",_xlfn.IFS($C$21&gt;=0.0035,0.003,$C$21&lt;0.0005,0,$C$21&lt;0.0035,$C$21-0.0005))</f>
        <v/>
      </c>
      <c r="M207" s="151" t="str">
        <f t="shared" si="204"/>
        <v/>
      </c>
      <c r="N207" s="203" t="str">
        <f t="shared" si="205"/>
        <v/>
      </c>
      <c r="O207" s="66" t="str">
        <f t="shared" si="206"/>
        <v/>
      </c>
      <c r="P207" s="17">
        <v>172</v>
      </c>
      <c r="Q207" s="20">
        <f t="shared" si="198"/>
        <v>49034</v>
      </c>
    </row>
    <row r="208" spans="1:29" x14ac:dyDescent="0.4">
      <c r="A208" s="95">
        <f>B196</f>
        <v>2033</v>
      </c>
      <c r="B208" s="246"/>
      <c r="C208" s="247"/>
      <c r="D208" s="49" t="s">
        <v>93</v>
      </c>
      <c r="E208" s="73" t="str">
        <f>IF(OR(G207="",G208=""),"",IF(G207+1&gt;DATE(B196+1,3,31),"",G207+1))</f>
        <v/>
      </c>
      <c r="F208" s="46" t="str">
        <f t="shared" si="209"/>
        <v/>
      </c>
      <c r="G208" s="76" t="str">
        <f t="shared" si="202"/>
        <v/>
      </c>
      <c r="H208" s="46" t="str">
        <f t="shared" si="209"/>
        <v/>
      </c>
      <c r="I208" s="47" t="str">
        <f t="shared" si="203"/>
        <v/>
      </c>
      <c r="J208" s="50" t="str">
        <f t="shared" si="207"/>
        <v/>
      </c>
      <c r="K208" s="50" t="str">
        <f t="shared" si="208"/>
        <v/>
      </c>
      <c r="L208" s="82" t="str" cm="1">
        <f t="array" ref="L208">IF(AND(OR(J208=0,J208=""),OR(K208=0,K208="")),"",_xlfn.IFS($C$21&gt;=0.0035,0.003,$C$21&lt;0.0005,0,$C$21&lt;0.0035,$C$21-0.0005))</f>
        <v/>
      </c>
      <c r="M208" s="151" t="str">
        <f t="shared" si="204"/>
        <v/>
      </c>
      <c r="N208" s="203" t="str">
        <f t="shared" si="205"/>
        <v/>
      </c>
      <c r="O208" s="66" t="str">
        <f t="shared" si="206"/>
        <v/>
      </c>
      <c r="P208" s="17">
        <v>173</v>
      </c>
      <c r="Q208" s="20" t="str">
        <f t="shared" si="198"/>
        <v/>
      </c>
    </row>
    <row r="209" spans="1:29" s="12" customFormat="1" x14ac:dyDescent="0.4">
      <c r="A209" s="95">
        <f>B196</f>
        <v>2033</v>
      </c>
      <c r="B209" s="246"/>
      <c r="C209" s="247"/>
      <c r="D209" s="51" t="s">
        <v>82</v>
      </c>
      <c r="E209" s="73" t="str">
        <f>IF(OR(G208="",G209=""),"",IF(G208+1&gt;DATE(B196+1,3,31),"",G208+1))</f>
        <v/>
      </c>
      <c r="F209" s="181" t="str">
        <f t="shared" si="209"/>
        <v/>
      </c>
      <c r="G209" s="100" t="str">
        <f t="shared" si="202"/>
        <v/>
      </c>
      <c r="H209" s="181" t="str">
        <f t="shared" si="209"/>
        <v/>
      </c>
      <c r="I209" s="182" t="str">
        <f t="shared" si="203"/>
        <v/>
      </c>
      <c r="J209" s="50" t="str">
        <f t="shared" si="207"/>
        <v/>
      </c>
      <c r="K209" s="50" t="str">
        <f t="shared" si="208"/>
        <v/>
      </c>
      <c r="L209" s="183" t="str" cm="1">
        <f t="array" ref="L209">IF(AND(OR(J209=0,J209=""),OR(K209=0,K209="")),"",_xlfn.IFS($C$21&gt;=0.0035,0.003,$C$21&lt;0.0005,0,$C$21&lt;0.0035,$C$21-0.0005))</f>
        <v/>
      </c>
      <c r="M209" s="200" t="str">
        <f t="shared" si="204"/>
        <v/>
      </c>
      <c r="N209" s="203" t="str">
        <f t="shared" si="205"/>
        <v/>
      </c>
      <c r="O209" s="202" t="str">
        <f t="shared" si="206"/>
        <v/>
      </c>
      <c r="P209" s="17">
        <v>174</v>
      </c>
      <c r="Q209" s="20" t="str">
        <f t="shared" si="198"/>
        <v/>
      </c>
      <c r="S209" s="1"/>
      <c r="AA209" s="163"/>
      <c r="AB209" s="1"/>
      <c r="AC209" s="163"/>
    </row>
    <row r="210" spans="1:29" ht="19.5" thickBot="1" x14ac:dyDescent="0.45">
      <c r="A210" s="95">
        <f>B196</f>
        <v>2033</v>
      </c>
      <c r="B210" s="246"/>
      <c r="C210" s="247"/>
      <c r="D210" s="51" t="s">
        <v>80</v>
      </c>
      <c r="E210" s="73" t="str">
        <f>IF(OR(G209="",G210=""),"",IF(G209+1&gt;DATE(B196+1,3,31),"",G209+1))</f>
        <v/>
      </c>
      <c r="F210" s="52" t="str">
        <f t="shared" si="209"/>
        <v/>
      </c>
      <c r="G210" s="76" t="str">
        <f t="shared" si="202"/>
        <v/>
      </c>
      <c r="H210" s="52" t="str">
        <f t="shared" si="209"/>
        <v/>
      </c>
      <c r="I210" s="53" t="str">
        <f t="shared" si="203"/>
        <v/>
      </c>
      <c r="J210" s="50" t="str">
        <f t="shared" si="207"/>
        <v/>
      </c>
      <c r="K210" s="50" t="str">
        <f t="shared" si="208"/>
        <v/>
      </c>
      <c r="L210" s="83" t="str" cm="1">
        <f t="array" ref="L210">IF(AND(OR(J210=0,J210=""),OR(K210=0,K210="")),"",_xlfn.IFS($C$21&gt;=0.0035,0.003,$C$21&lt;0.0005,0,$C$21&lt;0.0035,$C$21-0.0005))</f>
        <v/>
      </c>
      <c r="M210" s="207" t="str">
        <f t="shared" si="204"/>
        <v/>
      </c>
      <c r="N210" s="204" t="str">
        <f t="shared" si="205"/>
        <v/>
      </c>
      <c r="O210" s="69" t="str">
        <f t="shared" si="206"/>
        <v/>
      </c>
      <c r="P210" s="17">
        <v>175</v>
      </c>
      <c r="Q210" s="21" t="str">
        <f t="shared" si="198"/>
        <v/>
      </c>
    </row>
    <row r="211" spans="1:29" ht="19.5" thickBot="1" x14ac:dyDescent="0.45">
      <c r="A211" s="96">
        <f>B196</f>
        <v>2033</v>
      </c>
      <c r="B211" s="234"/>
      <c r="C211" s="157" t="s">
        <v>10</v>
      </c>
      <c r="D211" s="58"/>
      <c r="E211" s="75" cm="1">
        <f t="array" ref="E211">_xlfn.SINGLE(IF(E204:E210&lt;&gt;"",MIN(E204:E210),""))</f>
        <v>48853</v>
      </c>
      <c r="F211" s="59" t="str">
        <f t="shared" si="209"/>
        <v>土</v>
      </c>
      <c r="G211" s="75" cm="1">
        <f t="array" ref="G211">_xlfn.SINGLE(IF(G204:G210&lt;&gt;"",MAX(G204:G210),""))</f>
        <v>49034</v>
      </c>
      <c r="H211" s="59" t="str">
        <f t="shared" si="209"/>
        <v>金</v>
      </c>
      <c r="I211" s="60">
        <f>SUM(I204:I210)</f>
        <v>182</v>
      </c>
      <c r="J211" s="58"/>
      <c r="K211" s="58"/>
      <c r="L211" s="84"/>
      <c r="M211" s="208">
        <f>SUM(M204:M210)</f>
        <v>0</v>
      </c>
      <c r="N211" s="205"/>
      <c r="O211" s="72"/>
      <c r="P211" s="17">
        <v>176</v>
      </c>
      <c r="Q211" s="22">
        <f t="shared" si="198"/>
        <v>49034</v>
      </c>
      <c r="AB211" s="12"/>
    </row>
    <row r="212" spans="1:29" x14ac:dyDescent="0.4">
      <c r="X212" s="93"/>
    </row>
    <row r="213" spans="1:29" x14ac:dyDescent="0.4">
      <c r="X213" s="93"/>
    </row>
    <row r="214" spans="1:29" x14ac:dyDescent="0.4">
      <c r="X214" s="93"/>
      <c r="Y214" s="93"/>
      <c r="Z214" s="93"/>
    </row>
    <row r="215" spans="1:29" x14ac:dyDescent="0.4">
      <c r="X215" s="93"/>
      <c r="Y215" s="93"/>
      <c r="Z215" s="93"/>
    </row>
    <row r="216" spans="1:29" x14ac:dyDescent="0.4">
      <c r="X216" s="93"/>
      <c r="Y216" s="93"/>
      <c r="Z216" s="93"/>
    </row>
    <row r="217" spans="1:29" x14ac:dyDescent="0.4">
      <c r="X217" s="93"/>
      <c r="Y217" s="93"/>
      <c r="Z217" s="93"/>
    </row>
    <row r="218" spans="1:29" x14ac:dyDescent="0.4">
      <c r="X218" s="93"/>
      <c r="Y218" s="93"/>
      <c r="Z218" s="93"/>
    </row>
    <row r="219" spans="1:29" x14ac:dyDescent="0.4">
      <c r="X219" s="93"/>
      <c r="Y219" s="93"/>
      <c r="Z219" s="93"/>
    </row>
    <row r="220" spans="1:29" x14ac:dyDescent="0.4">
      <c r="X220" s="93"/>
      <c r="Y220" s="93"/>
      <c r="Z220" s="93"/>
    </row>
    <row r="221" spans="1:29" x14ac:dyDescent="0.4">
      <c r="X221" s="93"/>
      <c r="Y221" s="93"/>
      <c r="Z221" s="93"/>
    </row>
    <row r="222" spans="1:29" x14ac:dyDescent="0.4">
      <c r="X222" s="93"/>
      <c r="Y222" s="93"/>
      <c r="Z222" s="93"/>
    </row>
    <row r="223" spans="1:29" x14ac:dyDescent="0.4">
      <c r="X223" s="93"/>
      <c r="Y223" s="93"/>
      <c r="Z223" s="93"/>
    </row>
    <row r="224" spans="1:29" x14ac:dyDescent="0.4">
      <c r="X224" s="93"/>
      <c r="Y224" s="93"/>
      <c r="Z224" s="93"/>
    </row>
    <row r="225" spans="24:26" x14ac:dyDescent="0.4">
      <c r="X225" s="93"/>
      <c r="Y225" s="93"/>
      <c r="Z225" s="93"/>
    </row>
    <row r="226" spans="24:26" x14ac:dyDescent="0.4">
      <c r="Y226" s="93"/>
      <c r="Z226" s="93"/>
    </row>
    <row r="227" spans="24:26" x14ac:dyDescent="0.4">
      <c r="Y227" s="93"/>
      <c r="Z227" s="93"/>
    </row>
  </sheetData>
  <sheetProtection algorithmName="SHA-512" hashValue="eDCQuANce2ZY4FKhGWGva5YaGnlbR+bwSblyBxE51s8SRtJ3xuXYr+D66KINJ83kKj4NqM1gOI7r7BXvV87TyQ==" saltValue="n0kbJhwx6pk1ovirxft1Zw==" spinCount="100000" sheet="1" selectLockedCells="1" autoFilter="0"/>
  <dataConsolidate/>
  <mergeCells count="54">
    <mergeCell ref="B196:B211"/>
    <mergeCell ref="C196:C202"/>
    <mergeCell ref="C204:C210"/>
    <mergeCell ref="B164:B179"/>
    <mergeCell ref="C164:C170"/>
    <mergeCell ref="C172:C178"/>
    <mergeCell ref="B180:B195"/>
    <mergeCell ref="C180:C186"/>
    <mergeCell ref="C188:C194"/>
    <mergeCell ref="B132:B147"/>
    <mergeCell ref="C132:C138"/>
    <mergeCell ref="C140:C146"/>
    <mergeCell ref="B148:B163"/>
    <mergeCell ref="C36:C42"/>
    <mergeCell ref="C148:C154"/>
    <mergeCell ref="C156:C162"/>
    <mergeCell ref="B100:B115"/>
    <mergeCell ref="C100:C106"/>
    <mergeCell ref="C108:C114"/>
    <mergeCell ref="B116:B131"/>
    <mergeCell ref="C116:C122"/>
    <mergeCell ref="C124:C130"/>
    <mergeCell ref="B68:B83"/>
    <mergeCell ref="C68:C74"/>
    <mergeCell ref="C76:C82"/>
    <mergeCell ref="B84:B99"/>
    <mergeCell ref="C84:C90"/>
    <mergeCell ref="C92:C98"/>
    <mergeCell ref="B36:B51"/>
    <mergeCell ref="C44:C50"/>
    <mergeCell ref="B52:B67"/>
    <mergeCell ref="C52:C58"/>
    <mergeCell ref="C60:C66"/>
    <mergeCell ref="B34:B35"/>
    <mergeCell ref="N34:O34"/>
    <mergeCell ref="B25:B26"/>
    <mergeCell ref="B27:B28"/>
    <mergeCell ref="B29:B30"/>
    <mergeCell ref="B31:B32"/>
    <mergeCell ref="C27:D27"/>
    <mergeCell ref="C32:D32"/>
    <mergeCell ref="C29:D29"/>
    <mergeCell ref="C30:D30"/>
    <mergeCell ref="C31:D31"/>
    <mergeCell ref="C26:D26"/>
    <mergeCell ref="C28:D28"/>
    <mergeCell ref="N2:O2"/>
    <mergeCell ref="Z59:Z65"/>
    <mergeCell ref="Z67:Z73"/>
    <mergeCell ref="P1:AC1"/>
    <mergeCell ref="Z35:Z41"/>
    <mergeCell ref="Z43:Z49"/>
    <mergeCell ref="Z51:Z57"/>
    <mergeCell ref="Z27:Z33"/>
  </mergeCells>
  <phoneticPr fontId="1"/>
  <conditionalFormatting sqref="F35:F211">
    <cfRule type="beginsWith" dxfId="22" priority="23" operator="beginsWith" text="日">
      <formula>LEFT(F35,LEN("日"))="日"</formula>
    </cfRule>
  </conditionalFormatting>
  <conditionalFormatting sqref="F26:F28 F33 H33 H35:H1048576 F35:F1048576 H1:H2 J3:J15 F1:F24 H16:H24">
    <cfRule type="beginsWith" dxfId="21" priority="22" operator="beginsWith" text="土">
      <formula>LEFT(F1,LEN("土"))="土"</formula>
    </cfRule>
  </conditionalFormatting>
  <conditionalFormatting sqref="F31:F32">
    <cfRule type="beginsWith" dxfId="20" priority="16" operator="beginsWith" text="土">
      <formula>LEFT(F31,LEN("土"))="土"</formula>
    </cfRule>
  </conditionalFormatting>
  <conditionalFormatting sqref="F26:F28">
    <cfRule type="beginsWith" dxfId="19" priority="21" operator="beginsWith" text="日">
      <formula>LEFT(F26,LEN("日"))="日"</formula>
    </cfRule>
  </conditionalFormatting>
  <conditionalFormatting sqref="F29:F30">
    <cfRule type="beginsWith" dxfId="18" priority="19" operator="beginsWith" text="日">
      <formula>LEFT(F29,LEN("日"))="日"</formula>
    </cfRule>
  </conditionalFormatting>
  <conditionalFormatting sqref="F29:F30">
    <cfRule type="beginsWith" dxfId="17" priority="18" operator="beginsWith" text="土">
      <formula>LEFT(F29,LEN("土"))="土"</formula>
    </cfRule>
  </conditionalFormatting>
  <conditionalFormatting sqref="F31:F32">
    <cfRule type="beginsWith" dxfId="16" priority="17" operator="beginsWith" text="日">
      <formula>LEFT(F31,LEN("日"))="日"</formula>
    </cfRule>
  </conditionalFormatting>
  <conditionalFormatting sqref="H35:H211">
    <cfRule type="beginsWith" dxfId="15" priority="15" operator="beginsWith" text="日">
      <formula>LEFT(H35,LEN("日"))="日"</formula>
    </cfRule>
  </conditionalFormatting>
  <conditionalFormatting sqref="H26:H28">
    <cfRule type="beginsWith" dxfId="14" priority="14" operator="beginsWith" text="土">
      <formula>LEFT(H26,LEN("土"))="土"</formula>
    </cfRule>
  </conditionalFormatting>
  <conditionalFormatting sqref="H31:H32">
    <cfRule type="beginsWith" dxfId="13" priority="9" operator="beginsWith" text="土">
      <formula>LEFT(H31,LEN("土"))="土"</formula>
    </cfRule>
  </conditionalFormatting>
  <conditionalFormatting sqref="H26:H28">
    <cfRule type="beginsWith" dxfId="12" priority="13" operator="beginsWith" text="日">
      <formula>LEFT(H26,LEN("日"))="日"</formula>
    </cfRule>
  </conditionalFormatting>
  <conditionalFormatting sqref="H29:H30">
    <cfRule type="beginsWith" dxfId="11" priority="12" operator="beginsWith" text="日">
      <formula>LEFT(H29,LEN("日"))="日"</formula>
    </cfRule>
  </conditionalFormatting>
  <conditionalFormatting sqref="H29:H30">
    <cfRule type="beginsWith" dxfId="10" priority="11" operator="beginsWith" text="土">
      <formula>LEFT(H29,LEN("土"))="土"</formula>
    </cfRule>
  </conditionalFormatting>
  <conditionalFormatting sqref="H31:H32">
    <cfRule type="beginsWith" dxfId="9" priority="10" operator="beginsWith" text="日">
      <formula>LEFT(H31,LEN("日"))="日"</formula>
    </cfRule>
  </conditionalFormatting>
  <dataValidations count="6">
    <dataValidation type="date" allowBlank="1" showInputMessage="1" showErrorMessage="1" sqref="Q211 Q195" xr:uid="{AEB50D2F-6C44-4295-8C5D-2609B5EBE4DA}">
      <formula1>M187</formula1>
      <formula2>M188</formula2>
    </dataValidation>
    <dataValidation type="date" allowBlank="1" showInputMessage="1" showErrorMessage="1" sqref="Q196:Q210 Q36:Q194" xr:uid="{19161F8D-1831-47D5-960E-1351C650D216}">
      <formula1>$C$15</formula1>
      <formula2>$C$16</formula2>
    </dataValidation>
    <dataValidation type="list" allowBlank="1" showInputMessage="1" showErrorMessage="1" sqref="C20" xr:uid="{CFBF5DAC-5251-45A8-AF35-F4A24791C064}">
      <formula1>$U$35:$U$40</formula1>
    </dataValidation>
    <dataValidation type="list" allowBlank="1" showInputMessage="1" showErrorMessage="1" sqref="C17" xr:uid="{BDBBF226-E335-499F-9CFF-6E93F616B053}">
      <formula1>$X$35:$X$36</formula1>
    </dataValidation>
    <dataValidation type="list" allowBlank="1" showInputMessage="1" showErrorMessage="1" sqref="C19" xr:uid="{228D1491-B79E-41D2-83E4-6079020B48C3}">
      <formula1>$S$35:$S$66</formula1>
    </dataValidation>
    <dataValidation type="list" allowBlank="1" showInputMessage="1" showErrorMessage="1" sqref="N2" xr:uid="{A109CAD6-36EA-48BF-BF5F-D04C8C63FE92}">
      <formula1>$Q$2:$Q$3</formula1>
    </dataValidation>
  </dataValidations>
  <pageMargins left="0.7" right="0.7" top="0.75" bottom="0.75" header="0.3" footer="0.3"/>
  <pageSetup paperSize="8" scale="47"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E67AF-EB6A-4621-A1B4-E30BE290D0CA}">
  <dimension ref="C1:O35"/>
  <sheetViews>
    <sheetView workbookViewId="0">
      <selection activeCell="L4" sqref="L4"/>
    </sheetView>
  </sheetViews>
  <sheetFormatPr defaultRowHeight="18.75" x14ac:dyDescent="0.4"/>
  <cols>
    <col min="4" max="4" width="12.375" customWidth="1"/>
    <col min="5" max="5" width="22.25" customWidth="1"/>
    <col min="12" max="12" width="17" customWidth="1"/>
    <col min="13" max="13" width="14.75" customWidth="1"/>
    <col min="15" max="15" width="14.625" customWidth="1"/>
  </cols>
  <sheetData>
    <row r="1" spans="3:15" ht="19.5" thickBot="1" x14ac:dyDescent="0.45"/>
    <row r="2" spans="3:15" ht="20.25" thickBot="1" x14ac:dyDescent="0.45">
      <c r="C2" s="146" t="s">
        <v>67</v>
      </c>
      <c r="I2" s="257" t="s">
        <v>22</v>
      </c>
      <c r="J2" s="258"/>
      <c r="K2" s="258"/>
      <c r="L2" s="142" t="s">
        <v>65</v>
      </c>
      <c r="M2" s="142" t="s">
        <v>63</v>
      </c>
      <c r="N2" s="258" t="s">
        <v>44</v>
      </c>
      <c r="O2" s="258"/>
    </row>
    <row r="3" spans="3:15" ht="20.25" thickBot="1" x14ac:dyDescent="0.45">
      <c r="C3" s="144" t="s">
        <v>22</v>
      </c>
      <c r="D3" s="144" t="s">
        <v>23</v>
      </c>
      <c r="E3" s="144" t="s">
        <v>66</v>
      </c>
      <c r="I3" s="252">
        <f>'融資計画書 '!J5</f>
        <v>2022</v>
      </c>
      <c r="J3" s="252"/>
      <c r="K3" s="252"/>
      <c r="L3" s="8">
        <f>SUMIFS($E$4:$E$9,$C$4:$C$9,I3,$D$4:$D$9,$L$2)+SUMIFS($E$14:$E$35,$C$14:$C$35,I3,$D$14:$D$35,L2)</f>
        <v>1857534</v>
      </c>
      <c r="M3" s="8">
        <f>SUMIFS($E$4:$E$9,$C$4:$C$9,I3,$D$4:$D$9,$M$2)+SUMIFS($E$14:$E$35,$C$14:$C$35,I3,$D$14:$D$35,$M$2)</f>
        <v>2991780</v>
      </c>
      <c r="N3" s="253">
        <f t="shared" ref="N3:N13" si="0">IF(AND(L3="-",M3="-"),"-",IF(L3="-",M3,IF(M3="-",L3,L3+M3)))</f>
        <v>4849314</v>
      </c>
      <c r="O3" s="254"/>
    </row>
    <row r="4" spans="3:15" ht="20.25" thickBot="1" x14ac:dyDescent="0.45">
      <c r="C4" s="141">
        <f>'融資計画書 '!B27</f>
        <v>2022</v>
      </c>
      <c r="D4" s="141" t="str">
        <f>'融資計画書 '!C27</f>
        <v>単位期間１</v>
      </c>
      <c r="E4" s="145">
        <f>'融資計画書 '!M27</f>
        <v>1857534</v>
      </c>
      <c r="I4" s="252">
        <f>'融資計画書 '!J6</f>
        <v>2023</v>
      </c>
      <c r="J4" s="252"/>
      <c r="K4" s="252"/>
      <c r="L4" s="8">
        <f>SUMIFS($E$4:$E$9,$C$4:$C$9,I4,$D$4:$D$9,$L$2)+SUMIFS($E$14:$E$35,$C$14:$C$35,I4,$D$14:$D$35,$L$2)</f>
        <v>2955286</v>
      </c>
      <c r="M4" s="8">
        <f t="shared" ref="M4:M13" si="1">SUMIFS($E$4:$E$9,$C$4:$C$9,I4,$D$4:$D$9,$M$2)+SUMIFS($E$14:$E$35,$C$14:$C$35,I4,$D$14:$D$35,$M$2)</f>
        <v>2797354</v>
      </c>
      <c r="N4" s="253">
        <f t="shared" si="0"/>
        <v>5752640</v>
      </c>
      <c r="O4" s="254"/>
    </row>
    <row r="5" spans="3:15" ht="20.25" thickBot="1" x14ac:dyDescent="0.45">
      <c r="C5" s="141">
        <f>'融資計画書 '!B27</f>
        <v>2022</v>
      </c>
      <c r="D5" s="141" t="str">
        <f>'融資計画書 '!C28</f>
        <v>単位期間２</v>
      </c>
      <c r="E5" s="145">
        <f>'融資計画書 '!M28</f>
        <v>2991780</v>
      </c>
      <c r="I5" s="252">
        <f>'融資計画書 '!J7</f>
        <v>2024</v>
      </c>
      <c r="J5" s="252"/>
      <c r="K5" s="252"/>
      <c r="L5" s="165">
        <f>SUMIFS($E$4:$E$9,$C$4:$C$9,I5,$D$4:$D$9,$L$2)+SUMIFS($E$14:$E$35,$C$14:$C$35,I5,$D$14:$D$35,$L$2)</f>
        <v>2639136</v>
      </c>
      <c r="M5" s="8">
        <f t="shared" si="1"/>
        <v>2468218</v>
      </c>
      <c r="N5" s="253">
        <f t="shared" si="0"/>
        <v>5107354</v>
      </c>
      <c r="O5" s="254"/>
    </row>
    <row r="6" spans="3:15" ht="20.25" thickBot="1" x14ac:dyDescent="0.45">
      <c r="C6" s="141">
        <f>'融資計画書 '!B29</f>
        <v>2023</v>
      </c>
      <c r="D6" s="141" t="str">
        <f>'融資計画書 '!C29</f>
        <v>単位期間１</v>
      </c>
      <c r="E6" s="145">
        <f>'融資計画書 '!M29</f>
        <v>986301</v>
      </c>
      <c r="I6" s="252">
        <f>'融資計画書 '!J8</f>
        <v>2025</v>
      </c>
      <c r="J6" s="252"/>
      <c r="K6" s="252"/>
      <c r="L6" s="8">
        <f t="shared" ref="L6:L13" si="2">SUMIFS($E$4:$E$9,$C$4:$C$9,I6,$D$4:$D$9,$L$2)+SUMIFS($E$14:$E$35,$C$14:$C$35,I6,$D$14:$D$35,$L$2)</f>
        <v>2323273</v>
      </c>
      <c r="M6" s="8">
        <f t="shared" si="1"/>
        <v>2154080</v>
      </c>
      <c r="N6" s="253">
        <f t="shared" si="0"/>
        <v>4477353</v>
      </c>
      <c r="O6" s="254"/>
    </row>
    <row r="7" spans="3:15" ht="20.25" thickBot="1" x14ac:dyDescent="0.45">
      <c r="C7" s="141">
        <f>'融資計画書 '!B29</f>
        <v>2023</v>
      </c>
      <c r="D7" s="141" t="str">
        <f>'融資計画書 '!C30</f>
        <v>単位期間２</v>
      </c>
      <c r="E7" s="145">
        <f>'融資計画書 '!M30</f>
        <v>0</v>
      </c>
      <c r="I7" s="252">
        <f>'融資計画書 '!J9</f>
        <v>2026</v>
      </c>
      <c r="J7" s="252"/>
      <c r="K7" s="252"/>
      <c r="L7" s="8">
        <f t="shared" si="2"/>
        <v>2007409</v>
      </c>
      <c r="M7" s="8">
        <f t="shared" si="1"/>
        <v>1839943</v>
      </c>
      <c r="N7" s="253">
        <f t="shared" si="0"/>
        <v>3847352</v>
      </c>
      <c r="O7" s="254"/>
    </row>
    <row r="8" spans="3:15" ht="20.25" thickBot="1" x14ac:dyDescent="0.45">
      <c r="C8" s="141">
        <f>'融資計画書 '!B31</f>
        <v>2024</v>
      </c>
      <c r="D8" s="141" t="str">
        <f>'融資計画書 '!C31</f>
        <v>単位期間１</v>
      </c>
      <c r="E8" s="145">
        <f>'融資計画書 '!M31</f>
        <v>0</v>
      </c>
      <c r="I8" s="252">
        <f>'融資計画書 '!J10</f>
        <v>2027</v>
      </c>
      <c r="J8" s="252"/>
      <c r="K8" s="252"/>
      <c r="L8" s="8">
        <f t="shared" si="2"/>
        <v>1691547</v>
      </c>
      <c r="M8" s="8">
        <f t="shared" si="1"/>
        <v>1533903</v>
      </c>
      <c r="N8" s="253">
        <f t="shared" si="0"/>
        <v>3225450</v>
      </c>
      <c r="O8" s="254"/>
    </row>
    <row r="9" spans="3:15" ht="20.25" thickBot="1" x14ac:dyDescent="0.45">
      <c r="C9" s="141">
        <f>'融資計画書 '!B31</f>
        <v>2024</v>
      </c>
      <c r="D9" s="141" t="str">
        <f>'融資計画書 '!C32</f>
        <v>単位期間２</v>
      </c>
      <c r="E9" s="145">
        <f>'融資計画書 '!M32</f>
        <v>0</v>
      </c>
      <c r="I9" s="252">
        <f>'融資計画書 '!J11</f>
        <v>2028</v>
      </c>
      <c r="J9" s="252"/>
      <c r="K9" s="252"/>
      <c r="L9" s="8">
        <f t="shared" si="2"/>
        <v>1375684</v>
      </c>
      <c r="M9" s="8">
        <f t="shared" si="1"/>
        <v>1211669</v>
      </c>
      <c r="N9" s="253">
        <f t="shared" si="0"/>
        <v>2587353</v>
      </c>
      <c r="O9" s="254"/>
    </row>
    <row r="10" spans="3:15" ht="20.25" thickBot="1" x14ac:dyDescent="0.45">
      <c r="I10" s="252">
        <f>'融資計画書 '!J12</f>
        <v>2029</v>
      </c>
      <c r="J10" s="252"/>
      <c r="K10" s="252"/>
      <c r="L10" s="8">
        <f t="shared" si="2"/>
        <v>1059820</v>
      </c>
      <c r="M10" s="8">
        <f t="shared" si="1"/>
        <v>897532</v>
      </c>
      <c r="N10" s="253">
        <f t="shared" si="0"/>
        <v>1957352</v>
      </c>
      <c r="O10" s="254"/>
    </row>
    <row r="11" spans="3:15" ht="20.25" thickBot="1" x14ac:dyDescent="0.45">
      <c r="I11" s="252">
        <f>'融資計画書 '!J13</f>
        <v>2030</v>
      </c>
      <c r="J11" s="252"/>
      <c r="K11" s="252"/>
      <c r="L11" s="8">
        <f t="shared" si="2"/>
        <v>743957</v>
      </c>
      <c r="M11" s="8">
        <f t="shared" si="1"/>
        <v>583396</v>
      </c>
      <c r="N11" s="253">
        <f t="shared" si="0"/>
        <v>1327353</v>
      </c>
      <c r="O11" s="254"/>
    </row>
    <row r="12" spans="3:15" ht="20.25" thickBot="1" x14ac:dyDescent="0.45">
      <c r="C12" s="146" t="s">
        <v>68</v>
      </c>
      <c r="I12" s="252">
        <f>'融資計画書 '!J14</f>
        <v>2031</v>
      </c>
      <c r="J12" s="252"/>
      <c r="K12" s="252"/>
      <c r="L12" s="8">
        <f t="shared" si="2"/>
        <v>428095</v>
      </c>
      <c r="M12" s="8">
        <f t="shared" si="1"/>
        <v>270450</v>
      </c>
      <c r="N12" s="253">
        <f t="shared" si="0"/>
        <v>698545</v>
      </c>
      <c r="O12" s="254"/>
    </row>
    <row r="13" spans="3:15" ht="20.25" thickBot="1" x14ac:dyDescent="0.45">
      <c r="C13" s="144" t="s">
        <v>22</v>
      </c>
      <c r="D13" s="144" t="s">
        <v>23</v>
      </c>
      <c r="E13" s="144" t="s">
        <v>66</v>
      </c>
      <c r="I13" s="252">
        <f>'融資計画書 '!J15</f>
        <v>2032</v>
      </c>
      <c r="J13" s="252"/>
      <c r="K13" s="252"/>
      <c r="L13" s="8">
        <f t="shared" si="2"/>
        <v>112231</v>
      </c>
      <c r="M13" s="8">
        <f t="shared" si="1"/>
        <v>2506</v>
      </c>
      <c r="N13" s="253">
        <f t="shared" si="0"/>
        <v>114737</v>
      </c>
      <c r="O13" s="254"/>
    </row>
    <row r="14" spans="3:15" ht="19.5" thickBot="1" x14ac:dyDescent="0.45">
      <c r="C14" s="141">
        <f>'融資計画書 '!B36</f>
        <v>2023</v>
      </c>
      <c r="D14" s="141" t="str">
        <f>'融資計画書 '!C36</f>
        <v>単位期間１</v>
      </c>
      <c r="E14" s="145">
        <f>'融資計画書 '!M43</f>
        <v>1968985</v>
      </c>
      <c r="I14" s="12"/>
      <c r="J14" s="12"/>
      <c r="K14" s="12"/>
      <c r="L14" s="12"/>
      <c r="M14" s="139" t="s">
        <v>10</v>
      </c>
      <c r="N14" s="255">
        <f>SUM(N3:O13)</f>
        <v>33944803</v>
      </c>
      <c r="O14" s="256"/>
    </row>
    <row r="15" spans="3:15" x14ac:dyDescent="0.4">
      <c r="C15" s="141">
        <f>'融資計画書 '!B36</f>
        <v>2023</v>
      </c>
      <c r="D15" s="141" t="str">
        <f>'融資計画書 '!C44</f>
        <v>単位期間２</v>
      </c>
      <c r="E15" s="145">
        <f>'融資計画書 '!M51</f>
        <v>2797354</v>
      </c>
    </row>
    <row r="16" spans="3:15" x14ac:dyDescent="0.4">
      <c r="C16" s="141">
        <f>'融資計画書 '!B52</f>
        <v>2024</v>
      </c>
      <c r="D16" s="141" t="str">
        <f>'融資計画書 '!C52</f>
        <v>単位期間１</v>
      </c>
      <c r="E16" s="145">
        <f>'融資計画書 '!M59</f>
        <v>2639136</v>
      </c>
    </row>
    <row r="17" spans="3:5" x14ac:dyDescent="0.4">
      <c r="C17" s="141">
        <f>'融資計画書 '!B52</f>
        <v>2024</v>
      </c>
      <c r="D17" s="141" t="str">
        <f>'融資計画書 '!C60</f>
        <v>単位期間２</v>
      </c>
      <c r="E17" s="145">
        <f>'融資計画書 '!M67</f>
        <v>2468218</v>
      </c>
    </row>
    <row r="18" spans="3:5" x14ac:dyDescent="0.4">
      <c r="C18" s="141">
        <f>'融資計画書 '!B68</f>
        <v>2025</v>
      </c>
      <c r="D18" s="141" t="str">
        <f>'融資計画書 '!C68</f>
        <v>単位期間１</v>
      </c>
      <c r="E18" s="145">
        <f>'融資計画書 '!M75</f>
        <v>2323273</v>
      </c>
    </row>
    <row r="19" spans="3:5" x14ac:dyDescent="0.4">
      <c r="C19" s="141">
        <f>'融資計画書 '!B68</f>
        <v>2025</v>
      </c>
      <c r="D19" s="141" t="str">
        <f>'融資計画書 '!C76</f>
        <v>単位期間２</v>
      </c>
      <c r="E19" s="145">
        <f>'融資計画書 '!M83</f>
        <v>2154080</v>
      </c>
    </row>
    <row r="20" spans="3:5" x14ac:dyDescent="0.4">
      <c r="C20" s="141">
        <f>'融資計画書 '!B84</f>
        <v>2026</v>
      </c>
      <c r="D20" s="141" t="str">
        <f>'融資計画書 '!C84</f>
        <v>単位期間１</v>
      </c>
      <c r="E20" s="145">
        <f>'融資計画書 '!M91</f>
        <v>2007409</v>
      </c>
    </row>
    <row r="21" spans="3:5" x14ac:dyDescent="0.4">
      <c r="C21" s="141">
        <f>'融資計画書 '!B84</f>
        <v>2026</v>
      </c>
      <c r="D21" s="141" t="str">
        <f>'融資計画書 '!C92</f>
        <v>単位期間２</v>
      </c>
      <c r="E21" s="145">
        <f>'融資計画書 '!M99</f>
        <v>1839943</v>
      </c>
    </row>
    <row r="22" spans="3:5" x14ac:dyDescent="0.4">
      <c r="C22" s="141">
        <f>'融資計画書 '!B100</f>
        <v>2027</v>
      </c>
      <c r="D22" s="141" t="str">
        <f>'融資計画書 '!C100</f>
        <v>単位期間１</v>
      </c>
      <c r="E22" s="145">
        <f>'融資計画書 '!M107</f>
        <v>1691547</v>
      </c>
    </row>
    <row r="23" spans="3:5" x14ac:dyDescent="0.4">
      <c r="C23" s="141">
        <f>'融資計画書 '!B100</f>
        <v>2027</v>
      </c>
      <c r="D23" s="141" t="str">
        <f>'融資計画書 '!C108</f>
        <v>単位期間２</v>
      </c>
      <c r="E23" s="145">
        <f>'融資計画書 '!M115</f>
        <v>1533903</v>
      </c>
    </row>
    <row r="24" spans="3:5" x14ac:dyDescent="0.4">
      <c r="C24" s="141">
        <f>'融資計画書 '!B116</f>
        <v>2028</v>
      </c>
      <c r="D24" s="141" t="str">
        <f>'融資計画書 '!C116</f>
        <v>単位期間１</v>
      </c>
      <c r="E24" s="145">
        <f>'融資計画書 '!M123</f>
        <v>1375684</v>
      </c>
    </row>
    <row r="25" spans="3:5" x14ac:dyDescent="0.4">
      <c r="C25" s="141">
        <f>'融資計画書 '!B116</f>
        <v>2028</v>
      </c>
      <c r="D25" s="141" t="str">
        <f>'融資計画書 '!C124</f>
        <v>単位期間２</v>
      </c>
      <c r="E25" s="145">
        <f>'融資計画書 '!M131</f>
        <v>1211669</v>
      </c>
    </row>
    <row r="26" spans="3:5" x14ac:dyDescent="0.4">
      <c r="C26" s="141">
        <f>'融資計画書 '!B132</f>
        <v>2029</v>
      </c>
      <c r="D26" s="141" t="str">
        <f>'融資計画書 '!C132</f>
        <v>単位期間１</v>
      </c>
      <c r="E26" s="145">
        <f>'融資計画書 '!M139</f>
        <v>1059820</v>
      </c>
    </row>
    <row r="27" spans="3:5" x14ac:dyDescent="0.4">
      <c r="C27" s="141">
        <f>'融資計画書 '!B132</f>
        <v>2029</v>
      </c>
      <c r="D27" s="141" t="str">
        <f>'融資計画書 '!C140</f>
        <v>単位期間２</v>
      </c>
      <c r="E27" s="145">
        <f>'融資計画書 '!M147</f>
        <v>897532</v>
      </c>
    </row>
    <row r="28" spans="3:5" x14ac:dyDescent="0.4">
      <c r="C28" s="141">
        <f>'融資計画書 '!B148</f>
        <v>2030</v>
      </c>
      <c r="D28" s="141" t="str">
        <f>'融資計画書 '!C148</f>
        <v>単位期間１</v>
      </c>
      <c r="E28" s="145">
        <f>'融資計画書 '!M155</f>
        <v>743957</v>
      </c>
    </row>
    <row r="29" spans="3:5" x14ac:dyDescent="0.4">
      <c r="C29" s="141">
        <f>'融資計画書 '!B148</f>
        <v>2030</v>
      </c>
      <c r="D29" s="141" t="str">
        <f>'融資計画書 '!C156</f>
        <v>単位期間２</v>
      </c>
      <c r="E29" s="145">
        <f>'融資計画書 '!M163</f>
        <v>583396</v>
      </c>
    </row>
    <row r="30" spans="3:5" x14ac:dyDescent="0.4">
      <c r="C30" s="141">
        <f>'融資計画書 '!B164</f>
        <v>2031</v>
      </c>
      <c r="D30" s="141" t="str">
        <f>'融資計画書 '!C164</f>
        <v>単位期間１</v>
      </c>
      <c r="E30" s="145">
        <f>'融資計画書 '!M171</f>
        <v>428095</v>
      </c>
    </row>
    <row r="31" spans="3:5" x14ac:dyDescent="0.4">
      <c r="C31" s="141">
        <f>'融資計画書 '!B164</f>
        <v>2031</v>
      </c>
      <c r="D31" s="141" t="str">
        <f>'融資計画書 '!C172</f>
        <v>単位期間２</v>
      </c>
      <c r="E31" s="145">
        <f>'融資計画書 '!M179</f>
        <v>270450</v>
      </c>
    </row>
    <row r="32" spans="3:5" x14ac:dyDescent="0.4">
      <c r="C32" s="141">
        <f>'融資計画書 '!B180</f>
        <v>2032</v>
      </c>
      <c r="D32" s="141" t="str">
        <f>'融資計画書 '!C180</f>
        <v>単位期間１</v>
      </c>
      <c r="E32" s="145">
        <f>'融資計画書 '!M187</f>
        <v>112231</v>
      </c>
    </row>
    <row r="33" spans="3:5" x14ac:dyDescent="0.4">
      <c r="C33" s="141">
        <f>'融資計画書 '!B180</f>
        <v>2032</v>
      </c>
      <c r="D33" s="141" t="str">
        <f>'融資計画書 '!C188</f>
        <v>単位期間２</v>
      </c>
      <c r="E33" s="145">
        <f>'融資計画書 '!M195</f>
        <v>2506</v>
      </c>
    </row>
    <row r="34" spans="3:5" x14ac:dyDescent="0.4">
      <c r="C34" s="141">
        <f>'融資計画書 '!B196</f>
        <v>2033</v>
      </c>
      <c r="D34" s="141" t="str">
        <f>'融資計画書 '!C196</f>
        <v>単位期間１</v>
      </c>
      <c r="E34" s="145">
        <f>'融資計画書 '!M203</f>
        <v>0</v>
      </c>
    </row>
    <row r="35" spans="3:5" x14ac:dyDescent="0.4">
      <c r="C35" s="141">
        <f>'融資計画書 '!B196</f>
        <v>2033</v>
      </c>
      <c r="D35" s="141" t="str">
        <f>'融資計画書 '!C204</f>
        <v>単位期間２</v>
      </c>
      <c r="E35" s="145">
        <f>'融資計画書 '!M211</f>
        <v>0</v>
      </c>
    </row>
  </sheetData>
  <mergeCells count="25">
    <mergeCell ref="I13:K13"/>
    <mergeCell ref="N13:O13"/>
    <mergeCell ref="N14:O14"/>
    <mergeCell ref="I9:K9"/>
    <mergeCell ref="I2:K2"/>
    <mergeCell ref="N2:O2"/>
    <mergeCell ref="I3:K3"/>
    <mergeCell ref="N3:O3"/>
    <mergeCell ref="I4:K4"/>
    <mergeCell ref="N4:O4"/>
    <mergeCell ref="I12:K12"/>
    <mergeCell ref="N5:O5"/>
    <mergeCell ref="I6:K6"/>
    <mergeCell ref="N6:O6"/>
    <mergeCell ref="I7:K7"/>
    <mergeCell ref="N7:O7"/>
    <mergeCell ref="I8:K8"/>
    <mergeCell ref="N8:O8"/>
    <mergeCell ref="I5:K5"/>
    <mergeCell ref="N12:O12"/>
    <mergeCell ref="N9:O9"/>
    <mergeCell ref="I10:K10"/>
    <mergeCell ref="N10:O10"/>
    <mergeCell ref="I11:K11"/>
    <mergeCell ref="N11:O11"/>
  </mergeCells>
  <phoneticPr fontId="1"/>
  <conditionalFormatting sqref="I2:I14">
    <cfRule type="beginsWith" dxfId="8" priority="1" operator="beginsWith" text="土">
      <formula>LEFT(I2,LEN("土"))="土"</formula>
    </cfRule>
  </conditionalFormatting>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868BB-861F-4DB3-AE3E-C3C572F25CB8}">
  <sheetPr>
    <tabColor theme="5"/>
    <pageSetUpPr fitToPage="1"/>
  </sheetPr>
  <dimension ref="A1:AE173"/>
  <sheetViews>
    <sheetView view="pageBreakPreview" topLeftCell="B1" zoomScale="60" zoomScaleNormal="70" workbookViewId="0">
      <selection activeCell="B26" sqref="B26:B27"/>
    </sheetView>
  </sheetViews>
  <sheetFormatPr defaultRowHeight="18.75" x14ac:dyDescent="0.4"/>
  <cols>
    <col min="1" max="1" width="1" style="12" customWidth="1"/>
    <col min="2" max="2" width="27.5" style="12" customWidth="1"/>
    <col min="3" max="3" width="24.625" style="12" customWidth="1"/>
    <col min="4" max="4" width="15.125" style="12" bestFit="1" customWidth="1"/>
    <col min="5" max="5" width="7.125" style="13" bestFit="1" customWidth="1"/>
    <col min="6" max="6" width="15.5" style="12" bestFit="1" customWidth="1"/>
    <col min="7" max="8" width="7.125" style="12" bestFit="1" customWidth="1"/>
    <col min="9" max="9" width="16" style="12" bestFit="1" customWidth="1"/>
    <col min="10" max="10" width="23.5" style="12" bestFit="1" customWidth="1"/>
    <col min="11" max="11" width="17.25" style="12" customWidth="1"/>
    <col min="12" max="12" width="23.5" style="12" bestFit="1" customWidth="1"/>
    <col min="13" max="13" width="2.625" style="12" hidden="1" customWidth="1"/>
    <col min="14" max="14" width="1.5" style="12" hidden="1" customWidth="1"/>
    <col min="15" max="15" width="7.125" style="13" hidden="1" customWidth="1"/>
    <col min="16" max="31" width="3.625" style="12" hidden="1" customWidth="1"/>
    <col min="32" max="16384" width="9" style="12"/>
  </cols>
  <sheetData>
    <row r="1" spans="2:31" x14ac:dyDescent="0.4">
      <c r="B1" s="24"/>
      <c r="C1" s="25" t="s">
        <v>20</v>
      </c>
      <c r="D1" s="176" t="s">
        <v>58</v>
      </c>
    </row>
    <row r="2" spans="2:31" x14ac:dyDescent="0.4">
      <c r="B2" s="24"/>
      <c r="D2" s="24"/>
      <c r="L2" s="12" t="s">
        <v>103</v>
      </c>
    </row>
    <row r="3" spans="2:31" ht="25.5" x14ac:dyDescent="0.4">
      <c r="B3" s="223" t="s">
        <v>105</v>
      </c>
      <c r="D3" s="24"/>
    </row>
    <row r="4" spans="2:31" ht="24" x14ac:dyDescent="0.4">
      <c r="B4" s="86" t="s">
        <v>0</v>
      </c>
      <c r="N4" s="261" t="s">
        <v>56</v>
      </c>
      <c r="O4" s="261"/>
      <c r="P4" s="261"/>
      <c r="Q4" s="261"/>
      <c r="R4" s="261"/>
      <c r="S4" s="261"/>
      <c r="T4" s="261"/>
      <c r="U4" s="261"/>
      <c r="V4" s="261"/>
      <c r="W4" s="261"/>
      <c r="X4" s="261"/>
      <c r="Y4" s="261"/>
      <c r="Z4" s="261"/>
      <c r="AA4" s="261"/>
      <c r="AB4" s="261"/>
      <c r="AC4" s="261"/>
      <c r="AD4" s="261"/>
      <c r="AE4" s="261"/>
    </row>
    <row r="5" spans="2:31" ht="19.5" thickBot="1" x14ac:dyDescent="0.45">
      <c r="B5" s="26" t="s">
        <v>55</v>
      </c>
      <c r="C5" s="24"/>
      <c r="D5" s="24"/>
      <c r="O5" s="12"/>
    </row>
    <row r="6" spans="2:31" x14ac:dyDescent="0.4">
      <c r="B6" s="27" t="s">
        <v>21</v>
      </c>
      <c r="C6" s="108">
        <f>'融資計画書 '!C5</f>
        <v>20000000000</v>
      </c>
      <c r="D6" s="24"/>
      <c r="O6" s="12"/>
    </row>
    <row r="7" spans="2:31" x14ac:dyDescent="0.4">
      <c r="B7" s="28" t="s">
        <v>17</v>
      </c>
      <c r="C7" s="23">
        <f>'融資計画書 '!C6</f>
        <v>350000000</v>
      </c>
      <c r="D7" s="24"/>
      <c r="O7" s="12"/>
    </row>
    <row r="8" spans="2:31" x14ac:dyDescent="0.4">
      <c r="B8" s="28" t="s">
        <v>18</v>
      </c>
      <c r="C8" s="23">
        <f>'融資計画書 '!C7</f>
        <v>50000000</v>
      </c>
      <c r="D8" s="29"/>
      <c r="G8" s="13"/>
      <c r="O8" s="12"/>
    </row>
    <row r="9" spans="2:31" x14ac:dyDescent="0.4">
      <c r="B9" s="28" t="s">
        <v>1</v>
      </c>
      <c r="C9" s="109">
        <f>'融資計画書 '!C8</f>
        <v>44652</v>
      </c>
      <c r="D9" s="24" t="s">
        <v>29</v>
      </c>
      <c r="G9" s="13"/>
      <c r="O9" s="12"/>
    </row>
    <row r="10" spans="2:31" x14ac:dyDescent="0.4">
      <c r="B10" s="28"/>
      <c r="C10" s="109">
        <f>'融資計画書 '!C9</f>
        <v>48548</v>
      </c>
      <c r="D10" s="24" t="s">
        <v>30</v>
      </c>
      <c r="E10" s="30"/>
      <c r="G10" s="13"/>
      <c r="O10" s="12"/>
    </row>
    <row r="11" spans="2:31" ht="19.5" thickBot="1" x14ac:dyDescent="0.45">
      <c r="B11" s="31" t="s">
        <v>19</v>
      </c>
      <c r="C11" s="110">
        <f>'融資計画書 '!C10</f>
        <v>3.5499999999999997E-2</v>
      </c>
      <c r="D11" s="24"/>
      <c r="G11" s="13"/>
      <c r="O11" s="12"/>
    </row>
    <row r="12" spans="2:31" ht="19.5" thickBot="1" x14ac:dyDescent="0.45">
      <c r="B12" s="26" t="s">
        <v>25</v>
      </c>
      <c r="C12" s="89">
        <f>'融資計画書 '!C11</f>
        <v>0</v>
      </c>
      <c r="D12" s="24"/>
      <c r="G12" s="13"/>
      <c r="O12" s="12"/>
    </row>
    <row r="13" spans="2:31" x14ac:dyDescent="0.4">
      <c r="B13" s="27" t="s">
        <v>32</v>
      </c>
      <c r="C13" s="108">
        <f>'融資計画書 '!C12</f>
        <v>2000000000</v>
      </c>
      <c r="D13" s="32"/>
      <c r="E13" s="16"/>
      <c r="F13" s="14"/>
      <c r="G13" s="91"/>
      <c r="O13" s="12"/>
    </row>
    <row r="14" spans="2:31" x14ac:dyDescent="0.4">
      <c r="B14" s="28" t="s">
        <v>17</v>
      </c>
      <c r="C14" s="23">
        <f>'融資計画書 '!C13</f>
        <v>35000000</v>
      </c>
      <c r="D14" s="32"/>
      <c r="E14" s="16"/>
      <c r="F14" s="14"/>
      <c r="G14" s="90"/>
      <c r="O14" s="12"/>
    </row>
    <row r="15" spans="2:31" x14ac:dyDescent="0.4">
      <c r="B15" s="28" t="s">
        <v>18</v>
      </c>
      <c r="C15" s="23">
        <f>'融資計画書 '!C14</f>
        <v>5000000</v>
      </c>
      <c r="D15" s="32"/>
      <c r="E15" s="16"/>
      <c r="F15" s="14"/>
      <c r="G15" s="13"/>
      <c r="O15" s="12"/>
    </row>
    <row r="16" spans="2:31" ht="20.25" customHeight="1" x14ac:dyDescent="0.4">
      <c r="B16" s="28" t="s">
        <v>33</v>
      </c>
      <c r="C16" s="111">
        <f>'融資計画書 '!C15</f>
        <v>44722</v>
      </c>
      <c r="D16" s="24" t="s">
        <v>29</v>
      </c>
      <c r="F16" s="34"/>
      <c r="G16" s="13"/>
      <c r="O16" s="12"/>
    </row>
    <row r="17" spans="1:31" x14ac:dyDescent="0.4">
      <c r="B17" s="28"/>
      <c r="C17" s="109">
        <f>'融資計画書 '!C16</f>
        <v>48548</v>
      </c>
      <c r="D17" s="24" t="s">
        <v>30</v>
      </c>
      <c r="E17" s="35"/>
      <c r="F17" s="34"/>
      <c r="O17" s="12"/>
    </row>
    <row r="18" spans="1:31" x14ac:dyDescent="0.4">
      <c r="B18" s="77" t="s">
        <v>60</v>
      </c>
      <c r="C18" s="109" t="str">
        <f>'融資計画書 '!C17</f>
        <v>有</v>
      </c>
      <c r="D18" s="24"/>
      <c r="E18" s="35"/>
      <c r="F18" s="34"/>
      <c r="O18" s="12"/>
    </row>
    <row r="19" spans="1:31" x14ac:dyDescent="0.4">
      <c r="B19" s="77" t="s">
        <v>73</v>
      </c>
      <c r="C19" s="109">
        <f>'融資計画書 '!C18</f>
        <v>45077</v>
      </c>
      <c r="D19" s="24"/>
      <c r="E19" s="35"/>
      <c r="F19" s="34"/>
      <c r="O19" s="12"/>
    </row>
    <row r="20" spans="1:31" x14ac:dyDescent="0.4">
      <c r="B20" s="77" t="s">
        <v>46</v>
      </c>
      <c r="C20" s="112">
        <f>'融資計画書 '!C19</f>
        <v>30</v>
      </c>
      <c r="D20" s="24"/>
      <c r="E20" s="35"/>
      <c r="F20" s="34"/>
      <c r="O20" s="12"/>
    </row>
    <row r="21" spans="1:31" x14ac:dyDescent="0.4">
      <c r="B21" s="77" t="s">
        <v>47</v>
      </c>
      <c r="C21" s="112" t="str">
        <f>'融資計画書 '!C20</f>
        <v>隔月毎</v>
      </c>
      <c r="D21" s="24"/>
      <c r="E21" s="35"/>
      <c r="F21" s="34"/>
      <c r="O21" s="12"/>
    </row>
    <row r="22" spans="1:31" ht="19.5" thickBot="1" x14ac:dyDescent="0.45">
      <c r="B22" s="31" t="s">
        <v>19</v>
      </c>
      <c r="C22" s="110">
        <f>'融資計画書 '!C21</f>
        <v>3.5499999999999997E-2</v>
      </c>
      <c r="D22" s="32"/>
      <c r="E22" s="16"/>
      <c r="F22" s="14"/>
      <c r="O22" s="12"/>
    </row>
    <row r="23" spans="1:31" ht="9" customHeight="1" x14ac:dyDescent="0.4">
      <c r="C23" s="33"/>
      <c r="O23" s="12"/>
    </row>
    <row r="24" spans="1:31" ht="24.75" thickBot="1" x14ac:dyDescent="0.45">
      <c r="B24" s="86" t="s">
        <v>53</v>
      </c>
      <c r="C24" s="24"/>
      <c r="D24" s="24"/>
      <c r="E24" s="38"/>
      <c r="F24" s="24"/>
      <c r="G24" s="33"/>
      <c r="H24" s="24"/>
      <c r="I24" s="24"/>
      <c r="J24" s="24"/>
      <c r="K24" s="24"/>
      <c r="L24" s="24"/>
      <c r="M24" s="24"/>
      <c r="N24" s="24"/>
    </row>
    <row r="25" spans="1:31" s="14" customFormat="1" ht="29.25" customHeight="1" thickBot="1" x14ac:dyDescent="0.45">
      <c r="B25" s="162" t="s">
        <v>22</v>
      </c>
      <c r="C25" s="177" t="s">
        <v>23</v>
      </c>
      <c r="D25" s="178" t="s">
        <v>14</v>
      </c>
      <c r="E25" s="179" t="s">
        <v>15</v>
      </c>
      <c r="F25" s="179" t="s">
        <v>16</v>
      </c>
      <c r="G25" s="179" t="s">
        <v>15</v>
      </c>
      <c r="H25" s="179" t="s">
        <v>5</v>
      </c>
      <c r="I25" s="179" t="s">
        <v>43</v>
      </c>
      <c r="J25" s="179" t="s">
        <v>11</v>
      </c>
      <c r="K25" s="179" t="s">
        <v>12</v>
      </c>
      <c r="L25" s="180" t="s">
        <v>13</v>
      </c>
      <c r="M25" s="105"/>
      <c r="N25" s="14" t="str">
        <f>$C$26</f>
        <v>単位期間１</v>
      </c>
    </row>
    <row r="26" spans="1:31" s="14" customFormat="1" ht="24" x14ac:dyDescent="0.4">
      <c r="A26" s="97">
        <f>B26</f>
        <v>2023</v>
      </c>
      <c r="B26" s="268">
        <v>2023</v>
      </c>
      <c r="C26" s="167" t="s">
        <v>3</v>
      </c>
      <c r="D26" s="114" cm="1">
        <f t="array" ref="D26">INDEX('融資計画書 '!$A$25:$M$51,MATCH('実績報告 (据置期間)'!$B$26&amp;'実績報告 (据置期間)'!$C$26,'融資計画書 '!$A$25:$A$51&amp;'融資計画書 '!$C$25:$C$51,0),'実績報告 (据置期間)'!T$27)</f>
        <v>45017</v>
      </c>
      <c r="E26" s="168" t="str" cm="1">
        <f t="array" ref="E26">INDEX('融資計画書 '!$A$25:$M$51,MATCH('実績報告 (据置期間)'!$B$26&amp;'実績報告 (据置期間)'!$C$26,'融資計画書 '!$A$25:$A$51&amp;'融資計画書 '!$C$25:$C$51,0),'実績報告 (据置期間)'!U$27)</f>
        <v>土</v>
      </c>
      <c r="F26" s="114" cm="1">
        <f t="array" ref="F26">INDEX('融資計画書 '!$A$25:$M$51,MATCH('実績報告 (据置期間)'!$B$26&amp;'実績報告 (据置期間)'!$C$26,'融資計画書 '!$A$25:$A$51&amp;'融資計画書 '!$C$25:$C$51,0),'実績報告 (据置期間)'!V$27)</f>
        <v>45076</v>
      </c>
      <c r="G26" s="168" t="str" cm="1">
        <f t="array" ref="G26">INDEX('融資計画書 '!$A$25:$M$51,MATCH('実績報告 (据置期間)'!$B$26&amp;'実績報告 (据置期間)'!$C$26,'融資計画書 '!$A$25:$A$51&amp;'融資計画書 '!$C$25:$C$51,0),'実績報告 (据置期間)'!W$27)</f>
        <v>火</v>
      </c>
      <c r="H26" s="115" cm="1">
        <f t="array" ref="H26">INDEX('融資計画書 '!$A$25:$M$51,MATCH('実績報告 (据置期間)'!$B$26&amp;'実績報告 (据置期間)'!$C$26,'融資計画書 '!$A$25:$A$51&amp;'融資計画書 '!$C$25:$C$51,0),'実績報告 (据置期間)'!X$27)</f>
        <v>60</v>
      </c>
      <c r="I26" s="159" cm="1">
        <f t="array" ref="I26">INDEX('融資計画書 '!$A$25:$M$51,MATCH('実績報告 (据置期間)'!$B$26&amp;'実績報告 (据置期間)'!$C$26,'融資計画書 '!$A$25:$A$51&amp;'融資計画書 '!$C$25:$C$51,0),'実績報告 (据置期間)'!Y$27)</f>
        <v>20000000000</v>
      </c>
      <c r="J26" s="159" cm="1">
        <f t="array" ref="J26">INDEX('融資計画書 '!$A$25:$M$51,MATCH('実績報告 (据置期間)'!$B$26&amp;'実績報告 (据置期間)'!$C$26,'融資計画書 '!$A$25:$A$51&amp;'融資計画書 '!$C$25:$C$51,0),'実績報告 (据置期間)'!Z$27)</f>
        <v>2000000000</v>
      </c>
      <c r="K26" s="169" cm="1">
        <f t="array" ref="K26">INDEX('融資計画書 '!$A$25:$M$51,MATCH('実績報告 (据置期間)'!$B$26&amp;'実績報告 (据置期間)'!$C$26,'融資計画書 '!$A$25:$A$51&amp;'融資計画書 '!$C$25:$C$51,0),'実績報告 (据置期間)'!AA$27)</f>
        <v>3.0000000000000001E-3</v>
      </c>
      <c r="L26" s="170" cm="1">
        <f t="array" ref="L26">INDEX('融資計画書 '!$A$25:$M$51,MATCH('実績報告 (据置期間)'!$B$26&amp;'実績報告 (据置期間)'!$C$26,'融資計画書 '!$A$25:$A$51&amp;'融資計画書 '!$C$25:$C$51,0),'実績報告 (据置期間)'!AB$27)</f>
        <v>986301</v>
      </c>
      <c r="M26" s="107"/>
      <c r="N26" s="14" t="str">
        <f>$C$27</f>
        <v>単位期間２</v>
      </c>
    </row>
    <row r="27" spans="1:31" s="14" customFormat="1" ht="24.75" thickBot="1" x14ac:dyDescent="0.45">
      <c r="A27" s="98">
        <f>B26</f>
        <v>2023</v>
      </c>
      <c r="B27" s="269"/>
      <c r="C27" s="171" t="s">
        <v>4</v>
      </c>
      <c r="D27" s="158" t="str" cm="1">
        <f t="array" ref="D27">INDEX('融資計画書 '!$A$25:$M$51,MATCH('実績報告 (据置期間)'!$B$26&amp;'実績報告 (据置期間)'!$C$27,'融資計画書 '!$A$25:$A$51&amp;'融資計画書 '!$C$25:$C$51,0),'実績報告 (据置期間)'!T$27)</f>
        <v/>
      </c>
      <c r="E27" s="172" t="str" cm="1">
        <f t="array" ref="E27">INDEX('融資計画書 '!$A$25:$M$51,MATCH('実績報告 (据置期間)'!$B$26&amp;'実績報告 (据置期間)'!$C$27,'融資計画書 '!$A$25:$A$51&amp;'融資計画書 '!$C$25:$C$51,0),'実績報告 (据置期間)'!U$27)</f>
        <v/>
      </c>
      <c r="F27" s="158" t="str" cm="1">
        <f t="array" ref="F27">INDEX('融資計画書 '!$A$25:$M$51,MATCH('実績報告 (据置期間)'!$B$26&amp;'実績報告 (据置期間)'!$C$27,'融資計画書 '!$A$25:$A$51&amp;'融資計画書 '!$C$25:$C$51,0),'実績報告 (据置期間)'!V$27)</f>
        <v/>
      </c>
      <c r="G27" s="172" t="str" cm="1">
        <f t="array" ref="G27">INDEX('融資計画書 '!$A$25:$M$51,MATCH('実績報告 (据置期間)'!$B$26&amp;'実績報告 (据置期間)'!$C$27,'融資計画書 '!$A$25:$A$51&amp;'融資計画書 '!$C$25:$C$51,0),'実績報告 (据置期間)'!W$27)</f>
        <v/>
      </c>
      <c r="H27" s="173" t="str" cm="1">
        <f t="array" ref="H27">INDEX('融資計画書 '!$A$25:$M$51,MATCH('実績報告 (据置期間)'!$B$26&amp;'実績報告 (据置期間)'!$C$27,'融資計画書 '!$A$25:$A$51&amp;'融資計画書 '!$C$25:$C$51,0),'実績報告 (据置期間)'!X$27)</f>
        <v/>
      </c>
      <c r="I27" s="160" t="str" cm="1">
        <f t="array" ref="I27">INDEX('融資計画書 '!$A$25:$M$51,MATCH('実績報告 (据置期間)'!$B$26&amp;'実績報告 (据置期間)'!$C$27,'融資計画書 '!$A$25:$A$51&amp;'融資計画書 '!$C$25:$C$51,0),'実績報告 (据置期間)'!Y$27)</f>
        <v/>
      </c>
      <c r="J27" s="160" t="str" cm="1">
        <f t="array" ref="J27">INDEX('融資計画書 '!$A$25:$M$51,MATCH('実績報告 (据置期間)'!$B$26&amp;'実績報告 (据置期間)'!$C$27,'融資計画書 '!$A$25:$A$51&amp;'融資計画書 '!$C$25:$C$51,0),'実績報告 (据置期間)'!Z$27)</f>
        <v/>
      </c>
      <c r="K27" s="174" t="str" cm="1">
        <f t="array" ref="K27">INDEX('融資計画書 '!$A$25:$M$51,MATCH('実績報告 (据置期間)'!$B$26&amp;'実績報告 (据置期間)'!$C$27,'融資計画書 '!$A$25:$A$51&amp;'融資計画書 '!$C$25:$C$51,0),'実績報告 (据置期間)'!AA$27)</f>
        <v/>
      </c>
      <c r="L27" s="175" cm="1">
        <f t="array" ref="L27">INDEX('融資計画書 '!$A$25:$M$51,MATCH('実績報告 (据置期間)'!$B$26&amp;'実績報告 (据置期間)'!$C$27,'融資計画書 '!$A$25:$A$51&amp;'融資計画書 '!$C$25:$C$51,0),'実績報告 (据置期間)'!AB$27)</f>
        <v>0</v>
      </c>
      <c r="M27" s="107"/>
      <c r="P27" s="17">
        <v>1</v>
      </c>
      <c r="Q27" s="14">
        <v>2</v>
      </c>
      <c r="R27" s="14">
        <v>3</v>
      </c>
      <c r="S27" s="17">
        <v>4</v>
      </c>
      <c r="T27" s="17">
        <v>5</v>
      </c>
      <c r="U27" s="14">
        <v>6</v>
      </c>
      <c r="V27" s="17">
        <v>7</v>
      </c>
      <c r="W27" s="14">
        <v>8</v>
      </c>
      <c r="X27" s="14">
        <v>9</v>
      </c>
      <c r="Y27" s="17">
        <v>10</v>
      </c>
      <c r="Z27" s="14">
        <v>11</v>
      </c>
      <c r="AA27" s="14">
        <v>12</v>
      </c>
      <c r="AB27" s="14">
        <v>13</v>
      </c>
      <c r="AC27" s="14">
        <v>14</v>
      </c>
      <c r="AD27" s="17">
        <v>15</v>
      </c>
      <c r="AE27" s="17">
        <v>16</v>
      </c>
    </row>
    <row r="28" spans="1:31" s="14" customFormat="1" hidden="1" x14ac:dyDescent="0.4">
      <c r="B28" s="263">
        <f>B26+1</f>
        <v>2024</v>
      </c>
      <c r="C28" s="266" t="s">
        <v>3</v>
      </c>
      <c r="D28" s="45" t="s">
        <v>6</v>
      </c>
      <c r="E28" s="166" t="e">
        <f>IF(#REF!="","",IF(G28="","",IF(#REF!+1&gt;DATE($B$28+1,3,31),"",#REF!+1)))</f>
        <v>#REF!</v>
      </c>
      <c r="F28" s="46" t="e">
        <f t="shared" ref="F28:H42" si="0">IF(E28="","",TEXT(E28,"aaa"))</f>
        <v>#REF!</v>
      </c>
      <c r="G28" s="102" t="e">
        <f>IF(#REF!="","",IF(#REF!+1&gt;DATE($B$28,9,30),"",IF(OR($C$20="",$C$21=""),"",IF($C$20="月末",IF(EOMONTH(#REF!,VLOOKUP($C$21,#REF!,2,FALSE))&gt;DATE($B$28,9,30),"",EOMONTH(#REF!,VLOOKUP($C$21,#REF!,2,FALSE))),IF(EOMONTH(#REF!,VLOOKUP($C$21,#REF!,2,FALSE)-1)+$C$20&gt;DATE(B28,9,30),"",EOMONTH(#REF!,VLOOKUP($C$21,#REF!,2,FALSE)-1)+$C$20)))))</f>
        <v>#REF!</v>
      </c>
      <c r="H28" s="46" t="e">
        <f t="shared" si="0"/>
        <v>#REF!</v>
      </c>
      <c r="I28" s="47" t="e">
        <f>IF(G28="","",DATEDIF(E28,G28,"D")+1)</f>
        <v>#REF!</v>
      </c>
      <c r="J28" s="48" t="e" cm="1">
        <f t="array" ref="J28">_xlfn.SINGLE(IF(G28&lt;&gt;"",IF($C$6="","",IF(I27:I27&lt;&gt;"",IF(MIN(I27:I27)&lt;=0,"",IF(MIN(I27:I27)=$C$8,MIN(I27:I27)-$C$8,MIN(I27:I27)-$C$7)),"")),""))</f>
        <v>#REF!</v>
      </c>
      <c r="K28" s="48" t="str" cm="1">
        <f t="array" ref="K28">_xlfn.SINGLE(IF($C$13="","",IF(J27:J27&lt;&gt;"",IF(MIN(J27:J27)&lt;=0,"",IF(MIN(J27:J27)=$C$15,MIN(J27:J27)-$C$15,MIN(J27:J27)-$C$14)),"")))</f>
        <v/>
      </c>
      <c r="L28" s="82" t="e" cm="1">
        <f t="array" ref="L28">IF(AND(OR(J28=0,J28=""),OR(K28=0,K28="")),"",_xlfn.IFS($C$22&gt;=0.0035,0.003,$C$22&lt;0.0005,0,$C$22&lt;0.0035,$C$22-0.0005))</f>
        <v>#REF!</v>
      </c>
      <c r="M28" s="63" t="str">
        <f t="shared" ref="M28:M33" si="1">IF(OR(K28="",K28=0),"",IF(G28="","",$C$14))</f>
        <v/>
      </c>
      <c r="N28" s="106"/>
    </row>
    <row r="29" spans="1:31" s="14" customFormat="1" hidden="1" x14ac:dyDescent="0.4">
      <c r="B29" s="263"/>
      <c r="C29" s="266"/>
      <c r="D29" s="49" t="s">
        <v>7</v>
      </c>
      <c r="E29" s="73" t="e">
        <f t="shared" ref="E29:E33" si="2">IF(G28="","",IF(G29="","",IF(G28+1&gt;DATE($B$28+1,3,31),"",G28+1)))</f>
        <v>#REF!</v>
      </c>
      <c r="F29" s="46" t="e">
        <f t="shared" si="0"/>
        <v>#REF!</v>
      </c>
      <c r="G29" s="102" t="e">
        <f>IF(G28="","",IF(G28+1&gt;DATE($B$28,9,30),"",IF(OR($C$20="",$C$21=""),"",IF($C$20="月末",IF(EOMONTH(G28,VLOOKUP($C$21,#REF!,2,FALSE))&gt;DATE($B$28,9,30),"",EOMONTH(G28,VLOOKUP($C$21,#REF!,2,FALSE))),IF(EOMONTH(G28,VLOOKUP($C$21,#REF!,2,FALSE)-1)+$C$20&gt;DATE($B$28,9,30),"",EOMONTH(G28,VLOOKUP($C$21,#REF!,2,FALSE)-1)+$C$20)))))</f>
        <v>#REF!</v>
      </c>
      <c r="H29" s="46" t="e">
        <f t="shared" si="0"/>
        <v>#REF!</v>
      </c>
      <c r="I29" s="47" t="e">
        <f>IF(G29="","",DATEDIF(E29,G29,"D")+1)</f>
        <v>#REF!</v>
      </c>
      <c r="J29" s="50" t="e">
        <f t="shared" ref="J29:J33" si="3">IF(G29&lt;&gt;"",IF($C$6="","",IF(J28="","",IF(J28&lt;=0,"",IF(J28=$C$8,J28-$C$8,J28-$C$7)))),"")</f>
        <v>#REF!</v>
      </c>
      <c r="K29" s="50" t="e">
        <f>IF(G29&lt;&gt;"",IF($C$13="","",IF(K28="","",IF(K28&lt;=0,"",IF(K28=$C$15,K28-$C$15,K28-$C$14)))),"")</f>
        <v>#REF!</v>
      </c>
      <c r="L29" s="82" t="e" cm="1">
        <f t="array" ref="L29">IF(AND(OR(J29=0,J29=""),OR(K29=0,K29="")),"",_xlfn.IFS($C$22&gt;=0.0035,0.003,$C$22&lt;0.0005,0,$C$22&lt;0.0035,$C$22-0.0005))</f>
        <v>#REF!</v>
      </c>
      <c r="M29" s="66" t="e">
        <f t="shared" si="1"/>
        <v>#REF!</v>
      </c>
      <c r="N29" s="106"/>
    </row>
    <row r="30" spans="1:31" s="14" customFormat="1" hidden="1" x14ac:dyDescent="0.4">
      <c r="B30" s="263"/>
      <c r="C30" s="266"/>
      <c r="D30" s="49" t="s">
        <v>34</v>
      </c>
      <c r="E30" s="73" t="e">
        <f t="shared" si="2"/>
        <v>#REF!</v>
      </c>
      <c r="F30" s="46" t="e">
        <f t="shared" si="0"/>
        <v>#REF!</v>
      </c>
      <c r="G30" s="102" t="e">
        <f>IF(G29="","",IF(G29+1&gt;DATE($B$28,9,30),"",IF(OR($C$20="",$C$21=""),"",IF($C$20="月末",IF(EOMONTH(G29,VLOOKUP($C$21,#REF!,2,FALSE))&gt;DATE($B$28,9,30),"",EOMONTH(G29,VLOOKUP($C$21,#REF!,2,FALSE))),IF(EOMONTH(G29,VLOOKUP($C$21,#REF!,2,FALSE)-1)+$C$20&gt;DATE($B$28,9,30),"",EOMONTH(G29,VLOOKUP($C$21,#REF!,2,FALSE)-1)+$C$20)))))</f>
        <v>#REF!</v>
      </c>
      <c r="H30" s="46" t="e">
        <f t="shared" si="0"/>
        <v>#REF!</v>
      </c>
      <c r="I30" s="47" t="e">
        <f t="shared" ref="I30:I32" si="4">IF(G30="","",DATEDIF(E30,G30,"D")+1)</f>
        <v>#REF!</v>
      </c>
      <c r="J30" s="50" t="e">
        <f t="shared" si="3"/>
        <v>#REF!</v>
      </c>
      <c r="K30" s="50" t="e">
        <f>IF(G30&lt;&gt;"",IF($C$13="","",IF(K29="","",IF(K29&lt;=0,"",IF(K29=$C$15,K29-$C$15,K29-$C$14)))),"")</f>
        <v>#REF!</v>
      </c>
      <c r="L30" s="82" t="e" cm="1">
        <f t="array" ref="L30">IF(AND(OR(J30=0,J30=""),OR(K30=0,K30="")),"",_xlfn.IFS($C$22&gt;=0.0035,0.003,$C$22&lt;0.0005,0,$C$22&lt;0.0035,$C$22-0.0005))</f>
        <v>#REF!</v>
      </c>
      <c r="M30" s="66" t="e">
        <f t="shared" si="1"/>
        <v>#REF!</v>
      </c>
      <c r="N30" s="106"/>
    </row>
    <row r="31" spans="1:31" s="14" customFormat="1" hidden="1" x14ac:dyDescent="0.4">
      <c r="B31" s="263"/>
      <c r="C31" s="266"/>
      <c r="D31" s="49" t="s">
        <v>35</v>
      </c>
      <c r="E31" s="73" t="e">
        <f t="shared" si="2"/>
        <v>#REF!</v>
      </c>
      <c r="F31" s="46" t="e">
        <f t="shared" si="0"/>
        <v>#REF!</v>
      </c>
      <c r="G31" s="102" t="e">
        <f>IF(G30="","",IF(G30+1&gt;DATE($B$28,9,30),"",IF(OR($C$20="",$C$21=""),"",IF($C$20="月末",IF(EOMONTH(G30,VLOOKUP($C$21,#REF!,2,FALSE))&gt;DATE($B$28,9,30),"",EOMONTH(G30,VLOOKUP($C$21,#REF!,2,FALSE))),IF(EOMONTH(G30,VLOOKUP($C$21,#REF!,2,FALSE)-1)+$C$20&gt;DATE($B$28,9,30),"",EOMONTH(G30,VLOOKUP($C$21,#REF!,2,FALSE)-1)+$C$20)))))</f>
        <v>#REF!</v>
      </c>
      <c r="H31" s="46" t="e">
        <f t="shared" si="0"/>
        <v>#REF!</v>
      </c>
      <c r="I31" s="47" t="e">
        <f t="shared" si="4"/>
        <v>#REF!</v>
      </c>
      <c r="J31" s="50" t="e">
        <f t="shared" si="3"/>
        <v>#REF!</v>
      </c>
      <c r="K31" s="50" t="e">
        <f>IF(G31&lt;&gt;"",IF($C$13="","",IF(K30="","",IF(K30&lt;=0,"",IF(K30=$C$15,K30-$C$15,K30-$C$14)))),"")</f>
        <v>#REF!</v>
      </c>
      <c r="L31" s="82" t="e" cm="1">
        <f t="array" ref="L31">IF(AND(OR(J31=0,J31=""),OR(K31=0,K31="")),"",_xlfn.IFS($C$22&gt;=0.0035,0.003,$C$22&lt;0.0005,0,$C$22&lt;0.0035,$C$22-0.0005))</f>
        <v>#REF!</v>
      </c>
      <c r="M31" s="66" t="e">
        <f t="shared" si="1"/>
        <v>#REF!</v>
      </c>
      <c r="N31" s="106"/>
    </row>
    <row r="32" spans="1:31" s="14" customFormat="1" hidden="1" x14ac:dyDescent="0.4">
      <c r="B32" s="263"/>
      <c r="C32" s="266"/>
      <c r="D32" s="49" t="s">
        <v>36</v>
      </c>
      <c r="E32" s="73" t="e">
        <f t="shared" si="2"/>
        <v>#REF!</v>
      </c>
      <c r="F32" s="46" t="e">
        <f t="shared" si="0"/>
        <v>#REF!</v>
      </c>
      <c r="G32" s="102" t="e">
        <f>IF(G31="","",IF(G31+1&gt;DATE($B$28,9,30),"",IF(OR($C$20="",$C$21=""),"",IF($C$20="月末",IF(EOMONTH(G31,VLOOKUP($C$21,#REF!,2,FALSE))&gt;DATE($B$28,9,30),"",EOMONTH(G31,VLOOKUP($C$21,#REF!,2,FALSE))),IF(EOMONTH(G31,VLOOKUP($C$21,#REF!,2,FALSE)-1)+$C$20&gt;DATE($B$28,9,30),"",EOMONTH(G31,VLOOKUP($C$21,#REF!,2,FALSE)-1)+$C$20)))))</f>
        <v>#REF!</v>
      </c>
      <c r="H32" s="46" t="e">
        <f t="shared" si="0"/>
        <v>#REF!</v>
      </c>
      <c r="I32" s="47" t="e">
        <f t="shared" si="4"/>
        <v>#REF!</v>
      </c>
      <c r="J32" s="50" t="e">
        <f t="shared" si="3"/>
        <v>#REF!</v>
      </c>
      <c r="K32" s="50" t="e">
        <f>IF(G32&lt;&gt;"",IF($C$13="","",IF(K31="","",IF(K31&lt;=0,"",IF(K31=$C$15,K31-$C$15,K31-$C$14)))),"")</f>
        <v>#REF!</v>
      </c>
      <c r="L32" s="82" t="e" cm="1">
        <f t="array" ref="L32">IF(AND(OR(J32=0,J32=""),OR(K32=0,K32="")),"",_xlfn.IFS($C$22&gt;=0.0035,0.003,$C$22&lt;0.0005,0,$C$22&lt;0.0035,$C$22-0.0005))</f>
        <v>#REF!</v>
      </c>
      <c r="M32" s="66" t="e">
        <f t="shared" si="1"/>
        <v>#REF!</v>
      </c>
      <c r="N32" s="106"/>
    </row>
    <row r="33" spans="2:14" s="14" customFormat="1" hidden="1" x14ac:dyDescent="0.4">
      <c r="B33" s="263"/>
      <c r="C33" s="266"/>
      <c r="D33" s="51" t="s">
        <v>40</v>
      </c>
      <c r="E33" s="74" t="e">
        <f t="shared" si="2"/>
        <v>#REF!</v>
      </c>
      <c r="F33" s="52" t="e">
        <f t="shared" si="0"/>
        <v>#REF!</v>
      </c>
      <c r="G33" s="102" t="e">
        <f>IF(G32="","",IF(G32+1&gt;DATE($B$28,9,30),"",IF(OR($C$20="",$C$21=""),"",IF($C$20="月末",IF(EOMONTH(G32,VLOOKUP($C$21,#REF!,2,FALSE))&gt;DATE($B$28,9,30),"",EOMONTH(G32,VLOOKUP($C$21,#REF!,2,FALSE))),IF(EOMONTH(G32,VLOOKUP($C$21,#REF!,2,FALSE)-1)+$C$20&gt;DATE($B$28,9,30),"",EOMONTH(G32,VLOOKUP($C$21,#REF!,2,FALSE)-1)+$C$20)))))</f>
        <v>#REF!</v>
      </c>
      <c r="H33" s="52" t="e">
        <f t="shared" si="0"/>
        <v>#REF!</v>
      </c>
      <c r="I33" s="53" t="e">
        <f>IF(G33="","",DATEDIF(E33,G33,"D")+1)</f>
        <v>#REF!</v>
      </c>
      <c r="J33" s="50" t="e">
        <f t="shared" si="3"/>
        <v>#REF!</v>
      </c>
      <c r="K33" s="50" t="e">
        <f>IF(G33&lt;&gt;"",IF($C$13="","",IF(K32="","",IF(K32&lt;=0,"",IF(K32=$C$15,K32-$C$15,K32-$C$14)))),"")</f>
        <v>#REF!</v>
      </c>
      <c r="L33" s="82" t="e" cm="1">
        <f t="array" ref="L33">IF(AND(OR(J33=0,J33=""),OR(K33=0,K33="")),"",_xlfn.IFS($C$22&gt;=0.0035,0.003,$C$22&lt;0.0005,0,$C$22&lt;0.0035,$C$22-0.0005))</f>
        <v>#REF!</v>
      </c>
      <c r="M33" s="69" t="e">
        <f t="shared" si="1"/>
        <v>#REF!</v>
      </c>
      <c r="N33" s="106"/>
    </row>
    <row r="34" spans="2:14" s="14" customFormat="1" ht="19.5" hidden="1" thickBot="1" x14ac:dyDescent="0.45">
      <c r="B34" s="264"/>
      <c r="C34" s="57" t="s">
        <v>10</v>
      </c>
      <c r="D34" s="58"/>
      <c r="E34" s="75" t="e" cm="1">
        <f t="array" ref="E34">_xlfn.SINGLE(IF(E28:E33&lt;&gt;"",MIN(E28:E33),""))</f>
        <v>#REF!</v>
      </c>
      <c r="F34" s="59" t="e">
        <f t="shared" si="0"/>
        <v>#REF!</v>
      </c>
      <c r="G34" s="75" t="e" cm="1">
        <f t="array" ref="G34">_xlfn.SINGLE(IF(G28:G33&lt;&gt;"",MAX(G28:G33),""))</f>
        <v>#REF!</v>
      </c>
      <c r="H34" s="59" t="e">
        <f t="shared" si="0"/>
        <v>#REF!</v>
      </c>
      <c r="I34" s="60" t="e">
        <f>SUM(I28:I33)</f>
        <v>#REF!</v>
      </c>
      <c r="J34" s="58"/>
      <c r="K34" s="58"/>
      <c r="L34" s="84"/>
      <c r="M34" s="72"/>
      <c r="N34" s="106"/>
    </row>
    <row r="35" spans="2:14" s="14" customFormat="1" hidden="1" x14ac:dyDescent="0.4">
      <c r="B35" s="263"/>
      <c r="C35" s="267" t="s">
        <v>4</v>
      </c>
      <c r="D35" s="54" t="s">
        <v>9</v>
      </c>
      <c r="E35" s="73" t="e">
        <f t="shared" ref="E35:E40" si="5">IF(G34="","",IF(G35="","",IF(G34+1&gt;DATE($B$28+1,3,31),"",G34+1)))</f>
        <v>#REF!</v>
      </c>
      <c r="F35" s="46" t="e">
        <f t="shared" si="0"/>
        <v>#REF!</v>
      </c>
      <c r="G35" s="102" t="e">
        <f>IF(G34="","",IF(G34+1&gt;DATE($B$28+1,3,31),"",IF(OR($C$20="",$C$21=""),"",IF($C$20="月末",IF(EOMONTH(G34,VLOOKUP($C$21,#REF!,2,FALSE))&gt;DATE($B$28+1,3,31),"",EOMONTH(G34,VLOOKUP($C$21,#REF!,2,FALSE))),IF(EOMONTH(G34,VLOOKUP($C$21,#REF!,2,FALSE)-1)+$C$20&gt;DATE($B$28+1,3,31),"",EOMONTH(G34,VLOOKUP($C$21,#REF!,2,FALSE)-1)+$C$20)))))</f>
        <v>#REF!</v>
      </c>
      <c r="H35" s="46" t="e">
        <f>IF(G35="","",TEXT(G35,"aaa"))</f>
        <v>#REF!</v>
      </c>
      <c r="I35" s="47" t="e">
        <f>IF(G35="","",DATEDIF(E35,G35,"D")+1)</f>
        <v>#REF!</v>
      </c>
      <c r="J35" s="50" t="e" cm="1">
        <f t="array" ref="J35">_xlfn.SINGLE(IF(G35&lt;&gt;"",IF($C$6="","",IF(J28:J33&lt;&gt;"",IF(MIN(J28:J33)&lt;=0,"",IF(MIN(J28:J33)=$C$8,MIN(J28:J33)-$C$8,MIN(J28:J33)-$C$7)),"")),""))</f>
        <v>#REF!</v>
      </c>
      <c r="K35" s="55" t="str" cm="1">
        <f t="array" ref="K35">_xlfn.SINGLE(IF($C$13="","",IF(K28:K33&lt;&gt;"",IF(MIN(K28:K33)&lt;=0,"",IF(MIN(K28:K33)=$C$15,MIN(K28:K33)-$C$15,MIN(K28:K33)-$C$14)),"")))</f>
        <v/>
      </c>
      <c r="L35" s="82" t="e" cm="1">
        <f t="array" ref="L35">IF(AND(OR(J35=0,J35=""),OR(K35=0,K35="")),"",_xlfn.IFS($C$22&gt;=0.0035,0.003,$C$22&lt;0.0005,0,$C$22&lt;0.0035,$C$22-0.0005))</f>
        <v>#REF!</v>
      </c>
      <c r="M35" s="63" t="str">
        <f t="shared" ref="M35:M40" si="6">IF(OR(K35="",K35=0),"",IF(G35="","",$C$14))</f>
        <v/>
      </c>
      <c r="N35" s="106"/>
    </row>
    <row r="36" spans="2:14" s="14" customFormat="1" hidden="1" x14ac:dyDescent="0.4">
      <c r="B36" s="263"/>
      <c r="C36" s="266"/>
      <c r="D36" s="49" t="s">
        <v>8</v>
      </c>
      <c r="E36" s="73" t="e">
        <f t="shared" si="5"/>
        <v>#REF!</v>
      </c>
      <c r="F36" s="46" t="e">
        <f t="shared" si="0"/>
        <v>#REF!</v>
      </c>
      <c r="G36" s="102" t="e">
        <f>IF(G35="","",IF(G35+1&gt;DATE($B$28+1,3,31),"",IF(OR($C$20="",$C$21=""),"",IF($C$20="月末",IF(EOMONTH(G35,VLOOKUP($C$21,#REF!,2,FALSE))&gt;DATE($B$28+1,3,31),"",EOMONTH(G35,VLOOKUP($C$21,#REF!,2,FALSE))),IF(EOMONTH(G35,VLOOKUP($C$21,#REF!,2,FALSE)-1)+$C$20&gt;DATE($B$28+1,3,31),"",EOMONTH(G35,VLOOKUP($C$21,#REF!,2,FALSE)-1)+$C$20)))))</f>
        <v>#REF!</v>
      </c>
      <c r="H36" s="46" t="e">
        <f t="shared" ref="H36:H48" si="7">IF(G36="","",TEXT(G36,"aaa"))</f>
        <v>#REF!</v>
      </c>
      <c r="I36" s="47" t="e">
        <f>IF(G36="","",DATEDIF(E36,G36,"D")+1)</f>
        <v>#REF!</v>
      </c>
      <c r="J36" s="50" t="e">
        <f t="shared" ref="J36:J40" si="8">IF(G36&lt;&gt;"",IF($C$6="","",IF(J35="","",IF(J35&lt;=0,"",IF(J35=$C$8,J35-$C$8,J35-$C$7)))),"")</f>
        <v>#REF!</v>
      </c>
      <c r="K36" s="50" t="e">
        <f>IF(G36&lt;&gt;"",IF($C$13="","",IF(K35="","",IF(K35&lt;=0,"",IF(K35=$C$15,K35-$C$15,K35-$C$14)))),"")</f>
        <v>#REF!</v>
      </c>
      <c r="L36" s="82" t="e" cm="1">
        <f t="array" ref="L36">IF(AND(OR(J36=0,J36=""),OR(K36=0,K36="")),"",_xlfn.IFS($C$22&gt;=0.0035,0.003,$C$22&lt;0.0005,0,$C$22&lt;0.0035,$C$22-0.0005))</f>
        <v>#REF!</v>
      </c>
      <c r="M36" s="66" t="e">
        <f t="shared" si="6"/>
        <v>#REF!</v>
      </c>
      <c r="N36" s="106"/>
    </row>
    <row r="37" spans="2:14" s="14" customFormat="1" hidden="1" x14ac:dyDescent="0.4">
      <c r="B37" s="263"/>
      <c r="C37" s="266"/>
      <c r="D37" s="49" t="s">
        <v>37</v>
      </c>
      <c r="E37" s="73" t="e">
        <f t="shared" si="5"/>
        <v>#REF!</v>
      </c>
      <c r="F37" s="46" t="e">
        <f t="shared" si="0"/>
        <v>#REF!</v>
      </c>
      <c r="G37" s="102" t="e">
        <f>IF(G36="","",IF(G36+1&gt;DATE($B$28+1,3,31),"",IF(OR($C$20="",$C$21=""),"",IF($C$20="月末",IF(EOMONTH(G36,VLOOKUP($C$21,#REF!,2,FALSE))&gt;DATE($B$28+1,3,31),"",EOMONTH(G36,VLOOKUP($C$21,#REF!,2,FALSE))),IF(EOMONTH(G36,VLOOKUP($C$21,#REF!,2,FALSE)-1)+$C$20&gt;DATE($B$28+1,3,31),"",EOMONTH(G36,VLOOKUP($C$21,#REF!,2,FALSE)-1)+$C$20)))))</f>
        <v>#REF!</v>
      </c>
      <c r="H37" s="46" t="e">
        <f t="shared" si="7"/>
        <v>#REF!</v>
      </c>
      <c r="I37" s="47" t="e">
        <f t="shared" ref="I37:I39" si="9">IF(G37="","",DATEDIF(E37,G37,"D")+1)</f>
        <v>#REF!</v>
      </c>
      <c r="J37" s="50" t="e">
        <f t="shared" si="8"/>
        <v>#REF!</v>
      </c>
      <c r="K37" s="50" t="e">
        <f>IF(G37&lt;&gt;"",IF($C$13="","",IF(K36="","",IF(K36&lt;=0,"",IF(K36=$C$15,K36-$C$15,K36-$C$14)))),"")</f>
        <v>#REF!</v>
      </c>
      <c r="L37" s="82" t="e" cm="1">
        <f t="array" ref="L37">IF(AND(OR(J37=0,J37=""),OR(K37=0,K37="")),"",_xlfn.IFS($C$22&gt;=0.0035,0.003,$C$22&lt;0.0005,0,$C$22&lt;0.0035,$C$22-0.0005))</f>
        <v>#REF!</v>
      </c>
      <c r="M37" s="66" t="e">
        <f t="shared" si="6"/>
        <v>#REF!</v>
      </c>
      <c r="N37" s="106"/>
    </row>
    <row r="38" spans="2:14" s="14" customFormat="1" hidden="1" x14ac:dyDescent="0.4">
      <c r="B38" s="263"/>
      <c r="C38" s="266"/>
      <c r="D38" s="49" t="s">
        <v>38</v>
      </c>
      <c r="E38" s="73" t="e">
        <f t="shared" si="5"/>
        <v>#REF!</v>
      </c>
      <c r="F38" s="46" t="e">
        <f t="shared" si="0"/>
        <v>#REF!</v>
      </c>
      <c r="G38" s="102" t="e">
        <f>IF(G37="","",IF(G37+1&gt;DATE($B$28+1,3,31),"",IF(OR($C$20="",$C$21=""),"",IF($C$20="月末",IF(EOMONTH(G37,VLOOKUP($C$21,#REF!,2,FALSE))&gt;DATE($B$28+1,3,31),"",EOMONTH(G37,VLOOKUP($C$21,#REF!,2,FALSE))),IF(EOMONTH(G37,VLOOKUP($C$21,#REF!,2,FALSE)-1)+$C$20&gt;DATE($B$28+1,3,31),"",EOMONTH(G37,VLOOKUP($C$21,#REF!,2,FALSE)-1)+$C$20)))))</f>
        <v>#REF!</v>
      </c>
      <c r="H38" s="46" t="e">
        <f t="shared" si="7"/>
        <v>#REF!</v>
      </c>
      <c r="I38" s="47" t="e">
        <f t="shared" si="9"/>
        <v>#REF!</v>
      </c>
      <c r="J38" s="50" t="e">
        <f t="shared" si="8"/>
        <v>#REF!</v>
      </c>
      <c r="K38" s="50" t="e">
        <f>IF(G38&lt;&gt;"",IF($C$13="","",IF(K37="","",IF(K37&lt;=0,"",IF(K37=$C$15,K37-$C$15,K37-$C$14)))),"")</f>
        <v>#REF!</v>
      </c>
      <c r="L38" s="82" t="e" cm="1">
        <f t="array" ref="L38">IF(AND(OR(J38=0,J38=""),OR(K38=0,K38="")),"",_xlfn.IFS($C$22&gt;=0.0035,0.003,$C$22&lt;0.0005,0,$C$22&lt;0.0035,$C$22-0.0005))</f>
        <v>#REF!</v>
      </c>
      <c r="M38" s="66" t="e">
        <f t="shared" si="6"/>
        <v>#REF!</v>
      </c>
      <c r="N38" s="106"/>
    </row>
    <row r="39" spans="2:14" s="14" customFormat="1" hidden="1" x14ac:dyDescent="0.4">
      <c r="B39" s="263"/>
      <c r="C39" s="266"/>
      <c r="D39" s="49" t="s">
        <v>39</v>
      </c>
      <c r="E39" s="73" t="e">
        <f t="shared" si="5"/>
        <v>#REF!</v>
      </c>
      <c r="F39" s="46" t="e">
        <f t="shared" si="0"/>
        <v>#REF!</v>
      </c>
      <c r="G39" s="102" t="e">
        <f>IF(G38="","",IF(G38+1&gt;DATE($B$28+1,3,31),"",IF(OR($C$20="",$C$21=""),"",IF($C$20="月末",IF(EOMONTH(G38,VLOOKUP($C$21,#REF!,2,FALSE))&gt;DATE($B$28+1,3,31),"",EOMONTH(G38,VLOOKUP($C$21,#REF!,2,FALSE))),IF(EOMONTH(G38,VLOOKUP($C$21,#REF!,2,FALSE)-1)+$C$20&gt;DATE($B$28+1,3,31),"",EOMONTH(G38,VLOOKUP($C$21,#REF!,2,FALSE)-1)+$C$20)))))</f>
        <v>#REF!</v>
      </c>
      <c r="H39" s="46" t="e">
        <f t="shared" si="7"/>
        <v>#REF!</v>
      </c>
      <c r="I39" s="47" t="e">
        <f t="shared" si="9"/>
        <v>#REF!</v>
      </c>
      <c r="J39" s="50" t="e">
        <f t="shared" si="8"/>
        <v>#REF!</v>
      </c>
      <c r="K39" s="50" t="e">
        <f>IF(G39&lt;&gt;"",IF($C$13="","",IF(K38="","",IF(K38&lt;=0,"",IF(K38=$C$15,K38-$C$15,K38-$C$14)))),"")</f>
        <v>#REF!</v>
      </c>
      <c r="L39" s="82" t="e" cm="1">
        <f t="array" ref="L39">IF(AND(OR(J39=0,J39=""),OR(K39=0,K39="")),"",_xlfn.IFS($C$22&gt;=0.0035,0.003,$C$22&lt;0.0005,0,$C$22&lt;0.0035,$C$22-0.0005))</f>
        <v>#REF!</v>
      </c>
      <c r="M39" s="66" t="e">
        <f t="shared" si="6"/>
        <v>#REF!</v>
      </c>
      <c r="N39" s="106"/>
    </row>
    <row r="40" spans="2:14" s="14" customFormat="1" hidden="1" x14ac:dyDescent="0.4">
      <c r="B40" s="263"/>
      <c r="C40" s="266"/>
      <c r="D40" s="51" t="s">
        <v>41</v>
      </c>
      <c r="E40" s="74" t="e">
        <f t="shared" si="5"/>
        <v>#REF!</v>
      </c>
      <c r="F40" s="52" t="e">
        <f t="shared" si="0"/>
        <v>#REF!</v>
      </c>
      <c r="G40" s="102" t="e">
        <f>IF(G39="","",IF(G39+1&gt;DATE($B$28+1,3,31),"",IF(OR($C$20="",$C$21=""),"",IF($C$20="月末",IF(EOMONTH(G39,VLOOKUP($C$21,#REF!,2,FALSE))&gt;DATE($B$28+1,3,31),"",EOMONTH(G39,VLOOKUP($C$21,#REF!,2,FALSE))),IF(EOMONTH(G39,VLOOKUP($C$21,#REF!,2,FALSE)-1)+$C$20&gt;DATE($B$28+1,3,31),"",EOMONTH(G39,VLOOKUP($C$21,#REF!,2,FALSE)-1)+$C$20)))))</f>
        <v>#REF!</v>
      </c>
      <c r="H40" s="52" t="e">
        <f t="shared" si="7"/>
        <v>#REF!</v>
      </c>
      <c r="I40" s="53" t="e">
        <f>IF(G40="","",DATEDIF(E40,G40,"D")+1)</f>
        <v>#REF!</v>
      </c>
      <c r="J40" s="50" t="e">
        <f t="shared" si="8"/>
        <v>#REF!</v>
      </c>
      <c r="K40" s="56" t="e">
        <f>IF(G40&lt;&gt;"",IF($C$13="","",IF(K39="","",IF(K39&lt;=0,"",IF(K39=$C$15,K39-$C$15,K39-$C$14)))),"")</f>
        <v>#REF!</v>
      </c>
      <c r="L40" s="82" t="e" cm="1">
        <f t="array" ref="L40">IF(AND(OR(J40=0,J40=""),OR(K40=0,K40="")),"",_xlfn.IFS($C$22&gt;=0.0035,0.003,$C$22&lt;0.0005,0,$C$22&lt;0.0035,$C$22-0.0005))</f>
        <v>#REF!</v>
      </c>
      <c r="M40" s="69" t="e">
        <f t="shared" si="6"/>
        <v>#REF!</v>
      </c>
      <c r="N40" s="106"/>
    </row>
    <row r="41" spans="2:14" s="14" customFormat="1" ht="19.5" hidden="1" thickBot="1" x14ac:dyDescent="0.45">
      <c r="B41" s="265"/>
      <c r="C41" s="57" t="s">
        <v>10</v>
      </c>
      <c r="D41" s="58"/>
      <c r="E41" s="75" t="e" cm="1">
        <f t="array" ref="E41">_xlfn.SINGLE(IF(E35:E40&lt;&gt;"",MIN(E35:E40),""))</f>
        <v>#REF!</v>
      </c>
      <c r="F41" s="59" t="e">
        <f t="shared" si="0"/>
        <v>#REF!</v>
      </c>
      <c r="G41" s="75" t="e" cm="1">
        <f t="array" ref="G41">_xlfn.SINGLE(IF(G35:G40&lt;&gt;"",MAX(G35:G40),""))</f>
        <v>#REF!</v>
      </c>
      <c r="H41" s="59" t="e">
        <f t="shared" si="7"/>
        <v>#REF!</v>
      </c>
      <c r="I41" s="60" t="e">
        <f>SUM(I35:I40)</f>
        <v>#REF!</v>
      </c>
      <c r="J41" s="58"/>
      <c r="K41" s="58"/>
      <c r="L41" s="84"/>
      <c r="M41" s="72"/>
      <c r="N41" s="106"/>
    </row>
    <row r="42" spans="2:14" s="14" customFormat="1" hidden="1" x14ac:dyDescent="0.4">
      <c r="B42" s="262">
        <f t="shared" ref="B42" si="10">B28+1</f>
        <v>2025</v>
      </c>
      <c r="C42" s="266" t="s">
        <v>3</v>
      </c>
      <c r="D42" s="45" t="s">
        <v>6</v>
      </c>
      <c r="E42" s="73" t="e">
        <f t="shared" ref="E42:E47" si="11">IF(G41="","",IF(G42="","",IF(G41+1&gt;DATE($B$42+1,3,31),"",G41+1)))</f>
        <v>#REF!</v>
      </c>
      <c r="F42" s="46" t="e">
        <f t="shared" si="0"/>
        <v>#REF!</v>
      </c>
      <c r="G42" s="102" t="e">
        <f>IF(G41="","",IF(G41+1&gt;DATE($B$42,9,30),"",IF(OR($C$20="",$C$21=""),"",IF($C$20="月末",IF(EOMONTH(G41,VLOOKUP($C$21,#REF!,2,FALSE))&gt;DATE($B$42,9,30),"",EOMONTH(G41,VLOOKUP($C$21,#REF!,2,FALSE))),IF(EOMONTH(G41,VLOOKUP($C$21,#REF!,2,FALSE)-1)+$C$20&gt;DATE($B$42,9,30),"",EOMONTH(G41,VLOOKUP($C$21,#REF!,2,FALSE)-1)+$C$20)))))</f>
        <v>#REF!</v>
      </c>
      <c r="H42" s="46" t="e">
        <f t="shared" si="7"/>
        <v>#REF!</v>
      </c>
      <c r="I42" s="47" t="e">
        <f>IF(G42="","",DATEDIF(E42,G42,"D")+1)</f>
        <v>#REF!</v>
      </c>
      <c r="J42" s="50" t="e" cm="1">
        <f t="array" ref="J42">_xlfn.SINGLE(IF(G42&lt;&gt;"",IF($C$6="","",IF(J35:J40&lt;&gt;"",IF(MIN(J35:J40)&lt;=0,"",IF(MIN(J35:J40)=$C$8,MIN(J35:J40)-$C$8,MIN(J35:J40)-$C$7)),"")),""))</f>
        <v>#REF!</v>
      </c>
      <c r="K42" s="55" t="str" cm="1">
        <f t="array" ref="K42">_xlfn.SINGLE(IF($C$13="","",IF(K35:K40&lt;&gt;"",IF(MIN(K35:K40)&lt;=0,"",IF(MIN(K35:K40)=$C$15,MIN(K35:K40)-$C$15,MIN(K35:K40)-$C$14)),"")))</f>
        <v/>
      </c>
      <c r="L42" s="82" t="e" cm="1">
        <f t="array" ref="L42">IF(AND(OR(J42=0,J42=""),OR(K42=0,K42="")),"",_xlfn.IFS($C$22&gt;=0.0035,0.003,$C$22&lt;0.0005,0,$C$22&lt;0.0035,$C$22-0.0005))</f>
        <v>#REF!</v>
      </c>
      <c r="M42" s="63" t="str">
        <f t="shared" ref="M42:M47" si="12">IF(OR(K42="",K42=0),"",IF(G42="","",$C$14))</f>
        <v/>
      </c>
      <c r="N42" s="106"/>
    </row>
    <row r="43" spans="2:14" s="14" customFormat="1" hidden="1" x14ac:dyDescent="0.4">
      <c r="B43" s="263"/>
      <c r="C43" s="266"/>
      <c r="D43" s="49" t="s">
        <v>7</v>
      </c>
      <c r="E43" s="73" t="e">
        <f t="shared" si="11"/>
        <v>#REF!</v>
      </c>
      <c r="F43" s="46" t="e">
        <f t="shared" ref="F43:F106" si="13">IF(E43="","",TEXT(E43,"aaa"))</f>
        <v>#REF!</v>
      </c>
      <c r="G43" s="102" t="e">
        <f>IF(G42="","",IF(G42+1&gt;DATE($B$42,9,30),"",IF(OR($C$20="",$C$21=""),"",IF($C$20="月末",IF(EOMONTH(G42,VLOOKUP($C$21,#REF!,2,FALSE))&gt;DATE($B$42,9,30),"",EOMONTH(G42,VLOOKUP($C$21,#REF!,2,FALSE))),IF(EOMONTH(G42,VLOOKUP($C$21,#REF!,2,FALSE)-1)+$C$20&gt;DATE($B$42,9,30),"",EOMONTH(G42,VLOOKUP($C$21,#REF!,2,FALSE)-1)+$C$20)))))</f>
        <v>#REF!</v>
      </c>
      <c r="H43" s="46" t="e">
        <f t="shared" si="7"/>
        <v>#REF!</v>
      </c>
      <c r="I43" s="47" t="e">
        <f>IF(G43="","",DATEDIF(E43,G43,"D")+1)</f>
        <v>#REF!</v>
      </c>
      <c r="J43" s="50" t="e">
        <f t="shared" ref="J43:J47" si="14">IF(G43&lt;&gt;"",IF($C$6="","",IF(J42="","",IF(J42&lt;=0,"",IF(J42=$C$8,J42-$C$8,J42-$C$7)))),"")</f>
        <v>#REF!</v>
      </c>
      <c r="K43" s="50" t="e">
        <f>IF(G43&lt;&gt;"",IF($C$13="","",IF(K42="","",IF(K42&lt;=0,"",IF(K42=$C$15,K42-$C$15,K42-$C$14)))),"")</f>
        <v>#REF!</v>
      </c>
      <c r="L43" s="82" t="e" cm="1">
        <f t="array" ref="L43">IF(AND(OR(J43=0,J43=""),OR(K43=0,K43="")),"",_xlfn.IFS($C$22&gt;=0.0035,0.003,$C$22&lt;0.0005,0,$C$22&lt;0.0035,$C$22-0.0005))</f>
        <v>#REF!</v>
      </c>
      <c r="M43" s="66" t="e">
        <f t="shared" si="12"/>
        <v>#REF!</v>
      </c>
      <c r="N43" s="106"/>
    </row>
    <row r="44" spans="2:14" s="14" customFormat="1" hidden="1" x14ac:dyDescent="0.4">
      <c r="B44" s="263"/>
      <c r="C44" s="266"/>
      <c r="D44" s="49" t="s">
        <v>34</v>
      </c>
      <c r="E44" s="73" t="e">
        <f t="shared" si="11"/>
        <v>#REF!</v>
      </c>
      <c r="F44" s="46" t="e">
        <f t="shared" si="13"/>
        <v>#REF!</v>
      </c>
      <c r="G44" s="102" t="e">
        <f>IF(G43="","",IF(G43+1&gt;DATE($B$42,9,30),"",IF(OR($C$20="",$C$21=""),"",IF($C$20="月末",IF(EOMONTH(G43,VLOOKUP($C$21,#REF!,2,FALSE))&gt;DATE($B$42,9,30),"",EOMONTH(G43,VLOOKUP($C$21,#REF!,2,FALSE))),IF(EOMONTH(G43,VLOOKUP($C$21,#REF!,2,FALSE)-1)+$C$20&gt;DATE($B$42,9,30),"",EOMONTH(G43,VLOOKUP($C$21,#REF!,2,FALSE)-1)+$C$20)))))</f>
        <v>#REF!</v>
      </c>
      <c r="H44" s="46" t="e">
        <f t="shared" si="7"/>
        <v>#REF!</v>
      </c>
      <c r="I44" s="47" t="e">
        <f t="shared" ref="I44:I46" si="15">IF(G44="","",DATEDIF(E44,G44,"D")+1)</f>
        <v>#REF!</v>
      </c>
      <c r="J44" s="50" t="e">
        <f t="shared" si="14"/>
        <v>#REF!</v>
      </c>
      <c r="K44" s="50" t="e">
        <f>IF(G44&lt;&gt;"",IF($C$13="","",IF(K43="","",IF(K43&lt;=0,"",IF(K43=$C$15,K43-$C$15,K43-$C$14)))),"")</f>
        <v>#REF!</v>
      </c>
      <c r="L44" s="82" t="e" cm="1">
        <f t="array" ref="L44">IF(AND(OR(J44=0,J44=""),OR(K44=0,K44="")),"",_xlfn.IFS($C$22&gt;=0.0035,0.003,$C$22&lt;0.0005,0,$C$22&lt;0.0035,$C$22-0.0005))</f>
        <v>#REF!</v>
      </c>
      <c r="M44" s="66" t="e">
        <f t="shared" si="12"/>
        <v>#REF!</v>
      </c>
      <c r="N44" s="106"/>
    </row>
    <row r="45" spans="2:14" s="14" customFormat="1" hidden="1" x14ac:dyDescent="0.4">
      <c r="B45" s="263"/>
      <c r="C45" s="266"/>
      <c r="D45" s="49" t="s">
        <v>35</v>
      </c>
      <c r="E45" s="73" t="e">
        <f t="shared" si="11"/>
        <v>#REF!</v>
      </c>
      <c r="F45" s="46" t="e">
        <f t="shared" si="13"/>
        <v>#REF!</v>
      </c>
      <c r="G45" s="102" t="e">
        <f>IF(G44="","",IF(G44+1&gt;DATE($B$42,9,30),"",IF(OR($C$20="",$C$21=""),"",IF($C$20="月末",IF(EOMONTH(G44,VLOOKUP($C$21,#REF!,2,FALSE))&gt;DATE($B$42,9,30),"",EOMONTH(G44,VLOOKUP($C$21,#REF!,2,FALSE))),IF(EOMONTH(G44,VLOOKUP($C$21,#REF!,2,FALSE)-1)+$C$20&gt;DATE($B$42,9,30),"",EOMONTH(G44,VLOOKUP($C$21,#REF!,2,FALSE)-1)+$C$20)))))</f>
        <v>#REF!</v>
      </c>
      <c r="H45" s="46" t="e">
        <f t="shared" si="7"/>
        <v>#REF!</v>
      </c>
      <c r="I45" s="47" t="e">
        <f t="shared" si="15"/>
        <v>#REF!</v>
      </c>
      <c r="J45" s="50" t="e">
        <f t="shared" si="14"/>
        <v>#REF!</v>
      </c>
      <c r="K45" s="50" t="e">
        <f>IF(G45&lt;&gt;"",IF($C$13="","",IF(K44="","",IF(K44&lt;=0,"",IF(K44=$C$15,K44-$C$15,K44-$C$14)))),"")</f>
        <v>#REF!</v>
      </c>
      <c r="L45" s="82" t="e" cm="1">
        <f t="array" ref="L45">IF(AND(OR(J45=0,J45=""),OR(K45=0,K45="")),"",_xlfn.IFS($C$22&gt;=0.0035,0.003,$C$22&lt;0.0005,0,$C$22&lt;0.0035,$C$22-0.0005))</f>
        <v>#REF!</v>
      </c>
      <c r="M45" s="66" t="e">
        <f t="shared" si="12"/>
        <v>#REF!</v>
      </c>
      <c r="N45" s="106"/>
    </row>
    <row r="46" spans="2:14" s="14" customFormat="1" hidden="1" x14ac:dyDescent="0.4">
      <c r="B46" s="263"/>
      <c r="C46" s="266"/>
      <c r="D46" s="49" t="s">
        <v>36</v>
      </c>
      <c r="E46" s="73" t="e">
        <f t="shared" si="11"/>
        <v>#REF!</v>
      </c>
      <c r="F46" s="46" t="e">
        <f t="shared" si="13"/>
        <v>#REF!</v>
      </c>
      <c r="G46" s="102" t="e">
        <f>IF(G45="","",IF(G45+1&gt;DATE($B$42,9,30),"",IF(OR($C$20="",$C$21=""),"",IF($C$20="月末",IF(EOMONTH(G45,VLOOKUP($C$21,#REF!,2,FALSE))&gt;DATE($B$42,9,30),"",EOMONTH(G45,VLOOKUP($C$21,#REF!,2,FALSE))),IF(EOMONTH(G45,VLOOKUP($C$21,#REF!,2,FALSE)-1)+$C$20&gt;DATE($B$42,9,30),"",EOMONTH(G45,VLOOKUP($C$21,#REF!,2,FALSE)-1)+$C$20)))))</f>
        <v>#REF!</v>
      </c>
      <c r="H46" s="46" t="e">
        <f t="shared" si="7"/>
        <v>#REF!</v>
      </c>
      <c r="I46" s="47" t="e">
        <f t="shared" si="15"/>
        <v>#REF!</v>
      </c>
      <c r="J46" s="50" t="e">
        <f t="shared" si="14"/>
        <v>#REF!</v>
      </c>
      <c r="K46" s="50" t="e">
        <f>IF(G46&lt;&gt;"",IF($C$13="","",IF(K45="","",IF(K45&lt;=0,"",IF(K45=$C$15,K45-$C$15,K45-$C$14)))),"")</f>
        <v>#REF!</v>
      </c>
      <c r="L46" s="82" t="e" cm="1">
        <f t="array" ref="L46">IF(AND(OR(J46=0,J46=""),OR(K46=0,K46="")),"",_xlfn.IFS($C$22&gt;=0.0035,0.003,$C$22&lt;0.0005,0,$C$22&lt;0.0035,$C$22-0.0005))</f>
        <v>#REF!</v>
      </c>
      <c r="M46" s="66" t="e">
        <f t="shared" si="12"/>
        <v>#REF!</v>
      </c>
      <c r="N46" s="106"/>
    </row>
    <row r="47" spans="2:14" s="14" customFormat="1" hidden="1" x14ac:dyDescent="0.4">
      <c r="B47" s="263"/>
      <c r="C47" s="266"/>
      <c r="D47" s="51" t="s">
        <v>40</v>
      </c>
      <c r="E47" s="74" t="e">
        <f t="shared" si="11"/>
        <v>#REF!</v>
      </c>
      <c r="F47" s="52" t="e">
        <f t="shared" si="13"/>
        <v>#REF!</v>
      </c>
      <c r="G47" s="102" t="e">
        <f>IF(G46="","",IF(G46+1&gt;DATE($B$42,9,30),"",IF(OR($C$20="",$C$21=""),"",IF($C$20="月末",IF(EOMONTH(G46,VLOOKUP($C$21,#REF!,2,FALSE))&gt;DATE($B$42,9,30),"",EOMONTH(G46,VLOOKUP($C$21,#REF!,2,FALSE))),IF(EOMONTH(G46,VLOOKUP($C$21,#REF!,2,FALSE)-1)+$C$20&gt;DATE($B$42,9,30),"",EOMONTH(G46,VLOOKUP($C$21,#REF!,2,FALSE)-1)+$C$20)))))</f>
        <v>#REF!</v>
      </c>
      <c r="H47" s="52" t="e">
        <f t="shared" si="7"/>
        <v>#REF!</v>
      </c>
      <c r="I47" s="53" t="e">
        <f>IF(G47="","",DATEDIF(E47,G47,"D")+1)</f>
        <v>#REF!</v>
      </c>
      <c r="J47" s="50" t="e">
        <f t="shared" si="14"/>
        <v>#REF!</v>
      </c>
      <c r="K47" s="56" t="e">
        <f>IF(G47&lt;&gt;"",IF($C$13="","",IF(K46="","",IF(K46&lt;=0,"",IF(K46=$C$15,K46-$C$15,K46-$C$14)))),"")</f>
        <v>#REF!</v>
      </c>
      <c r="L47" s="82" t="e" cm="1">
        <f t="array" ref="L47">IF(AND(OR(J47=0,J47=""),OR(K47=0,K47="")),"",_xlfn.IFS($C$22&gt;=0.0035,0.003,$C$22&lt;0.0005,0,$C$22&lt;0.0035,$C$22-0.0005))</f>
        <v>#REF!</v>
      </c>
      <c r="M47" s="69" t="e">
        <f t="shared" si="12"/>
        <v>#REF!</v>
      </c>
      <c r="N47" s="106"/>
    </row>
    <row r="48" spans="2:14" s="14" customFormat="1" ht="19.5" hidden="1" thickBot="1" x14ac:dyDescent="0.45">
      <c r="B48" s="264"/>
      <c r="C48" s="57" t="s">
        <v>10</v>
      </c>
      <c r="D48" s="58"/>
      <c r="E48" s="75" t="e" cm="1">
        <f t="array" ref="E48">_xlfn.SINGLE(IF(E42:E47&lt;&gt;"",MIN(E42:E47),""))</f>
        <v>#REF!</v>
      </c>
      <c r="F48" s="59" t="e">
        <f t="shared" si="13"/>
        <v>#REF!</v>
      </c>
      <c r="G48" s="75" t="e" cm="1">
        <f t="array" ref="G48">_xlfn.SINGLE(IF(G42:G47&lt;&gt;"",MAX(G42:G47),""))</f>
        <v>#REF!</v>
      </c>
      <c r="H48" s="59" t="e">
        <f t="shared" si="7"/>
        <v>#REF!</v>
      </c>
      <c r="I48" s="60" t="e">
        <f>SUM(I42:I47)</f>
        <v>#REF!</v>
      </c>
      <c r="J48" s="58"/>
      <c r="K48" s="58"/>
      <c r="L48" s="84"/>
      <c r="M48" s="72"/>
      <c r="N48" s="106"/>
    </row>
    <row r="49" spans="2:14" s="14" customFormat="1" hidden="1" x14ac:dyDescent="0.4">
      <c r="B49" s="263"/>
      <c r="C49" s="267" t="s">
        <v>4</v>
      </c>
      <c r="D49" s="54" t="s">
        <v>9</v>
      </c>
      <c r="E49" s="73" t="e">
        <f t="shared" ref="E49:E54" si="16">IF(G48="","",IF(G49="","",IF(G48+1&gt;DATE($B$42+1,3,31),"",G48+1)))</f>
        <v>#REF!</v>
      </c>
      <c r="F49" s="46" t="e">
        <f t="shared" si="13"/>
        <v>#REF!</v>
      </c>
      <c r="G49" s="102" t="e">
        <f>IF(G48="","",IF(G48+1&gt;DATE($B$42+1,3,31),"",IF(OR($C$20="",$C$21=""),"",IF($C$20="月末",IF(EOMONTH(G48,VLOOKUP($C$21,#REF!,2,FALSE))&gt;DATE($B$42+1,3,31),"",EOMONTH(G48,VLOOKUP($C$21,#REF!,2,FALSE))),IF(EOMONTH(G48,VLOOKUP($C$21,#REF!,2,FALSE)-1)+$C$20&gt;DATE($B$42+1,3,31),"",EOMONTH(G48,VLOOKUP($C$21,#REF!,2,FALSE)-1)+$C$20)))))</f>
        <v>#REF!</v>
      </c>
      <c r="H49" s="46" t="e">
        <f>IF(G49="","",TEXT(G49,"aaa"))</f>
        <v>#REF!</v>
      </c>
      <c r="I49" s="47" t="e">
        <f>IF(G49="","",DATEDIF(E49,G49,"D")+1)</f>
        <v>#REF!</v>
      </c>
      <c r="J49" s="50" t="e" cm="1">
        <f t="array" ref="J49">_xlfn.SINGLE(IF(G49&lt;&gt;"",IF($C$6="","",IF(J42:J47&lt;&gt;"",IF(MIN(J42:J47)&lt;=0,"",IF(MIN(J42:J47)=$C$8,MIN(J42:J47)-$C$8,MIN(J42:J47)-$C$7)),"")),""))</f>
        <v>#REF!</v>
      </c>
      <c r="K49" s="50" t="str" cm="1">
        <f t="array" ref="K49">_xlfn.SINGLE(IF($C$13="","",IF(K42:K47&lt;&gt;"",IF(MIN(K42:K47)&lt;=0,"",IF(MIN(K42:K47)=$C$15,MIN(K42:K47)-$C$15,MIN(K42:K47)-$C$14)),"")))</f>
        <v/>
      </c>
      <c r="L49" s="85" t="e" cm="1">
        <f t="array" ref="L49">IF(AND(OR(J49=0,J49=""),OR(K49=0,K49="")),"",_xlfn.IFS($C$22&gt;=0.0035,0.003,$C$22&lt;0.0005,0,$C$22&lt;0.0035,$C$22-0.0005))</f>
        <v>#REF!</v>
      </c>
      <c r="M49" s="63" t="str">
        <f t="shared" ref="M49:M54" si="17">IF(OR(K49="",K49=0),"",IF(G49="","",$C$14))</f>
        <v/>
      </c>
      <c r="N49" s="106"/>
    </row>
    <row r="50" spans="2:14" s="14" customFormat="1" hidden="1" x14ac:dyDescent="0.4">
      <c r="B50" s="263"/>
      <c r="C50" s="266"/>
      <c r="D50" s="49" t="s">
        <v>8</v>
      </c>
      <c r="E50" s="73" t="e">
        <f t="shared" si="16"/>
        <v>#REF!</v>
      </c>
      <c r="F50" s="46" t="e">
        <f t="shared" si="13"/>
        <v>#REF!</v>
      </c>
      <c r="G50" s="102" t="e">
        <f>IF(G49="","",IF(G49+1&gt;DATE($B$42+1,3,31),"",IF(OR($C$20="",$C$21=""),"",IF($C$20="月末",IF(EOMONTH(G49,VLOOKUP($C$21,#REF!,2,FALSE))&gt;DATE($B$42+1,3,31),"",EOMONTH(G49,VLOOKUP($C$21,#REF!,2,FALSE))),IF(EOMONTH(G49,VLOOKUP($C$21,#REF!,2,FALSE)-1)+$C$20&gt;DATE($B$42+1,3,31),"",EOMONTH(G49,VLOOKUP($C$21,#REF!,2,FALSE)-1)+$C$20)))))</f>
        <v>#REF!</v>
      </c>
      <c r="H50" s="46" t="e">
        <f t="shared" ref="H50:H62" si="18">IF(G50="","",TEXT(G50,"aaa"))</f>
        <v>#REF!</v>
      </c>
      <c r="I50" s="47" t="e">
        <f>IF(G50="","",DATEDIF(E50,G50,"D")+1)</f>
        <v>#REF!</v>
      </c>
      <c r="J50" s="50" t="e">
        <f t="shared" ref="J50:J54" si="19">IF(G50&lt;&gt;"",IF($C$6="","",IF(J49="","",IF(J49&lt;=0,"",IF(J49=$C$8,J49-$C$8,J49-$C$7)))),"")</f>
        <v>#REF!</v>
      </c>
      <c r="K50" s="50" t="e">
        <f>IF(G50&lt;&gt;"",IF($C$13="","",IF(K49="","",IF(K49&lt;=0,"",IF(K49=$C$15,K49-$C$15,K49-$C$14)))),"")</f>
        <v>#REF!</v>
      </c>
      <c r="L50" s="82" t="e" cm="1">
        <f t="array" ref="L50">IF(AND(OR(J50=0,J50=""),OR(K50=0,K50="")),"",_xlfn.IFS($C$22&gt;=0.0035,0.003,$C$22&lt;0.0005,0,$C$22&lt;0.0035,$C$22-0.0005))</f>
        <v>#REF!</v>
      </c>
      <c r="M50" s="66" t="e">
        <f t="shared" si="17"/>
        <v>#REF!</v>
      </c>
      <c r="N50" s="106"/>
    </row>
    <row r="51" spans="2:14" s="14" customFormat="1" hidden="1" x14ac:dyDescent="0.4">
      <c r="B51" s="263"/>
      <c r="C51" s="266"/>
      <c r="D51" s="49" t="s">
        <v>37</v>
      </c>
      <c r="E51" s="73" t="e">
        <f t="shared" si="16"/>
        <v>#REF!</v>
      </c>
      <c r="F51" s="46" t="e">
        <f t="shared" si="13"/>
        <v>#REF!</v>
      </c>
      <c r="G51" s="102" t="e">
        <f>IF(G50="","",IF(G50+1&gt;DATE($B$42+1,3,31),"",IF(OR($C$20="",$C$21=""),"",IF($C$20="月末",IF(EOMONTH(G50,VLOOKUP($C$21,#REF!,2,FALSE))&gt;DATE($B$42+1,3,31),"",EOMONTH(G50,VLOOKUP($C$21,#REF!,2,FALSE))),IF(EOMONTH(G50,VLOOKUP($C$21,#REF!,2,FALSE)-1)+$C$20&gt;DATE($B$42+1,3,31),"",EOMONTH(G50,VLOOKUP($C$21,#REF!,2,FALSE)-1)+$C$20)))))</f>
        <v>#REF!</v>
      </c>
      <c r="H51" s="46" t="e">
        <f t="shared" si="18"/>
        <v>#REF!</v>
      </c>
      <c r="I51" s="47" t="e">
        <f t="shared" ref="I51:I53" si="20">IF(G51="","",DATEDIF(E51,G51,"D")+1)</f>
        <v>#REF!</v>
      </c>
      <c r="J51" s="50" t="e">
        <f t="shared" si="19"/>
        <v>#REF!</v>
      </c>
      <c r="K51" s="50" t="e">
        <f>IF(G51&lt;&gt;"",IF($C$13="","",IF(K50="","",IF(K50&lt;=0,"",IF(K50=$C$15,K50-$C$15,K50-$C$14)))),"")</f>
        <v>#REF!</v>
      </c>
      <c r="L51" s="82" t="e" cm="1">
        <f t="array" ref="L51">IF(AND(OR(J51=0,J51=""),OR(K51=0,K51="")),"",_xlfn.IFS($C$22&gt;=0.0035,0.003,$C$22&lt;0.0005,0,$C$22&lt;0.0035,$C$22-0.0005))</f>
        <v>#REF!</v>
      </c>
      <c r="M51" s="66" t="e">
        <f t="shared" si="17"/>
        <v>#REF!</v>
      </c>
      <c r="N51" s="106"/>
    </row>
    <row r="52" spans="2:14" s="14" customFormat="1" hidden="1" x14ac:dyDescent="0.4">
      <c r="B52" s="263"/>
      <c r="C52" s="266"/>
      <c r="D52" s="49" t="s">
        <v>38</v>
      </c>
      <c r="E52" s="73" t="e">
        <f t="shared" si="16"/>
        <v>#REF!</v>
      </c>
      <c r="F52" s="46" t="e">
        <f t="shared" si="13"/>
        <v>#REF!</v>
      </c>
      <c r="G52" s="102" t="e">
        <f>IF(G51="","",IF(G51+1&gt;DATE($B$42+1,3,31),"",IF(OR($C$20="",$C$21=""),"",IF($C$20="月末",IF(EOMONTH(G51,VLOOKUP($C$21,#REF!,2,FALSE))&gt;DATE($B$42+1,3,31),"",EOMONTH(G51,VLOOKUP($C$21,#REF!,2,FALSE))),IF(EOMONTH(G51,VLOOKUP($C$21,#REF!,2,FALSE)-1)+$C$20&gt;DATE($B$42+1,3,31),"",EOMONTH(G51,VLOOKUP($C$21,#REF!,2,FALSE)-1)+$C$20)))))</f>
        <v>#REF!</v>
      </c>
      <c r="H52" s="46" t="e">
        <f t="shared" si="18"/>
        <v>#REF!</v>
      </c>
      <c r="I52" s="47" t="e">
        <f t="shared" si="20"/>
        <v>#REF!</v>
      </c>
      <c r="J52" s="50" t="e">
        <f t="shared" si="19"/>
        <v>#REF!</v>
      </c>
      <c r="K52" s="50" t="e">
        <f>IF(G52&lt;&gt;"",IF($C$13="","",IF(K51="","",IF(K51&lt;=0,"",IF(K51=$C$15,K51-$C$15,K51-$C$14)))),"")</f>
        <v>#REF!</v>
      </c>
      <c r="L52" s="82" t="e" cm="1">
        <f t="array" ref="L52">IF(AND(OR(J52=0,J52=""),OR(K52=0,K52="")),"",_xlfn.IFS($C$22&gt;=0.0035,0.003,$C$22&lt;0.0005,0,$C$22&lt;0.0035,$C$22-0.0005))</f>
        <v>#REF!</v>
      </c>
      <c r="M52" s="66" t="e">
        <f t="shared" si="17"/>
        <v>#REF!</v>
      </c>
      <c r="N52" s="106"/>
    </row>
    <row r="53" spans="2:14" s="14" customFormat="1" hidden="1" x14ac:dyDescent="0.4">
      <c r="B53" s="263"/>
      <c r="C53" s="266"/>
      <c r="D53" s="49" t="s">
        <v>39</v>
      </c>
      <c r="E53" s="73" t="e">
        <f t="shared" si="16"/>
        <v>#REF!</v>
      </c>
      <c r="F53" s="46" t="e">
        <f t="shared" si="13"/>
        <v>#REF!</v>
      </c>
      <c r="G53" s="102" t="e">
        <f>IF(G52="","",IF(G52+1&gt;DATE($B$42+1,3,31),"",IF(OR($C$20="",$C$21=""),"",IF($C$20="月末",IF(EOMONTH(G52,VLOOKUP($C$21,#REF!,2,FALSE))&gt;DATE($B$42+1,3,31),"",EOMONTH(G52,VLOOKUP($C$21,#REF!,2,FALSE))),IF(EOMONTH(G52,VLOOKUP($C$21,#REF!,2,FALSE)-1)+$C$20&gt;DATE($B$42+1,3,31),"",EOMONTH(G52,VLOOKUP($C$21,#REF!,2,FALSE)-1)+$C$20)))))</f>
        <v>#REF!</v>
      </c>
      <c r="H53" s="46" t="e">
        <f t="shared" si="18"/>
        <v>#REF!</v>
      </c>
      <c r="I53" s="47" t="e">
        <f t="shared" si="20"/>
        <v>#REF!</v>
      </c>
      <c r="J53" s="50" t="e">
        <f t="shared" si="19"/>
        <v>#REF!</v>
      </c>
      <c r="K53" s="50" t="e">
        <f>IF(G53&lt;&gt;"",IF($C$13="","",IF(K52="","",IF(K52&lt;=0,"",IF(K52=$C$15,K52-$C$15,K52-$C$14)))),"")</f>
        <v>#REF!</v>
      </c>
      <c r="L53" s="82" t="e" cm="1">
        <f t="array" ref="L53">IF(AND(OR(J53=0,J53=""),OR(K53=0,K53="")),"",_xlfn.IFS($C$22&gt;=0.0035,0.003,$C$22&lt;0.0005,0,$C$22&lt;0.0035,$C$22-0.0005))</f>
        <v>#REF!</v>
      </c>
      <c r="M53" s="66" t="e">
        <f t="shared" si="17"/>
        <v>#REF!</v>
      </c>
      <c r="N53" s="106"/>
    </row>
    <row r="54" spans="2:14" s="14" customFormat="1" hidden="1" x14ac:dyDescent="0.4">
      <c r="B54" s="263"/>
      <c r="C54" s="266"/>
      <c r="D54" s="51" t="s">
        <v>41</v>
      </c>
      <c r="E54" s="74" t="e">
        <f t="shared" si="16"/>
        <v>#REF!</v>
      </c>
      <c r="F54" s="52" t="e">
        <f t="shared" si="13"/>
        <v>#REF!</v>
      </c>
      <c r="G54" s="102" t="e">
        <f>IF(G53="","",IF(G53+1&gt;DATE($B$42+1,3,31),"",IF(OR($C$20="",$C$21=""),"",IF($C$20="月末",IF(EOMONTH(G53,VLOOKUP($C$21,#REF!,2,FALSE))&gt;DATE($B$42+1,3,31),"",EOMONTH(G53,VLOOKUP($C$21,#REF!,2,FALSE))),IF(EOMONTH(G53,VLOOKUP($C$21,#REF!,2,FALSE)-1)+$C$20&gt;DATE($B$42+1,3,31),"",EOMONTH(G53,VLOOKUP($C$21,#REF!,2,FALSE)-1)+$C$20)))))</f>
        <v>#REF!</v>
      </c>
      <c r="H54" s="52" t="e">
        <f t="shared" si="18"/>
        <v>#REF!</v>
      </c>
      <c r="I54" s="53" t="e">
        <f>IF(G54="","",DATEDIF(E54,G54,"D")+1)</f>
        <v>#REF!</v>
      </c>
      <c r="J54" s="50" t="e">
        <f t="shared" si="19"/>
        <v>#REF!</v>
      </c>
      <c r="K54" s="50" t="e">
        <f>IF(G54&lt;&gt;"",IF($C$13="","",IF(K53="","",IF(K53&lt;=0,"",IF(K53=$C$15,K53-$C$15,K53-$C$14)))),"")</f>
        <v>#REF!</v>
      </c>
      <c r="L54" s="83" t="e" cm="1">
        <f t="array" ref="L54">IF(AND(OR(J54=0,J54=""),OR(K54=0,K54="")),"",_xlfn.IFS($C$22&gt;=0.0035,0.003,$C$22&lt;0.0005,0,$C$22&lt;0.0035,$C$22-0.0005))</f>
        <v>#REF!</v>
      </c>
      <c r="M54" s="69" t="e">
        <f t="shared" si="17"/>
        <v>#REF!</v>
      </c>
      <c r="N54" s="106"/>
    </row>
    <row r="55" spans="2:14" s="14" customFormat="1" ht="19.5" hidden="1" thickBot="1" x14ac:dyDescent="0.45">
      <c r="B55" s="265"/>
      <c r="C55" s="57" t="s">
        <v>10</v>
      </c>
      <c r="D55" s="58"/>
      <c r="E55" s="75" t="e" cm="1">
        <f t="array" ref="E55">_xlfn.SINGLE(IF(E49:E54&lt;&gt;"",MIN(E49:E54),""))</f>
        <v>#REF!</v>
      </c>
      <c r="F55" s="59" t="e">
        <f t="shared" si="13"/>
        <v>#REF!</v>
      </c>
      <c r="G55" s="75" t="e" cm="1">
        <f t="array" ref="G55">_xlfn.SINGLE(IF(G49:G54&lt;&gt;"",MAX(G49:G54),""))</f>
        <v>#REF!</v>
      </c>
      <c r="H55" s="59" t="e">
        <f t="shared" si="18"/>
        <v>#REF!</v>
      </c>
      <c r="I55" s="60" t="e">
        <f>SUM(I49:I54)</f>
        <v>#REF!</v>
      </c>
      <c r="J55" s="58"/>
      <c r="K55" s="58"/>
      <c r="L55" s="84"/>
      <c r="M55" s="72"/>
      <c r="N55" s="106"/>
    </row>
    <row r="56" spans="2:14" s="14" customFormat="1" hidden="1" x14ac:dyDescent="0.4">
      <c r="B56" s="262">
        <f t="shared" ref="B56" si="21">B42+1</f>
        <v>2026</v>
      </c>
      <c r="C56" s="266" t="s">
        <v>3</v>
      </c>
      <c r="D56" s="45" t="s">
        <v>6</v>
      </c>
      <c r="E56" s="73" t="e">
        <f t="shared" ref="E56:E61" si="22">IF(G55="","",IF(G56="","",IF(G55+1&gt;DATE($B$56+1,3,31),"",G55+1)))</f>
        <v>#REF!</v>
      </c>
      <c r="F56" s="46" t="e">
        <f t="shared" si="13"/>
        <v>#REF!</v>
      </c>
      <c r="G56" s="102" t="e">
        <f>IF(G55="","",IF(G55+1&gt;DATE($B$56,9,30),"",IF(OR($C$20="",$C$21=""),"",IF($C$20="月末",IF(EOMONTH(G55,VLOOKUP($C$21,#REF!,2,FALSE))&gt;DATE($B$56,9,30),"",EOMONTH(G55,VLOOKUP($C$21,#REF!,2,FALSE))),IF(EOMONTH(G55,VLOOKUP($C$21,#REF!,2,FALSE)-1)+$C$20&gt;DATE($B$56,9,30),"",EOMONTH(G55,VLOOKUP($C$21,#REF!,2,FALSE)-1)+$C$20)))))</f>
        <v>#REF!</v>
      </c>
      <c r="H56" s="46" t="e">
        <f t="shared" si="18"/>
        <v>#REF!</v>
      </c>
      <c r="I56" s="47" t="e">
        <f>IF(G56="","",DATEDIF(E56,G56,"D")+1)</f>
        <v>#REF!</v>
      </c>
      <c r="J56" s="50" t="e" cm="1">
        <f t="array" ref="J56">_xlfn.SINGLE(IF(G56&lt;&gt;"",IF($C$6="","",IF(J49:J54&lt;&gt;"",IF(MIN(J49:J54)&lt;=0,"",IF(MIN(J49:J54)=$C$8,MIN(J49:J54)-$C$8,MIN(J49:J54)-$C$7)),"")),""))</f>
        <v>#REF!</v>
      </c>
      <c r="K56" s="50" t="str" cm="1">
        <f t="array" ref="K56">_xlfn.SINGLE(IF($C$13="","",IF(K49:K54&lt;&gt;"",IF(MIN(K49:K54)&lt;=0,"",IF(MIN(K49:K54)=$C$15,MIN(K49:K54)-$C$15,MIN(K49:K54)-$C$14)),"")))</f>
        <v/>
      </c>
      <c r="L56" s="82" t="e" cm="1">
        <f t="array" ref="L56">IF(AND(OR(J56=0,J56=""),OR(K56=0,K56="")),"",_xlfn.IFS($C$22&gt;=0.0035,0.003,$C$22&lt;0.0005,0,$C$22&lt;0.0035,$C$22-0.0005))</f>
        <v>#REF!</v>
      </c>
      <c r="M56" s="63" t="str">
        <f t="shared" ref="M56:M61" si="23">IF(OR(K56="",K56=0),"",IF(G56="","",$C$14))</f>
        <v/>
      </c>
      <c r="N56" s="106"/>
    </row>
    <row r="57" spans="2:14" s="14" customFormat="1" hidden="1" x14ac:dyDescent="0.4">
      <c r="B57" s="263"/>
      <c r="C57" s="266"/>
      <c r="D57" s="49" t="s">
        <v>7</v>
      </c>
      <c r="E57" s="73" t="e">
        <f t="shared" si="22"/>
        <v>#REF!</v>
      </c>
      <c r="F57" s="46" t="e">
        <f t="shared" si="13"/>
        <v>#REF!</v>
      </c>
      <c r="G57" s="102" t="e">
        <f>IF(G56="","",IF(G56+1&gt;DATE($B$56,9,30),"",IF(OR($C$20="",$C$21=""),"",IF($C$20="月末",IF(EOMONTH(G56,VLOOKUP($C$21,#REF!,2,FALSE))&gt;DATE($B$56,9,30),"",EOMONTH(G56,VLOOKUP($C$21,#REF!,2,FALSE))),IF(EOMONTH(G56,VLOOKUP($C$21,#REF!,2,FALSE)-1)+$C$20&gt;DATE($B$56,9,30),"",EOMONTH(G56,VLOOKUP($C$21,#REF!,2,FALSE)-1)+$C$20)))))</f>
        <v>#REF!</v>
      </c>
      <c r="H57" s="46" t="e">
        <f t="shared" si="18"/>
        <v>#REF!</v>
      </c>
      <c r="I57" s="47" t="e">
        <f>IF(G57="","",DATEDIF(E57,G57,"D")+1)</f>
        <v>#REF!</v>
      </c>
      <c r="J57" s="50" t="e">
        <f t="shared" ref="J57:J61" si="24">IF(G57&lt;&gt;"",IF($C$6="","",IF(J56="","",IF(J56&lt;=0,"",IF(J56=$C$8,J56-$C$8,J56-$C$7)))),"")</f>
        <v>#REF!</v>
      </c>
      <c r="K57" s="50" t="e">
        <f>IF(G57&lt;&gt;"",IF($C$13="","",IF(K56="","",IF(K56&lt;=0,"",IF(K56=$C$15,K56-$C$15,K56-$C$14)))),"")</f>
        <v>#REF!</v>
      </c>
      <c r="L57" s="82" t="e" cm="1">
        <f t="array" ref="L57">IF(AND(OR(J57=0,J57=""),OR(K57=0,K57="")),"",_xlfn.IFS($C$22&gt;=0.0035,0.003,$C$22&lt;0.0005,0,$C$22&lt;0.0035,$C$22-0.0005))</f>
        <v>#REF!</v>
      </c>
      <c r="M57" s="66" t="e">
        <f t="shared" si="23"/>
        <v>#REF!</v>
      </c>
      <c r="N57" s="106"/>
    </row>
    <row r="58" spans="2:14" s="14" customFormat="1" hidden="1" x14ac:dyDescent="0.4">
      <c r="B58" s="263"/>
      <c r="C58" s="266"/>
      <c r="D58" s="49" t="s">
        <v>34</v>
      </c>
      <c r="E58" s="73" t="e">
        <f t="shared" si="22"/>
        <v>#REF!</v>
      </c>
      <c r="F58" s="46" t="e">
        <f t="shared" si="13"/>
        <v>#REF!</v>
      </c>
      <c r="G58" s="102" t="e">
        <f>IF(G57="","",IF(G57+1&gt;DATE($B$56,9,30),"",IF(OR($C$20="",$C$21=""),"",IF($C$20="月末",IF(EOMONTH(G57,VLOOKUP($C$21,#REF!,2,FALSE))&gt;DATE($B$56,9,30),"",EOMONTH(G57,VLOOKUP($C$21,#REF!,2,FALSE))),IF(EOMONTH(G57,VLOOKUP($C$21,#REF!,2,FALSE)-1)+$C$20&gt;DATE($B$56,9,30),"",EOMONTH(G57,VLOOKUP($C$21,#REF!,2,FALSE)-1)+$C$20)))))</f>
        <v>#REF!</v>
      </c>
      <c r="H58" s="46" t="e">
        <f t="shared" si="18"/>
        <v>#REF!</v>
      </c>
      <c r="I58" s="47" t="e">
        <f t="shared" ref="I58:I60" si="25">IF(G58="","",DATEDIF(E58,G58,"D")+1)</f>
        <v>#REF!</v>
      </c>
      <c r="J58" s="50" t="e">
        <f t="shared" si="24"/>
        <v>#REF!</v>
      </c>
      <c r="K58" s="50" t="e">
        <f>IF(G58&lt;&gt;"",IF($C$13="","",IF(K57="","",IF(K57&lt;=0,"",IF(K57=$C$15,K57-$C$15,K57-$C$14)))),"")</f>
        <v>#REF!</v>
      </c>
      <c r="L58" s="82" t="e" cm="1">
        <f t="array" ref="L58">IF(AND(OR(J58=0,J58=""),OR(K58=0,K58="")),"",_xlfn.IFS($C$22&gt;=0.0035,0.003,$C$22&lt;0.0005,0,$C$22&lt;0.0035,$C$22-0.0005))</f>
        <v>#REF!</v>
      </c>
      <c r="M58" s="66" t="e">
        <f t="shared" si="23"/>
        <v>#REF!</v>
      </c>
      <c r="N58" s="106"/>
    </row>
    <row r="59" spans="2:14" s="14" customFormat="1" hidden="1" x14ac:dyDescent="0.4">
      <c r="B59" s="263"/>
      <c r="C59" s="266"/>
      <c r="D59" s="49" t="s">
        <v>35</v>
      </c>
      <c r="E59" s="73" t="e">
        <f t="shared" si="22"/>
        <v>#REF!</v>
      </c>
      <c r="F59" s="46" t="e">
        <f t="shared" si="13"/>
        <v>#REF!</v>
      </c>
      <c r="G59" s="102" t="e">
        <f>IF(G58="","",IF(G58+1&gt;DATE($B$56,9,30),"",IF(OR($C$20="",$C$21=""),"",IF($C$20="月末",IF(EOMONTH(G58,VLOOKUP($C$21,#REF!,2,FALSE))&gt;DATE($B$56,9,30),"",EOMONTH(G58,VLOOKUP($C$21,#REF!,2,FALSE))),IF(EOMONTH(G58,VLOOKUP($C$21,#REF!,2,FALSE)-1)+$C$20&gt;DATE($B$56,9,30),"",EOMONTH(G58,VLOOKUP($C$21,#REF!,2,FALSE)-1)+$C$20)))))</f>
        <v>#REF!</v>
      </c>
      <c r="H59" s="46" t="e">
        <f t="shared" si="18"/>
        <v>#REF!</v>
      </c>
      <c r="I59" s="47" t="e">
        <f t="shared" si="25"/>
        <v>#REF!</v>
      </c>
      <c r="J59" s="50" t="e">
        <f t="shared" si="24"/>
        <v>#REF!</v>
      </c>
      <c r="K59" s="50" t="e">
        <f>IF(G59&lt;&gt;"",IF($C$13="","",IF(K58="","",IF(K58&lt;=0,"",IF(K58=$C$15,K58-$C$15,K58-$C$14)))),"")</f>
        <v>#REF!</v>
      </c>
      <c r="L59" s="82" t="e" cm="1">
        <f t="array" ref="L59">IF(AND(OR(J59=0,J59=""),OR(K59=0,K59="")),"",_xlfn.IFS($C$22&gt;=0.0035,0.003,$C$22&lt;0.0005,0,$C$22&lt;0.0035,$C$22-0.0005))</f>
        <v>#REF!</v>
      </c>
      <c r="M59" s="66" t="e">
        <f t="shared" si="23"/>
        <v>#REF!</v>
      </c>
      <c r="N59" s="106"/>
    </row>
    <row r="60" spans="2:14" s="14" customFormat="1" hidden="1" x14ac:dyDescent="0.4">
      <c r="B60" s="263"/>
      <c r="C60" s="266"/>
      <c r="D60" s="49" t="s">
        <v>36</v>
      </c>
      <c r="E60" s="73" t="e">
        <f t="shared" si="22"/>
        <v>#REF!</v>
      </c>
      <c r="F60" s="46" t="e">
        <f t="shared" si="13"/>
        <v>#REF!</v>
      </c>
      <c r="G60" s="102" t="e">
        <f>IF(G59="","",IF(G59+1&gt;DATE($B$56,9,30),"",IF(OR($C$20="",$C$21=""),"",IF($C$20="月末",IF(EOMONTH(G59,VLOOKUP($C$21,#REF!,2,FALSE))&gt;DATE($B$56,9,30),"",EOMONTH(G59,VLOOKUP($C$21,#REF!,2,FALSE))),IF(EOMONTH(G59,VLOOKUP($C$21,#REF!,2,FALSE)-1)+$C$20&gt;DATE($B$56,9,30),"",EOMONTH(G59,VLOOKUP($C$21,#REF!,2,FALSE)-1)+$C$20)))))</f>
        <v>#REF!</v>
      </c>
      <c r="H60" s="46" t="e">
        <f t="shared" si="18"/>
        <v>#REF!</v>
      </c>
      <c r="I60" s="47" t="e">
        <f t="shared" si="25"/>
        <v>#REF!</v>
      </c>
      <c r="J60" s="50" t="e">
        <f t="shared" si="24"/>
        <v>#REF!</v>
      </c>
      <c r="K60" s="50" t="e">
        <f>IF(G60&lt;&gt;"",IF($C$13="","",IF(K59="","",IF(K59&lt;=0,"",IF(K59=$C$15,K59-$C$15,K59-$C$14)))),"")</f>
        <v>#REF!</v>
      </c>
      <c r="L60" s="82" t="e" cm="1">
        <f t="array" ref="L60">IF(AND(OR(J60=0,J60=""),OR(K60=0,K60="")),"",_xlfn.IFS($C$22&gt;=0.0035,0.003,$C$22&lt;0.0005,0,$C$22&lt;0.0035,$C$22-0.0005))</f>
        <v>#REF!</v>
      </c>
      <c r="M60" s="66" t="e">
        <f t="shared" si="23"/>
        <v>#REF!</v>
      </c>
      <c r="N60" s="106"/>
    </row>
    <row r="61" spans="2:14" s="14" customFormat="1" hidden="1" x14ac:dyDescent="0.4">
      <c r="B61" s="263"/>
      <c r="C61" s="266"/>
      <c r="D61" s="51" t="s">
        <v>40</v>
      </c>
      <c r="E61" s="74" t="e">
        <f t="shared" si="22"/>
        <v>#REF!</v>
      </c>
      <c r="F61" s="52" t="e">
        <f t="shared" si="13"/>
        <v>#REF!</v>
      </c>
      <c r="G61" s="102" t="e">
        <f>IF(G60="","",IF(G60+1&gt;DATE($B$56,9,30),"",IF(OR($C$20="",$C$21=""),"",IF($C$20="月末",IF(EOMONTH(G60,VLOOKUP($C$21,#REF!,2,FALSE))&gt;DATE($B$56,9,30),"",EOMONTH(G60,VLOOKUP($C$21,#REF!,2,FALSE))),IF(EOMONTH(G60,VLOOKUP($C$21,#REF!,2,FALSE)-1)+$C$20&gt;DATE($B$56,9,30),"",EOMONTH(G60,VLOOKUP($C$21,#REF!,2,FALSE)-1)+$C$20)))))</f>
        <v>#REF!</v>
      </c>
      <c r="H61" s="52" t="e">
        <f t="shared" si="18"/>
        <v>#REF!</v>
      </c>
      <c r="I61" s="53" t="e">
        <f>IF(G61="","",DATEDIF(E61,G61,"D")+1)</f>
        <v>#REF!</v>
      </c>
      <c r="J61" s="50" t="e">
        <f t="shared" si="24"/>
        <v>#REF!</v>
      </c>
      <c r="K61" s="50" t="e">
        <f>IF(G61&lt;&gt;"",IF($C$13="","",IF(K60="","",IF(K60&lt;=0,"",IF(K60=$C$15,K60-$C$15,K60-$C$14)))),"")</f>
        <v>#REF!</v>
      </c>
      <c r="L61" s="83" t="e" cm="1">
        <f t="array" ref="L61">IF(AND(OR(J61=0,J61=""),OR(K61=0,K61="")),"",_xlfn.IFS($C$22&gt;=0.0035,0.003,$C$22&lt;0.0005,0,$C$22&lt;0.0035,$C$22-0.0005))</f>
        <v>#REF!</v>
      </c>
      <c r="M61" s="69" t="e">
        <f t="shared" si="23"/>
        <v>#REF!</v>
      </c>
      <c r="N61" s="106"/>
    </row>
    <row r="62" spans="2:14" s="14" customFormat="1" ht="19.5" hidden="1" thickBot="1" x14ac:dyDescent="0.45">
      <c r="B62" s="264"/>
      <c r="C62" s="57" t="s">
        <v>10</v>
      </c>
      <c r="D62" s="58"/>
      <c r="E62" s="75" t="e" cm="1">
        <f t="array" ref="E62">_xlfn.SINGLE(IF(E56:E61&lt;&gt;"",MIN(E56:E61),""))</f>
        <v>#REF!</v>
      </c>
      <c r="F62" s="59" t="e">
        <f t="shared" si="13"/>
        <v>#REF!</v>
      </c>
      <c r="G62" s="75" t="e" cm="1">
        <f t="array" ref="G62">_xlfn.SINGLE(IF(G56:G61&lt;&gt;"",MAX(G56:G61),""))</f>
        <v>#REF!</v>
      </c>
      <c r="H62" s="59" t="e">
        <f t="shared" si="18"/>
        <v>#REF!</v>
      </c>
      <c r="I62" s="60" t="e">
        <f>SUM(I56:I61)</f>
        <v>#REF!</v>
      </c>
      <c r="J62" s="58"/>
      <c r="K62" s="58"/>
      <c r="L62" s="84"/>
      <c r="M62" s="72"/>
      <c r="N62" s="106"/>
    </row>
    <row r="63" spans="2:14" s="14" customFormat="1" hidden="1" x14ac:dyDescent="0.4">
      <c r="B63" s="263"/>
      <c r="C63" s="267" t="s">
        <v>4</v>
      </c>
      <c r="D63" s="54" t="s">
        <v>9</v>
      </c>
      <c r="E63" s="73" t="e">
        <f t="shared" ref="E63:E68" si="26">IF(G62="","",IF(G63="","",IF(G62+1&gt;DATE($B$56+1,3,31),"",G62+1)))</f>
        <v>#REF!</v>
      </c>
      <c r="F63" s="46" t="e">
        <f t="shared" si="13"/>
        <v>#REF!</v>
      </c>
      <c r="G63" s="102" t="e">
        <f>IF(G62="","",IF(G62+1&gt;DATE($B$56+1,3,31),"",IF(OR($C$20="",$C$21=""),"",IF($C$20="月末",IF(EOMONTH(G62,VLOOKUP($C$21,#REF!,2,FALSE))&gt;DATE($B$56+1,3,31),"",EOMONTH(G62,VLOOKUP($C$21,#REF!,2,FALSE))),IF(EOMONTH(G62,VLOOKUP($C$21,#REF!,2,FALSE)-1)+$C$20&gt;DATE($B$56+1,3,31),"",EOMONTH(G62,VLOOKUP($C$21,#REF!,2,FALSE)-1)+$C$20)))))</f>
        <v>#REF!</v>
      </c>
      <c r="H63" s="46" t="e">
        <f>IF(G63="","",TEXT(G63,"aaa"))</f>
        <v>#REF!</v>
      </c>
      <c r="I63" s="47" t="e">
        <f>IF(G63="","",DATEDIF(E63,G63,"D")+1)</f>
        <v>#REF!</v>
      </c>
      <c r="J63" s="50" t="e" cm="1">
        <f t="array" ref="J63">_xlfn.SINGLE(IF(G63&lt;&gt;"",IF($C$6="","",IF(J56:J61&lt;&gt;"",IF(MIN(J56:J61)&lt;=0,"",IF(MIN(J56:J61)=$C$8,MIN(J56:J61)-$C$8,MIN(J56:J61)-$C$7)),"")),""))</f>
        <v>#REF!</v>
      </c>
      <c r="K63" s="50" t="str" cm="1">
        <f t="array" ref="K63">_xlfn.SINGLE(IF($C$13="","",IF(K56:K61&lt;&gt;"",IF(MIN(K56:K61)&lt;=0,"",IF(MIN(K56:K61)=$C$15,MIN(K56:K61)-$C$15,MIN(K56:K61)-$C$14)),"")))</f>
        <v/>
      </c>
      <c r="L63" s="85" t="e" cm="1">
        <f t="array" ref="L63">IF(AND(OR(J63=0,J63=""),OR(K63=0,K63="")),"",_xlfn.IFS($C$22&gt;=0.0035,0.003,$C$22&lt;0.0005,0,$C$22&lt;0.0035,$C$22-0.0005))</f>
        <v>#REF!</v>
      </c>
      <c r="M63" s="63" t="str">
        <f t="shared" ref="M63:M68" si="27">IF(OR(K63="",K63=0),"",IF(G63="","",$C$14))</f>
        <v/>
      </c>
      <c r="N63" s="106"/>
    </row>
    <row r="64" spans="2:14" s="14" customFormat="1" hidden="1" x14ac:dyDescent="0.4">
      <c r="B64" s="263"/>
      <c r="C64" s="266"/>
      <c r="D64" s="49" t="s">
        <v>8</v>
      </c>
      <c r="E64" s="73" t="e">
        <f t="shared" si="26"/>
        <v>#REF!</v>
      </c>
      <c r="F64" s="46" t="e">
        <f t="shared" si="13"/>
        <v>#REF!</v>
      </c>
      <c r="G64" s="102" t="e">
        <f>IF(G63="","",IF(G63+1&gt;DATE($B$56+1,3,31),"",IF(OR($C$20="",$C$21=""),"",IF($C$20="月末",IF(EOMONTH(G63,VLOOKUP($C$21,#REF!,2,FALSE))&gt;DATE($B$56+1,3,31),"",EOMONTH(G63,VLOOKUP($C$21,#REF!,2,FALSE))),IF(EOMONTH(G63,VLOOKUP($C$21,#REF!,2,FALSE)-1)+$C$20&gt;DATE($B$56+1,3,31),"",EOMONTH(G63,VLOOKUP($C$21,#REF!,2,FALSE)-1)+$C$20)))))</f>
        <v>#REF!</v>
      </c>
      <c r="H64" s="46" t="e">
        <f t="shared" ref="H64:H76" si="28">IF(G64="","",TEXT(G64,"aaa"))</f>
        <v>#REF!</v>
      </c>
      <c r="I64" s="47" t="e">
        <f>IF(G64="","",DATEDIF(E64,G64,"D")+1)</f>
        <v>#REF!</v>
      </c>
      <c r="J64" s="50" t="e">
        <f t="shared" ref="J64:J68" si="29">IF(G64&lt;&gt;"",IF($C$6="","",IF(J63="","",IF(J63&lt;=0,"",IF(J63=$C$8,J63-$C$8,J63-$C$7)))),"")</f>
        <v>#REF!</v>
      </c>
      <c r="K64" s="50" t="e">
        <f>IF(G64&lt;&gt;"",IF($C$13="","",IF(K63="","",IF(K63&lt;=0,"",IF(K63=$C$15,K63-$C$15,K63-$C$14)))),"")</f>
        <v>#REF!</v>
      </c>
      <c r="L64" s="82" t="e" cm="1">
        <f t="array" ref="L64">IF(AND(OR(J64=0,J64=""),OR(K64=0,K64="")),"",_xlfn.IFS($C$22&gt;=0.0035,0.003,$C$22&lt;0.0005,0,$C$22&lt;0.0035,$C$22-0.0005))</f>
        <v>#REF!</v>
      </c>
      <c r="M64" s="66" t="e">
        <f t="shared" si="27"/>
        <v>#REF!</v>
      </c>
      <c r="N64" s="106"/>
    </row>
    <row r="65" spans="2:14" s="14" customFormat="1" hidden="1" x14ac:dyDescent="0.4">
      <c r="B65" s="263"/>
      <c r="C65" s="266"/>
      <c r="D65" s="49" t="s">
        <v>37</v>
      </c>
      <c r="E65" s="73" t="e">
        <f t="shared" si="26"/>
        <v>#REF!</v>
      </c>
      <c r="F65" s="46" t="e">
        <f t="shared" si="13"/>
        <v>#REF!</v>
      </c>
      <c r="G65" s="102" t="e">
        <f>IF(G64="","",IF(G64+1&gt;DATE($B$56+1,3,31),"",IF(OR($C$20="",$C$21=""),"",IF($C$20="月末",IF(EOMONTH(G64,VLOOKUP($C$21,#REF!,2,FALSE))&gt;DATE($B$56+1,3,31),"",EOMONTH(G64,VLOOKUP($C$21,#REF!,2,FALSE))),IF(EOMONTH(G64,VLOOKUP($C$21,#REF!,2,FALSE)-1)+$C$20&gt;DATE($B$56+1,3,31),"",EOMONTH(G64,VLOOKUP($C$21,#REF!,2,FALSE)-1)+$C$20)))))</f>
        <v>#REF!</v>
      </c>
      <c r="H65" s="46" t="e">
        <f t="shared" si="28"/>
        <v>#REF!</v>
      </c>
      <c r="I65" s="47" t="e">
        <f t="shared" ref="I65:I67" si="30">IF(G65="","",DATEDIF(E65,G65,"D")+1)</f>
        <v>#REF!</v>
      </c>
      <c r="J65" s="50" t="e">
        <f t="shared" si="29"/>
        <v>#REF!</v>
      </c>
      <c r="K65" s="50" t="e">
        <f>IF(G65&lt;&gt;"",IF($C$13="","",IF(K64="","",IF(K64&lt;=0,"",IF(K64=$C$15,K64-$C$15,K64-$C$14)))),"")</f>
        <v>#REF!</v>
      </c>
      <c r="L65" s="82" t="e" cm="1">
        <f t="array" ref="L65">IF(AND(OR(J65=0,J65=""),OR(K65=0,K65="")),"",_xlfn.IFS($C$22&gt;=0.0035,0.003,$C$22&lt;0.0005,0,$C$22&lt;0.0035,$C$22-0.0005))</f>
        <v>#REF!</v>
      </c>
      <c r="M65" s="66" t="e">
        <f t="shared" si="27"/>
        <v>#REF!</v>
      </c>
      <c r="N65" s="106"/>
    </row>
    <row r="66" spans="2:14" s="14" customFormat="1" hidden="1" x14ac:dyDescent="0.4">
      <c r="B66" s="263"/>
      <c r="C66" s="266"/>
      <c r="D66" s="49" t="s">
        <v>38</v>
      </c>
      <c r="E66" s="73" t="e">
        <f t="shared" si="26"/>
        <v>#REF!</v>
      </c>
      <c r="F66" s="46" t="e">
        <f t="shared" si="13"/>
        <v>#REF!</v>
      </c>
      <c r="G66" s="102" t="e">
        <f>IF(G65="","",IF(G65+1&gt;DATE($B$56+1,3,31),"",IF(OR($C$20="",$C$21=""),"",IF($C$20="月末",IF(EOMONTH(G65,VLOOKUP($C$21,#REF!,2,FALSE))&gt;DATE($B$56+1,3,31),"",EOMONTH(G65,VLOOKUP($C$21,#REF!,2,FALSE))),IF(EOMONTH(G65,VLOOKUP($C$21,#REF!,2,FALSE)-1)+$C$20&gt;DATE($B$56+1,3,31),"",EOMONTH(G65,VLOOKUP($C$21,#REF!,2,FALSE)-1)+$C$20)))))</f>
        <v>#REF!</v>
      </c>
      <c r="H66" s="46" t="e">
        <f t="shared" si="28"/>
        <v>#REF!</v>
      </c>
      <c r="I66" s="47" t="e">
        <f t="shared" si="30"/>
        <v>#REF!</v>
      </c>
      <c r="J66" s="50" t="e">
        <f t="shared" si="29"/>
        <v>#REF!</v>
      </c>
      <c r="K66" s="50" t="e">
        <f>IF(G66&lt;&gt;"",IF($C$13="","",IF(K65="","",IF(K65&lt;=0,"",IF(K65=$C$15,K65-$C$15,K65-$C$14)))),"")</f>
        <v>#REF!</v>
      </c>
      <c r="L66" s="82" t="e" cm="1">
        <f t="array" ref="L66">IF(AND(OR(J66=0,J66=""),OR(K66=0,K66="")),"",_xlfn.IFS($C$22&gt;=0.0035,0.003,$C$22&lt;0.0005,0,$C$22&lt;0.0035,$C$22-0.0005))</f>
        <v>#REF!</v>
      </c>
      <c r="M66" s="66" t="e">
        <f t="shared" si="27"/>
        <v>#REF!</v>
      </c>
      <c r="N66" s="106"/>
    </row>
    <row r="67" spans="2:14" s="14" customFormat="1" hidden="1" x14ac:dyDescent="0.4">
      <c r="B67" s="263"/>
      <c r="C67" s="266"/>
      <c r="D67" s="49" t="s">
        <v>39</v>
      </c>
      <c r="E67" s="73" t="e">
        <f t="shared" si="26"/>
        <v>#REF!</v>
      </c>
      <c r="F67" s="46" t="e">
        <f t="shared" si="13"/>
        <v>#REF!</v>
      </c>
      <c r="G67" s="102" t="e">
        <f>IF(G66="","",IF(G66+1&gt;DATE($B$56+1,3,31),"",IF(OR($C$20="",$C$21=""),"",IF($C$20="月末",IF(EOMONTH(G66,VLOOKUP($C$21,#REF!,2,FALSE))&gt;DATE($B$56+1,3,31),"",EOMONTH(G66,VLOOKUP($C$21,#REF!,2,FALSE))),IF(EOMONTH(G66,VLOOKUP($C$21,#REF!,2,FALSE)-1)+$C$20&gt;DATE($B$56+1,3,31),"",EOMONTH(G66,VLOOKUP($C$21,#REF!,2,FALSE)-1)+$C$20)))))</f>
        <v>#REF!</v>
      </c>
      <c r="H67" s="46" t="e">
        <f t="shared" si="28"/>
        <v>#REF!</v>
      </c>
      <c r="I67" s="47" t="e">
        <f t="shared" si="30"/>
        <v>#REF!</v>
      </c>
      <c r="J67" s="50" t="e">
        <f t="shared" si="29"/>
        <v>#REF!</v>
      </c>
      <c r="K67" s="50" t="e">
        <f>IF(G67&lt;&gt;"",IF($C$13="","",IF(K66="","",IF(K66&lt;=0,"",IF(K66=$C$15,K66-$C$15,K66-$C$14)))),"")</f>
        <v>#REF!</v>
      </c>
      <c r="L67" s="82" t="e" cm="1">
        <f t="array" ref="L67">IF(AND(OR(J67=0,J67=""),OR(K67=0,K67="")),"",_xlfn.IFS($C$22&gt;=0.0035,0.003,$C$22&lt;0.0005,0,$C$22&lt;0.0035,$C$22-0.0005))</f>
        <v>#REF!</v>
      </c>
      <c r="M67" s="66" t="e">
        <f t="shared" si="27"/>
        <v>#REF!</v>
      </c>
      <c r="N67" s="106"/>
    </row>
    <row r="68" spans="2:14" s="14" customFormat="1" hidden="1" x14ac:dyDescent="0.4">
      <c r="B68" s="263"/>
      <c r="C68" s="266"/>
      <c r="D68" s="51" t="s">
        <v>41</v>
      </c>
      <c r="E68" s="74" t="e">
        <f t="shared" si="26"/>
        <v>#REF!</v>
      </c>
      <c r="F68" s="52" t="e">
        <f t="shared" si="13"/>
        <v>#REF!</v>
      </c>
      <c r="G68" s="102" t="e">
        <f>IF(G67="","",IF(G67+1&gt;DATE($B$56+1,3,31),"",IF(OR($C$20="",$C$21=""),"",IF($C$20="月末",IF(EOMONTH(G67,VLOOKUP($C$21,#REF!,2,FALSE))&gt;DATE($B$56+1,3,31),"",EOMONTH(G67,VLOOKUP($C$21,#REF!,2,FALSE))),IF(EOMONTH(G67,VLOOKUP($C$21,#REF!,2,FALSE)-1)+$C$20&gt;DATE($B$56+1,3,31),"",EOMONTH(G67,VLOOKUP($C$21,#REF!,2,FALSE)-1)+$C$20)))))</f>
        <v>#REF!</v>
      </c>
      <c r="H68" s="52" t="e">
        <f t="shared" si="28"/>
        <v>#REF!</v>
      </c>
      <c r="I68" s="53" t="e">
        <f>IF(G68="","",DATEDIF(E68,G68,"D")+1)</f>
        <v>#REF!</v>
      </c>
      <c r="J68" s="50" t="e">
        <f t="shared" si="29"/>
        <v>#REF!</v>
      </c>
      <c r="K68" s="50" t="e">
        <f>IF(G68&lt;&gt;"",IF($C$13="","",IF(K67="","",IF(K67&lt;=0,"",IF(K67=$C$15,K67-$C$15,K67-$C$14)))),"")</f>
        <v>#REF!</v>
      </c>
      <c r="L68" s="83" t="e" cm="1">
        <f t="array" ref="L68">IF(AND(OR(J68=0,J68=""),OR(K68=0,K68="")),"",_xlfn.IFS($C$22&gt;=0.0035,0.003,$C$22&lt;0.0005,0,$C$22&lt;0.0035,$C$22-0.0005))</f>
        <v>#REF!</v>
      </c>
      <c r="M68" s="69" t="e">
        <f t="shared" si="27"/>
        <v>#REF!</v>
      </c>
      <c r="N68" s="106"/>
    </row>
    <row r="69" spans="2:14" s="14" customFormat="1" ht="19.5" hidden="1" thickBot="1" x14ac:dyDescent="0.45">
      <c r="B69" s="265"/>
      <c r="C69" s="57" t="s">
        <v>10</v>
      </c>
      <c r="D69" s="58"/>
      <c r="E69" s="75" t="e" cm="1">
        <f t="array" ref="E69">_xlfn.SINGLE(IF(E63:E68&lt;&gt;"",MIN(E63:E68),""))</f>
        <v>#REF!</v>
      </c>
      <c r="F69" s="59" t="e">
        <f t="shared" si="13"/>
        <v>#REF!</v>
      </c>
      <c r="G69" s="75" t="e" cm="1">
        <f t="array" ref="G69">_xlfn.SINGLE(IF(G63:G68&lt;&gt;"",MAX(G63:G68),""))</f>
        <v>#REF!</v>
      </c>
      <c r="H69" s="59" t="e">
        <f t="shared" si="28"/>
        <v>#REF!</v>
      </c>
      <c r="I69" s="60" t="e">
        <f>SUM(I63:I68)</f>
        <v>#REF!</v>
      </c>
      <c r="J69" s="58"/>
      <c r="K69" s="58"/>
      <c r="L69" s="84"/>
      <c r="M69" s="72"/>
      <c r="N69" s="106"/>
    </row>
    <row r="70" spans="2:14" s="14" customFormat="1" hidden="1" x14ac:dyDescent="0.4">
      <c r="B70" s="262">
        <f t="shared" ref="B70" si="31">B56+1</f>
        <v>2027</v>
      </c>
      <c r="C70" s="266" t="s">
        <v>3</v>
      </c>
      <c r="D70" s="45" t="s">
        <v>6</v>
      </c>
      <c r="E70" s="73" t="e">
        <f t="shared" ref="E70:E75" si="32">IF(G69="","",IF(G70="","",IF(G69+1&gt;DATE($B$70+1,3,31),"",G69+1)))</f>
        <v>#REF!</v>
      </c>
      <c r="F70" s="46" t="e">
        <f t="shared" si="13"/>
        <v>#REF!</v>
      </c>
      <c r="G70" s="102" t="e">
        <f>IF(G69="","",IF(G69+1&gt;DATE($B$70,9,30),"",IF(OR($C$20="",$C$21=""),"",IF($C$20="月末",IF(EOMONTH(G69,VLOOKUP($C$21,#REF!,2,FALSE))&gt;DATE($B$70,9,30),"",EOMONTH(G69,VLOOKUP($C$21,#REF!,2,FALSE))),IF(EOMONTH(G69,VLOOKUP($C$21,#REF!,2,FALSE)-1)+$C$20&gt;DATE($B$70,9,30),"",EOMONTH(G69,VLOOKUP($C$21,#REF!,2,FALSE)-1)+$C$20)))))</f>
        <v>#REF!</v>
      </c>
      <c r="H70" s="46" t="e">
        <f t="shared" si="28"/>
        <v>#REF!</v>
      </c>
      <c r="I70" s="47" t="e">
        <f>IF(G70="","",DATEDIF(E70,G70,"D")+1)</f>
        <v>#REF!</v>
      </c>
      <c r="J70" s="50" t="e" cm="1">
        <f t="array" ref="J70">_xlfn.SINGLE(IF(G70&lt;&gt;"",IF($C$6="","",IF(J63:J68&lt;&gt;"",IF(MIN(J63:J68)&lt;=0,"",IF(MIN(J63:J68)=$C$8,MIN(J63:J68)-$C$8,MIN(J63:J68)-$C$7)),"")),""))</f>
        <v>#REF!</v>
      </c>
      <c r="K70" s="50" t="str" cm="1">
        <f t="array" ref="K70">_xlfn.SINGLE(IF($C$13="","",IF(K63:K68&lt;&gt;"",IF(MIN(K63:K68)&lt;=0,"",IF(MIN(K63:K68)=$C$15,MIN(K63:K68)-$C$15,MIN(K63:K68)-$C$14)),"")))</f>
        <v/>
      </c>
      <c r="L70" s="82" t="e" cm="1">
        <f t="array" ref="L70">IF(AND(OR(J70=0,J70=""),OR(K70=0,K70="")),"",_xlfn.IFS($C$22&gt;=0.0035,0.003,$C$22&lt;0.0005,0,$C$22&lt;0.0035,$C$22-0.0005))</f>
        <v>#REF!</v>
      </c>
      <c r="M70" s="63" t="str">
        <f t="shared" ref="M70:M75" si="33">IF(OR(K70="",K70=0),"",IF(G70="","",$C$14))</f>
        <v/>
      </c>
      <c r="N70" s="106"/>
    </row>
    <row r="71" spans="2:14" s="14" customFormat="1" hidden="1" x14ac:dyDescent="0.4">
      <c r="B71" s="263"/>
      <c r="C71" s="266"/>
      <c r="D71" s="49" t="s">
        <v>7</v>
      </c>
      <c r="E71" s="73" t="e">
        <f t="shared" si="32"/>
        <v>#REF!</v>
      </c>
      <c r="F71" s="46" t="e">
        <f t="shared" si="13"/>
        <v>#REF!</v>
      </c>
      <c r="G71" s="102" t="e">
        <f>IF(G70="","",IF(G70+1&gt;DATE($B$70,9,30),"",IF(OR($C$20="",$C$21=""),"",IF($C$20="月末",IF(EOMONTH(G70,VLOOKUP($C$21,#REF!,2,FALSE))&gt;DATE($B$70,9,30),"",EOMONTH(G70,VLOOKUP($C$21,#REF!,2,FALSE))),IF(EOMONTH(G70,VLOOKUP($C$21,#REF!,2,FALSE)-1)+$C$20&gt;DATE($B$70,9,30),"",EOMONTH(G70,VLOOKUP($C$21,#REF!,2,FALSE)-1)+$C$20)))))</f>
        <v>#REF!</v>
      </c>
      <c r="H71" s="46" t="e">
        <f t="shared" si="28"/>
        <v>#REF!</v>
      </c>
      <c r="I71" s="47" t="e">
        <f>IF(G71="","",DATEDIF(E71,G71,"D")+1)</f>
        <v>#REF!</v>
      </c>
      <c r="J71" s="50" t="e">
        <f t="shared" ref="J71:J75" si="34">IF(G71&lt;&gt;"",IF($C$6="","",IF(J70="","",IF(J70&lt;=0,"",IF(J70=$C$8,J70-$C$8,J70-$C$7)))),"")</f>
        <v>#REF!</v>
      </c>
      <c r="K71" s="50" t="e">
        <f>IF(G71&lt;&gt;"",IF($C$13="","",IF(K70="","",IF(K70&lt;=0,"",IF(K70=$C$15,K70-$C$15,K70-$C$14)))),"")</f>
        <v>#REF!</v>
      </c>
      <c r="L71" s="82" t="e" cm="1">
        <f t="array" ref="L71">IF(AND(OR(J71=0,J71=""),OR(K71=0,K71="")),"",_xlfn.IFS($C$22&gt;=0.0035,0.003,$C$22&lt;0.0005,0,$C$22&lt;0.0035,$C$22-0.0005))</f>
        <v>#REF!</v>
      </c>
      <c r="M71" s="66" t="e">
        <f t="shared" si="33"/>
        <v>#REF!</v>
      </c>
      <c r="N71" s="106"/>
    </row>
    <row r="72" spans="2:14" s="14" customFormat="1" hidden="1" x14ac:dyDescent="0.4">
      <c r="B72" s="263"/>
      <c r="C72" s="266"/>
      <c r="D72" s="49" t="s">
        <v>34</v>
      </c>
      <c r="E72" s="73" t="e">
        <f t="shared" si="32"/>
        <v>#REF!</v>
      </c>
      <c r="F72" s="46" t="e">
        <f t="shared" si="13"/>
        <v>#REF!</v>
      </c>
      <c r="G72" s="102" t="e">
        <f>IF(G71="","",IF(G71+1&gt;DATE($B$70,9,30),"",IF(OR($C$20="",$C$21=""),"",IF($C$20="月末",IF(EOMONTH(G71,VLOOKUP($C$21,#REF!,2,FALSE))&gt;DATE($B$70,9,30),"",EOMONTH(G71,VLOOKUP($C$21,#REF!,2,FALSE))),IF(EOMONTH(G71,VLOOKUP($C$21,#REF!,2,FALSE)-1)+$C$20&gt;DATE($B$70,9,30),"",EOMONTH(G71,VLOOKUP($C$21,#REF!,2,FALSE)-1)+$C$20)))))</f>
        <v>#REF!</v>
      </c>
      <c r="H72" s="46" t="e">
        <f t="shared" si="28"/>
        <v>#REF!</v>
      </c>
      <c r="I72" s="47" t="e">
        <f t="shared" ref="I72:I74" si="35">IF(G72="","",DATEDIF(E72,G72,"D")+1)</f>
        <v>#REF!</v>
      </c>
      <c r="J72" s="50" t="e">
        <f t="shared" si="34"/>
        <v>#REF!</v>
      </c>
      <c r="K72" s="50" t="e">
        <f>IF(G72&lt;&gt;"",IF($C$13="","",IF(K71="","",IF(K71&lt;=0,"",IF(K71=$C$15,K71-$C$15,K71-$C$14)))),"")</f>
        <v>#REF!</v>
      </c>
      <c r="L72" s="82" t="e" cm="1">
        <f t="array" ref="L72">IF(AND(OR(J72=0,J72=""),OR(K72=0,K72="")),"",_xlfn.IFS($C$22&gt;=0.0035,0.003,$C$22&lt;0.0005,0,$C$22&lt;0.0035,$C$22-0.0005))</f>
        <v>#REF!</v>
      </c>
      <c r="M72" s="66" t="e">
        <f t="shared" si="33"/>
        <v>#REF!</v>
      </c>
      <c r="N72" s="106"/>
    </row>
    <row r="73" spans="2:14" s="14" customFormat="1" hidden="1" x14ac:dyDescent="0.4">
      <c r="B73" s="263"/>
      <c r="C73" s="266"/>
      <c r="D73" s="49" t="s">
        <v>35</v>
      </c>
      <c r="E73" s="73" t="e">
        <f t="shared" si="32"/>
        <v>#REF!</v>
      </c>
      <c r="F73" s="46" t="e">
        <f t="shared" si="13"/>
        <v>#REF!</v>
      </c>
      <c r="G73" s="102" t="e">
        <f>IF(G72="","",IF(G72+1&gt;DATE($B$70,9,30),"",IF(OR($C$20="",$C$21=""),"",IF($C$20="月末",IF(EOMONTH(G72,VLOOKUP($C$21,#REF!,2,FALSE))&gt;DATE($B$70,9,30),"",EOMONTH(G72,VLOOKUP($C$21,#REF!,2,FALSE))),IF(EOMONTH(G72,VLOOKUP($C$21,#REF!,2,FALSE)-1)+$C$20&gt;DATE($B$70,9,30),"",EOMONTH(G72,VLOOKUP($C$21,#REF!,2,FALSE)-1)+$C$20)))))</f>
        <v>#REF!</v>
      </c>
      <c r="H73" s="46" t="e">
        <f t="shared" si="28"/>
        <v>#REF!</v>
      </c>
      <c r="I73" s="47" t="e">
        <f t="shared" si="35"/>
        <v>#REF!</v>
      </c>
      <c r="J73" s="50" t="e">
        <f t="shared" si="34"/>
        <v>#REF!</v>
      </c>
      <c r="K73" s="50" t="e">
        <f>IF(G73&lt;&gt;"",IF($C$13="","",IF(K72="","",IF(K72&lt;=0,"",IF(K72=$C$15,K72-$C$15,K72-$C$14)))),"")</f>
        <v>#REF!</v>
      </c>
      <c r="L73" s="82" t="e" cm="1">
        <f t="array" ref="L73">IF(AND(OR(J73=0,J73=""),OR(K73=0,K73="")),"",_xlfn.IFS($C$22&gt;=0.0035,0.003,$C$22&lt;0.0005,0,$C$22&lt;0.0035,$C$22-0.0005))</f>
        <v>#REF!</v>
      </c>
      <c r="M73" s="66" t="e">
        <f t="shared" si="33"/>
        <v>#REF!</v>
      </c>
      <c r="N73" s="106"/>
    </row>
    <row r="74" spans="2:14" s="14" customFormat="1" hidden="1" x14ac:dyDescent="0.4">
      <c r="B74" s="263"/>
      <c r="C74" s="266"/>
      <c r="D74" s="49" t="s">
        <v>36</v>
      </c>
      <c r="E74" s="73" t="e">
        <f t="shared" si="32"/>
        <v>#REF!</v>
      </c>
      <c r="F74" s="46" t="e">
        <f t="shared" si="13"/>
        <v>#REF!</v>
      </c>
      <c r="G74" s="102" t="e">
        <f>IF(G73="","",IF(G73+1&gt;DATE($B$70,9,30),"",IF(OR($C$20="",$C$21=""),"",IF($C$20="月末",IF(EOMONTH(G73,VLOOKUP($C$21,#REF!,2,FALSE))&gt;DATE($B$70,9,30),"",EOMONTH(G73,VLOOKUP($C$21,#REF!,2,FALSE))),IF(EOMONTH(G73,VLOOKUP($C$21,#REF!,2,FALSE)-1)+$C$20&gt;DATE($B$70,9,30),"",EOMONTH(G73,VLOOKUP($C$21,#REF!,2,FALSE)-1)+$C$20)))))</f>
        <v>#REF!</v>
      </c>
      <c r="H74" s="46" t="e">
        <f t="shared" si="28"/>
        <v>#REF!</v>
      </c>
      <c r="I74" s="47" t="e">
        <f t="shared" si="35"/>
        <v>#REF!</v>
      </c>
      <c r="J74" s="50" t="e">
        <f t="shared" si="34"/>
        <v>#REF!</v>
      </c>
      <c r="K74" s="50" t="e">
        <f>IF(G74&lt;&gt;"",IF($C$13="","",IF(K73="","",IF(K73&lt;=0,"",IF(K73=$C$15,K73-$C$15,K73-$C$14)))),"")</f>
        <v>#REF!</v>
      </c>
      <c r="L74" s="82" t="e" cm="1">
        <f t="array" ref="L74">IF(AND(OR(J74=0,J74=""),OR(K74=0,K74="")),"",_xlfn.IFS($C$22&gt;=0.0035,0.003,$C$22&lt;0.0005,0,$C$22&lt;0.0035,$C$22-0.0005))</f>
        <v>#REF!</v>
      </c>
      <c r="M74" s="66" t="e">
        <f t="shared" si="33"/>
        <v>#REF!</v>
      </c>
      <c r="N74" s="106"/>
    </row>
    <row r="75" spans="2:14" s="14" customFormat="1" hidden="1" x14ac:dyDescent="0.4">
      <c r="B75" s="263"/>
      <c r="C75" s="266"/>
      <c r="D75" s="51" t="s">
        <v>40</v>
      </c>
      <c r="E75" s="74" t="e">
        <f t="shared" si="32"/>
        <v>#REF!</v>
      </c>
      <c r="F75" s="52" t="e">
        <f t="shared" si="13"/>
        <v>#REF!</v>
      </c>
      <c r="G75" s="102" t="e">
        <f>IF(G74="","",IF(G74+1&gt;DATE($B$70,9,30),"",IF(OR($C$20="",$C$21=""),"",IF($C$20="月末",IF(EOMONTH(G74,VLOOKUP($C$21,#REF!,2,FALSE))&gt;DATE($B$70,9,30),"",EOMONTH(G74,VLOOKUP($C$21,#REF!,2,FALSE))),IF(EOMONTH(G74,VLOOKUP($C$21,#REF!,2,FALSE)-1)+$C$20&gt;DATE($B$70,9,30),"",EOMONTH(G74,VLOOKUP($C$21,#REF!,2,FALSE)-1)+$C$20)))))</f>
        <v>#REF!</v>
      </c>
      <c r="H75" s="52" t="e">
        <f t="shared" si="28"/>
        <v>#REF!</v>
      </c>
      <c r="I75" s="53" t="e">
        <f>IF(G75="","",DATEDIF(E75,G75,"D")+1)</f>
        <v>#REF!</v>
      </c>
      <c r="J75" s="50" t="e">
        <f t="shared" si="34"/>
        <v>#REF!</v>
      </c>
      <c r="K75" s="50" t="e">
        <f>IF(G75&lt;&gt;"",IF($C$13="","",IF(K74="","",IF(K74&lt;=0,"",IF(K74=$C$15,K74-$C$15,K74-$C$14)))),"")</f>
        <v>#REF!</v>
      </c>
      <c r="L75" s="83" t="e" cm="1">
        <f t="array" ref="L75">IF(AND(OR(J75=0,J75=""),OR(K75=0,K75="")),"",_xlfn.IFS($C$22&gt;=0.0035,0.003,$C$22&lt;0.0005,0,$C$22&lt;0.0035,$C$22-0.0005))</f>
        <v>#REF!</v>
      </c>
      <c r="M75" s="69" t="e">
        <f t="shared" si="33"/>
        <v>#REF!</v>
      </c>
      <c r="N75" s="106"/>
    </row>
    <row r="76" spans="2:14" s="14" customFormat="1" ht="19.5" hidden="1" thickBot="1" x14ac:dyDescent="0.45">
      <c r="B76" s="264"/>
      <c r="C76" s="57" t="s">
        <v>10</v>
      </c>
      <c r="D76" s="58"/>
      <c r="E76" s="75" t="e" cm="1">
        <f t="array" ref="E76">_xlfn.SINGLE(IF(E70:E75&lt;&gt;"",MIN(E70:E75),""))</f>
        <v>#REF!</v>
      </c>
      <c r="F76" s="59" t="e">
        <f t="shared" si="13"/>
        <v>#REF!</v>
      </c>
      <c r="G76" s="75" t="e" cm="1">
        <f t="array" ref="G76">_xlfn.SINGLE(IF(G70:G75&lt;&gt;"",MAX(G70:G75),""))</f>
        <v>#REF!</v>
      </c>
      <c r="H76" s="59" t="e">
        <f t="shared" si="28"/>
        <v>#REF!</v>
      </c>
      <c r="I76" s="60" t="e">
        <f>SUM(I70:I75)</f>
        <v>#REF!</v>
      </c>
      <c r="J76" s="58"/>
      <c r="K76" s="58"/>
      <c r="L76" s="84"/>
      <c r="M76" s="72"/>
      <c r="N76" s="106"/>
    </row>
    <row r="77" spans="2:14" s="14" customFormat="1" hidden="1" x14ac:dyDescent="0.4">
      <c r="B77" s="263"/>
      <c r="C77" s="267" t="s">
        <v>4</v>
      </c>
      <c r="D77" s="54" t="s">
        <v>9</v>
      </c>
      <c r="E77" s="73" t="e">
        <f t="shared" ref="E77:E82" si="36">IF(G76="","",IF(G77="","",IF(G76+1&gt;DATE($B$70+1,3,31),"",G76+1)))</f>
        <v>#REF!</v>
      </c>
      <c r="F77" s="46" t="e">
        <f t="shared" si="13"/>
        <v>#REF!</v>
      </c>
      <c r="G77" s="102" t="e">
        <f>IF(G76="","",IF(G76+1&gt;DATE($B$70+1,3,31),"",IF(OR($C$20="",$C$21=""),"",IF($C$20="月末",IF(EOMONTH(G76,VLOOKUP($C$21,#REF!,2,FALSE))&gt;DATE($B$70+1,3,31),"",EOMONTH(G76,VLOOKUP($C$21,#REF!,2,FALSE))),IF(EOMONTH(G76,VLOOKUP($C$21,#REF!,2,FALSE)-1)+$C$20&gt;DATE($B$70+1,3,31),"",EOMONTH(G76,VLOOKUP($C$21,#REF!,2,FALSE)-1)+$C$20)))))</f>
        <v>#REF!</v>
      </c>
      <c r="H77" s="46" t="e">
        <f>IF(G77="","",TEXT(G77,"aaa"))</f>
        <v>#REF!</v>
      </c>
      <c r="I77" s="47" t="e">
        <f>IF(G77="","",DATEDIF(E77,G77,"D")+1)</f>
        <v>#REF!</v>
      </c>
      <c r="J77" s="50" t="e" cm="1">
        <f t="array" ref="J77">_xlfn.SINGLE(IF(G77&lt;&gt;"",IF($C$6="","",IF(J70:J75&lt;&gt;"",IF(MIN(J70:J75)&lt;=0,"",IF(MIN(J70:J75)=$C$8,MIN(J70:J75)-$C$8,MIN(J70:J75)-$C$7)),"")),""))</f>
        <v>#REF!</v>
      </c>
      <c r="K77" s="50" t="str" cm="1">
        <f t="array" ref="K77">_xlfn.SINGLE(IF($C$13="","",IF(K70:K75&lt;&gt;"",IF(MIN(K70:K75)&lt;=0,"",IF(MIN(K70:K75)=$C$15,MIN(K70:K75)-$C$15,MIN(K70:K75)-$C$14)),"")))</f>
        <v/>
      </c>
      <c r="L77" s="85" t="e" cm="1">
        <f t="array" ref="L77">IF(AND(OR(J77=0,J77=""),OR(K77=0,K77="")),"",_xlfn.IFS($C$22&gt;=0.0035,0.003,$C$22&lt;0.0005,0,$C$22&lt;0.0035,$C$22-0.0005))</f>
        <v>#REF!</v>
      </c>
      <c r="M77" s="63" t="str">
        <f t="shared" ref="M77:M82" si="37">IF(OR(K77="",K77=0),"",IF(G77="","",$C$14))</f>
        <v/>
      </c>
      <c r="N77" s="106"/>
    </row>
    <row r="78" spans="2:14" s="14" customFormat="1" hidden="1" x14ac:dyDescent="0.4">
      <c r="B78" s="263"/>
      <c r="C78" s="266"/>
      <c r="D78" s="49" t="s">
        <v>8</v>
      </c>
      <c r="E78" s="73" t="e">
        <f t="shared" si="36"/>
        <v>#REF!</v>
      </c>
      <c r="F78" s="46" t="e">
        <f t="shared" si="13"/>
        <v>#REF!</v>
      </c>
      <c r="G78" s="102" t="e">
        <f>IF(G77="","",IF(G77+1&gt;DATE($B$70+1,3,31),"",IF(OR($C$20="",$C$21=""),"",IF($C$20="月末",IF(EOMONTH(G77,VLOOKUP($C$21,#REF!,2,FALSE))&gt;DATE($B$70+1,3,31),"",EOMONTH(G77,VLOOKUP($C$21,#REF!,2,FALSE))),IF(EOMONTH(G77,VLOOKUP($C$21,#REF!,2,FALSE)-1)+$C$20&gt;DATE($B$70+1,3,31),"",EOMONTH(G77,VLOOKUP($C$21,#REF!,2,FALSE)-1)+$C$20)))))</f>
        <v>#REF!</v>
      </c>
      <c r="H78" s="46" t="e">
        <f t="shared" ref="H78:H90" si="38">IF(G78="","",TEXT(G78,"aaa"))</f>
        <v>#REF!</v>
      </c>
      <c r="I78" s="47" t="e">
        <f>IF(G78="","",DATEDIF(E78,G78,"D")+1)</f>
        <v>#REF!</v>
      </c>
      <c r="J78" s="50" t="e">
        <f t="shared" ref="J78:J82" si="39">IF(G78&lt;&gt;"",IF($C$6="","",IF(J77="","",IF(J77&lt;=0,"",IF(J77=$C$8,J77-$C$8,J77-$C$7)))),"")</f>
        <v>#REF!</v>
      </c>
      <c r="K78" s="50" t="e">
        <f>IF(G78&lt;&gt;"",IF($C$13="","",IF(K77="","",IF(K77&lt;=0,"",IF(K77=$C$15,K77-$C$15,K77-$C$14)))),"")</f>
        <v>#REF!</v>
      </c>
      <c r="L78" s="82" t="e" cm="1">
        <f t="array" ref="L78">IF(AND(OR(J78=0,J78=""),OR(K78=0,K78="")),"",_xlfn.IFS($C$22&gt;=0.0035,0.003,$C$22&lt;0.0005,0,$C$22&lt;0.0035,$C$22-0.0005))</f>
        <v>#REF!</v>
      </c>
      <c r="M78" s="66" t="e">
        <f t="shared" si="37"/>
        <v>#REF!</v>
      </c>
      <c r="N78" s="106"/>
    </row>
    <row r="79" spans="2:14" s="14" customFormat="1" hidden="1" x14ac:dyDescent="0.4">
      <c r="B79" s="263"/>
      <c r="C79" s="266"/>
      <c r="D79" s="49" t="s">
        <v>37</v>
      </c>
      <c r="E79" s="73" t="e">
        <f t="shared" si="36"/>
        <v>#REF!</v>
      </c>
      <c r="F79" s="46" t="e">
        <f t="shared" si="13"/>
        <v>#REF!</v>
      </c>
      <c r="G79" s="102" t="e">
        <f>IF(G78="","",IF(G78+1&gt;DATE($B$70+1,3,31),"",IF(OR($C$20="",$C$21=""),"",IF($C$20="月末",IF(EOMONTH(G78,VLOOKUP($C$21,#REF!,2,FALSE))&gt;DATE($B$70+1,3,31),"",EOMONTH(G78,VLOOKUP($C$21,#REF!,2,FALSE))),IF(EOMONTH(G78,VLOOKUP($C$21,#REF!,2,FALSE)-1)+$C$20&gt;DATE($B$70+1,3,31),"",EOMONTH(G78,VLOOKUP($C$21,#REF!,2,FALSE)-1)+$C$20)))))</f>
        <v>#REF!</v>
      </c>
      <c r="H79" s="46" t="e">
        <f t="shared" si="38"/>
        <v>#REF!</v>
      </c>
      <c r="I79" s="47" t="e">
        <f t="shared" ref="I79:I81" si="40">IF(G79="","",DATEDIF(E79,G79,"D")+1)</f>
        <v>#REF!</v>
      </c>
      <c r="J79" s="50" t="e">
        <f t="shared" si="39"/>
        <v>#REF!</v>
      </c>
      <c r="K79" s="50" t="e">
        <f>IF(G79&lt;&gt;"",IF($C$13="","",IF(K78="","",IF(K78&lt;=0,"",IF(K78=$C$15,K78-$C$15,K78-$C$14)))),"")</f>
        <v>#REF!</v>
      </c>
      <c r="L79" s="82" t="e" cm="1">
        <f t="array" ref="L79">IF(AND(OR(J79=0,J79=""),OR(K79=0,K79="")),"",_xlfn.IFS($C$22&gt;=0.0035,0.003,$C$22&lt;0.0005,0,$C$22&lt;0.0035,$C$22-0.0005))</f>
        <v>#REF!</v>
      </c>
      <c r="M79" s="66" t="e">
        <f t="shared" si="37"/>
        <v>#REF!</v>
      </c>
      <c r="N79" s="106"/>
    </row>
    <row r="80" spans="2:14" s="14" customFormat="1" hidden="1" x14ac:dyDescent="0.4">
      <c r="B80" s="263"/>
      <c r="C80" s="266"/>
      <c r="D80" s="49" t="s">
        <v>38</v>
      </c>
      <c r="E80" s="73" t="e">
        <f t="shared" si="36"/>
        <v>#REF!</v>
      </c>
      <c r="F80" s="46" t="e">
        <f t="shared" si="13"/>
        <v>#REF!</v>
      </c>
      <c r="G80" s="102" t="e">
        <f>IF(G79="","",IF(G79+1&gt;DATE($B$70+1,3,31),"",IF(OR($C$20="",$C$21=""),"",IF($C$20="月末",IF(EOMONTH(G79,VLOOKUP($C$21,#REF!,2,FALSE))&gt;DATE($B$70+1,3,31),"",EOMONTH(G79,VLOOKUP($C$21,#REF!,2,FALSE))),IF(EOMONTH(G79,VLOOKUP($C$21,#REF!,2,FALSE)-1)+$C$20&gt;DATE($B$70+1,3,31),"",EOMONTH(G79,VLOOKUP($C$21,#REF!,2,FALSE)-1)+$C$20)))))</f>
        <v>#REF!</v>
      </c>
      <c r="H80" s="46" t="e">
        <f t="shared" si="38"/>
        <v>#REF!</v>
      </c>
      <c r="I80" s="47" t="e">
        <f t="shared" si="40"/>
        <v>#REF!</v>
      </c>
      <c r="J80" s="50" t="e">
        <f t="shared" si="39"/>
        <v>#REF!</v>
      </c>
      <c r="K80" s="50" t="e">
        <f>IF(G80&lt;&gt;"",IF($C$13="","",IF(K79="","",IF(K79&lt;=0,"",IF(K79=$C$15,K79-$C$15,K79-$C$14)))),"")</f>
        <v>#REF!</v>
      </c>
      <c r="L80" s="82" t="e" cm="1">
        <f t="array" ref="L80">IF(AND(OR(J80=0,J80=""),OR(K80=0,K80="")),"",_xlfn.IFS($C$22&gt;=0.0035,0.003,$C$22&lt;0.0005,0,$C$22&lt;0.0035,$C$22-0.0005))</f>
        <v>#REF!</v>
      </c>
      <c r="M80" s="66" t="e">
        <f t="shared" si="37"/>
        <v>#REF!</v>
      </c>
      <c r="N80" s="106"/>
    </row>
    <row r="81" spans="2:14" s="14" customFormat="1" hidden="1" x14ac:dyDescent="0.4">
      <c r="B81" s="263"/>
      <c r="C81" s="266"/>
      <c r="D81" s="49" t="s">
        <v>39</v>
      </c>
      <c r="E81" s="73" t="e">
        <f t="shared" si="36"/>
        <v>#REF!</v>
      </c>
      <c r="F81" s="46" t="e">
        <f t="shared" si="13"/>
        <v>#REF!</v>
      </c>
      <c r="G81" s="102" t="e">
        <f>IF(G80="","",IF(G80+1&gt;DATE($B$70+1,3,31),"",IF(OR($C$20="",$C$21=""),"",IF($C$20="月末",IF(EOMONTH(G80,VLOOKUP($C$21,#REF!,2,FALSE))&gt;DATE($B$70+1,3,31),"",EOMONTH(G80,VLOOKUP($C$21,#REF!,2,FALSE))),IF(EOMONTH(G80,VLOOKUP($C$21,#REF!,2,FALSE)-1)+$C$20&gt;DATE($B$70+1,3,31),"",EOMONTH(G80,VLOOKUP($C$21,#REF!,2,FALSE)-1)+$C$20)))))</f>
        <v>#REF!</v>
      </c>
      <c r="H81" s="46" t="e">
        <f t="shared" si="38"/>
        <v>#REF!</v>
      </c>
      <c r="I81" s="47" t="e">
        <f t="shared" si="40"/>
        <v>#REF!</v>
      </c>
      <c r="J81" s="50" t="e">
        <f t="shared" si="39"/>
        <v>#REF!</v>
      </c>
      <c r="K81" s="50" t="e">
        <f>IF(G81&lt;&gt;"",IF($C$13="","",IF(K80="","",IF(K80&lt;=0,"",IF(K80=$C$15,K80-$C$15,K80-$C$14)))),"")</f>
        <v>#REF!</v>
      </c>
      <c r="L81" s="82" t="e" cm="1">
        <f t="array" ref="L81">IF(AND(OR(J81=0,J81=""),OR(K81=0,K81="")),"",_xlfn.IFS($C$22&gt;=0.0035,0.003,$C$22&lt;0.0005,0,$C$22&lt;0.0035,$C$22-0.0005))</f>
        <v>#REF!</v>
      </c>
      <c r="M81" s="66" t="e">
        <f t="shared" si="37"/>
        <v>#REF!</v>
      </c>
      <c r="N81" s="106"/>
    </row>
    <row r="82" spans="2:14" s="14" customFormat="1" hidden="1" x14ac:dyDescent="0.4">
      <c r="B82" s="263"/>
      <c r="C82" s="266"/>
      <c r="D82" s="51" t="s">
        <v>41</v>
      </c>
      <c r="E82" s="74" t="e">
        <f t="shared" si="36"/>
        <v>#REF!</v>
      </c>
      <c r="F82" s="52" t="e">
        <f t="shared" si="13"/>
        <v>#REF!</v>
      </c>
      <c r="G82" s="102" t="e">
        <f>IF(G81="","",IF(G81+1&gt;DATE($B$70+1,3,31),"",IF(OR($C$20="",$C$21=""),"",IF($C$20="月末",IF(EOMONTH(G81,VLOOKUP($C$21,#REF!,2,FALSE))&gt;DATE($B$70+1,3,31),"",EOMONTH(G81,VLOOKUP($C$21,#REF!,2,FALSE))),IF(EOMONTH(G81,VLOOKUP($C$21,#REF!,2,FALSE)-1)+$C$20&gt;DATE($B$70+1,3,31),"",EOMONTH(G81,VLOOKUP($C$21,#REF!,2,FALSE)-1)+$C$20)))))</f>
        <v>#REF!</v>
      </c>
      <c r="H82" s="52" t="e">
        <f t="shared" si="38"/>
        <v>#REF!</v>
      </c>
      <c r="I82" s="53" t="e">
        <f>IF(G82="","",DATEDIF(E82,G82,"D")+1)</f>
        <v>#REF!</v>
      </c>
      <c r="J82" s="50" t="e">
        <f t="shared" si="39"/>
        <v>#REF!</v>
      </c>
      <c r="K82" s="50" t="e">
        <f>IF(G82&lt;&gt;"",IF($C$13="","",IF(K81="","",IF(K81&lt;=0,"",IF(K81=$C$15,K81-$C$15,K81-$C$14)))),"")</f>
        <v>#REF!</v>
      </c>
      <c r="L82" s="83" t="e" cm="1">
        <f t="array" ref="L82">IF(AND(OR(J82=0,J82=""),OR(K82=0,K82="")),"",_xlfn.IFS($C$22&gt;=0.0035,0.003,$C$22&lt;0.0005,0,$C$22&lt;0.0035,$C$22-0.0005))</f>
        <v>#REF!</v>
      </c>
      <c r="M82" s="69" t="e">
        <f t="shared" si="37"/>
        <v>#REF!</v>
      </c>
      <c r="N82" s="106"/>
    </row>
    <row r="83" spans="2:14" s="14" customFormat="1" ht="19.5" hidden="1" thickBot="1" x14ac:dyDescent="0.45">
      <c r="B83" s="265"/>
      <c r="C83" s="57" t="s">
        <v>10</v>
      </c>
      <c r="D83" s="58"/>
      <c r="E83" s="75" t="e" cm="1">
        <f t="array" ref="E83">_xlfn.SINGLE(IF(E77:E82&lt;&gt;"",MIN(E77:E82),""))</f>
        <v>#REF!</v>
      </c>
      <c r="F83" s="59" t="e">
        <f t="shared" si="13"/>
        <v>#REF!</v>
      </c>
      <c r="G83" s="75" t="e" cm="1">
        <f t="array" ref="G83">_xlfn.SINGLE(IF(G77:G82&lt;&gt;"",MAX(G77:G82),""))</f>
        <v>#REF!</v>
      </c>
      <c r="H83" s="59" t="e">
        <f t="shared" si="38"/>
        <v>#REF!</v>
      </c>
      <c r="I83" s="60" t="e">
        <f>SUM(I77:I82)</f>
        <v>#REF!</v>
      </c>
      <c r="J83" s="58"/>
      <c r="K83" s="58"/>
      <c r="L83" s="84"/>
      <c r="M83" s="72"/>
      <c r="N83" s="106"/>
    </row>
    <row r="84" spans="2:14" s="14" customFormat="1" hidden="1" x14ac:dyDescent="0.4">
      <c r="B84" s="262">
        <f t="shared" ref="B84" si="41">B70+1</f>
        <v>2028</v>
      </c>
      <c r="C84" s="266" t="s">
        <v>3</v>
      </c>
      <c r="D84" s="45" t="s">
        <v>6</v>
      </c>
      <c r="E84" s="73" t="e">
        <f t="shared" ref="E84:E89" si="42">IF(G83="","",IF(G84="","",IF(G83+1&gt;DATE($B$84+1,3,31),"",G83+1)))</f>
        <v>#REF!</v>
      </c>
      <c r="F84" s="46" t="e">
        <f t="shared" si="13"/>
        <v>#REF!</v>
      </c>
      <c r="G84" s="102" t="e">
        <f>IF(G83="","",IF(G83+1&gt;DATE($B$84,9,30),"",IF(OR($C$20="",$C$21=""),"",IF($C$20="月末",IF(EOMONTH(G83,VLOOKUP($C$21,#REF!,2,FALSE))&gt;DATE($B$84,9,30),"",EOMONTH(G83,VLOOKUP($C$21,#REF!,2,FALSE))),IF(EOMONTH(G83,VLOOKUP($C$21,#REF!,2,FALSE)-1)+$C$20&gt;DATE($B$84,9,30),"",EOMONTH(G83,VLOOKUP($C$21,#REF!,2,FALSE)-1)+$C$20)))))</f>
        <v>#REF!</v>
      </c>
      <c r="H84" s="46" t="e">
        <f t="shared" si="38"/>
        <v>#REF!</v>
      </c>
      <c r="I84" s="47" t="e">
        <f>IF(G84="","",DATEDIF(E84,G84,"D")+1)</f>
        <v>#REF!</v>
      </c>
      <c r="J84" s="50" t="e" cm="1">
        <f t="array" ref="J84">_xlfn.SINGLE(IF(G84&lt;&gt;"",IF($C$6="","",IF(J77:J82&lt;&gt;"",IF(MIN(J77:J82)&lt;=0,"",IF(MIN(J77:J82)=$C$8,MIN(J77:J82)-$C$8,MIN(J77:J82)-$C$7)),"")),""))</f>
        <v>#REF!</v>
      </c>
      <c r="K84" s="50" t="str" cm="1">
        <f t="array" ref="K84">_xlfn.SINGLE(IF($C$13="","",IF(K77:K82&lt;&gt;"",IF(MIN(K77:K82)&lt;=0,"",IF(MIN(K77:K82)=$C$15,MIN(K77:K82)-$C$15,MIN(K77:K82)-$C$14)),"")))</f>
        <v/>
      </c>
      <c r="L84" s="82" t="e" cm="1">
        <f t="array" ref="L84">IF(AND(OR(J84=0,J84=""),OR(K84=0,K84="")),"",_xlfn.IFS($C$22&gt;=0.0035,0.003,$C$22&lt;0.0005,0,$C$22&lt;0.0035,$C$22-0.0005))</f>
        <v>#REF!</v>
      </c>
      <c r="M84" s="63" t="str">
        <f t="shared" ref="M84:M89" si="43">IF(OR(K84="",K84=0),"",IF(G84="","",$C$14))</f>
        <v/>
      </c>
      <c r="N84" s="106"/>
    </row>
    <row r="85" spans="2:14" s="14" customFormat="1" hidden="1" x14ac:dyDescent="0.4">
      <c r="B85" s="263"/>
      <c r="C85" s="266"/>
      <c r="D85" s="49" t="s">
        <v>7</v>
      </c>
      <c r="E85" s="73" t="e">
        <f t="shared" si="42"/>
        <v>#REF!</v>
      </c>
      <c r="F85" s="46" t="e">
        <f t="shared" si="13"/>
        <v>#REF!</v>
      </c>
      <c r="G85" s="102" t="e">
        <f>IF(G84="","",IF(G84+1&gt;DATE($B$84,9,30),"",IF(OR($C$20="",$C$21=""),"",IF($C$20="月末",IF(EOMONTH(G84,VLOOKUP($C$21,#REF!,2,FALSE))&gt;DATE($B$84,9,30),"",EOMONTH(G84,VLOOKUP($C$21,#REF!,2,FALSE))),IF(EOMONTH(G84,VLOOKUP($C$21,#REF!,2,FALSE)-1)+$C$20&gt;DATE($B$84,9,30),"",EOMONTH(G84,VLOOKUP($C$21,#REF!,2,FALSE)-1)+$C$20)))))</f>
        <v>#REF!</v>
      </c>
      <c r="H85" s="46" t="e">
        <f t="shared" si="38"/>
        <v>#REF!</v>
      </c>
      <c r="I85" s="47" t="e">
        <f>IF(G85="","",DATEDIF(E85,G85,"D")+1)</f>
        <v>#REF!</v>
      </c>
      <c r="J85" s="50" t="e">
        <f t="shared" ref="J85:J89" si="44">IF(G85&lt;&gt;"",IF($C$6="","",IF(J84="","",IF(J84&lt;=0,"",IF(J84=$C$8,J84-$C$8,J84-$C$7)))),"")</f>
        <v>#REF!</v>
      </c>
      <c r="K85" s="50" t="e">
        <f>IF(G85&lt;&gt;"",IF($C$13="","",IF(K84="","",IF(K84&lt;=0,"",IF(K84=$C$15,K84-$C$15,K84-$C$14)))),"")</f>
        <v>#REF!</v>
      </c>
      <c r="L85" s="82" t="e" cm="1">
        <f t="array" ref="L85">IF(AND(OR(J85=0,J85=""),OR(K85=0,K85="")),"",_xlfn.IFS($C$22&gt;=0.0035,0.003,$C$22&lt;0.0005,0,$C$22&lt;0.0035,$C$22-0.0005))</f>
        <v>#REF!</v>
      </c>
      <c r="M85" s="66" t="e">
        <f t="shared" si="43"/>
        <v>#REF!</v>
      </c>
      <c r="N85" s="106"/>
    </row>
    <row r="86" spans="2:14" s="14" customFormat="1" hidden="1" x14ac:dyDescent="0.4">
      <c r="B86" s="263"/>
      <c r="C86" s="266"/>
      <c r="D86" s="49" t="s">
        <v>34</v>
      </c>
      <c r="E86" s="73" t="e">
        <f t="shared" si="42"/>
        <v>#REF!</v>
      </c>
      <c r="F86" s="46" t="e">
        <f t="shared" si="13"/>
        <v>#REF!</v>
      </c>
      <c r="G86" s="102" t="e">
        <f>IF(G85="","",IF(G85+1&gt;DATE($B$84,9,30),"",IF(OR($C$20="",$C$21=""),"",IF($C$20="月末",IF(EOMONTH(G85,VLOOKUP($C$21,#REF!,2,FALSE))&gt;DATE($B$84,9,30),"",EOMONTH(G85,VLOOKUP($C$21,#REF!,2,FALSE))),IF(EOMONTH(G85,VLOOKUP($C$21,#REF!,2,FALSE)-1)+$C$20&gt;DATE($B$84,9,30),"",EOMONTH(G85,VLOOKUP($C$21,#REF!,2,FALSE)-1)+$C$20)))))</f>
        <v>#REF!</v>
      </c>
      <c r="H86" s="46" t="e">
        <f t="shared" si="38"/>
        <v>#REF!</v>
      </c>
      <c r="I86" s="47" t="e">
        <f t="shared" ref="I86:I88" si="45">IF(G86="","",DATEDIF(E86,G86,"D")+1)</f>
        <v>#REF!</v>
      </c>
      <c r="J86" s="50" t="e">
        <f t="shared" si="44"/>
        <v>#REF!</v>
      </c>
      <c r="K86" s="50" t="e">
        <f>IF(G86&lt;&gt;"",IF($C$13="","",IF(K85="","",IF(K85&lt;=0,"",IF(K85=$C$15,K85-$C$15,K85-$C$14)))),"")</f>
        <v>#REF!</v>
      </c>
      <c r="L86" s="82" t="e" cm="1">
        <f t="array" ref="L86">IF(AND(OR(J86=0,J86=""),OR(K86=0,K86="")),"",_xlfn.IFS($C$22&gt;=0.0035,0.003,$C$22&lt;0.0005,0,$C$22&lt;0.0035,$C$22-0.0005))</f>
        <v>#REF!</v>
      </c>
      <c r="M86" s="66" t="e">
        <f t="shared" si="43"/>
        <v>#REF!</v>
      </c>
      <c r="N86" s="106"/>
    </row>
    <row r="87" spans="2:14" s="14" customFormat="1" hidden="1" x14ac:dyDescent="0.4">
      <c r="B87" s="263"/>
      <c r="C87" s="266"/>
      <c r="D87" s="49" t="s">
        <v>35</v>
      </c>
      <c r="E87" s="73" t="e">
        <f t="shared" si="42"/>
        <v>#REF!</v>
      </c>
      <c r="F87" s="46" t="e">
        <f t="shared" si="13"/>
        <v>#REF!</v>
      </c>
      <c r="G87" s="102" t="e">
        <f>IF(G86="","",IF(G86+1&gt;DATE($B$84,9,30),"",IF(OR($C$20="",$C$21=""),"",IF($C$20="月末",IF(EOMONTH(G86,VLOOKUP($C$21,#REF!,2,FALSE))&gt;DATE($B$84,9,30),"",EOMONTH(G86,VLOOKUP($C$21,#REF!,2,FALSE))),IF(EOMONTH(G86,VLOOKUP($C$21,#REF!,2,FALSE)-1)+$C$20&gt;DATE($B$84,9,30),"",EOMONTH(G86,VLOOKUP($C$21,#REF!,2,FALSE)-1)+$C$20)))))</f>
        <v>#REF!</v>
      </c>
      <c r="H87" s="46" t="e">
        <f t="shared" si="38"/>
        <v>#REF!</v>
      </c>
      <c r="I87" s="47" t="e">
        <f t="shared" si="45"/>
        <v>#REF!</v>
      </c>
      <c r="J87" s="50" t="e">
        <f t="shared" si="44"/>
        <v>#REF!</v>
      </c>
      <c r="K87" s="50" t="e">
        <f>IF(G87&lt;&gt;"",IF($C$13="","",IF(K86="","",IF(K86&lt;=0,"",IF(K86=$C$15,K86-$C$15,K86-$C$14)))),"")</f>
        <v>#REF!</v>
      </c>
      <c r="L87" s="82" t="e" cm="1">
        <f t="array" ref="L87">IF(AND(OR(J87=0,J87=""),OR(K87=0,K87="")),"",_xlfn.IFS($C$22&gt;=0.0035,0.003,$C$22&lt;0.0005,0,$C$22&lt;0.0035,$C$22-0.0005))</f>
        <v>#REF!</v>
      </c>
      <c r="M87" s="66" t="e">
        <f t="shared" si="43"/>
        <v>#REF!</v>
      </c>
      <c r="N87" s="106"/>
    </row>
    <row r="88" spans="2:14" s="14" customFormat="1" hidden="1" x14ac:dyDescent="0.4">
      <c r="B88" s="263"/>
      <c r="C88" s="266"/>
      <c r="D88" s="49" t="s">
        <v>36</v>
      </c>
      <c r="E88" s="73" t="e">
        <f t="shared" si="42"/>
        <v>#REF!</v>
      </c>
      <c r="F88" s="46" t="e">
        <f t="shared" si="13"/>
        <v>#REF!</v>
      </c>
      <c r="G88" s="102" t="e">
        <f>IF(G87="","",IF(G87+1&gt;DATE($B$84,9,30),"",IF(OR($C$20="",$C$21=""),"",IF($C$20="月末",IF(EOMONTH(G87,VLOOKUP($C$21,#REF!,2,FALSE))&gt;DATE($B$84,9,30),"",EOMONTH(G87,VLOOKUP($C$21,#REF!,2,FALSE))),IF(EOMONTH(G87,VLOOKUP($C$21,#REF!,2,FALSE)-1)+$C$20&gt;DATE($B$84,9,30),"",EOMONTH(G87,VLOOKUP($C$21,#REF!,2,FALSE)-1)+$C$20)))))</f>
        <v>#REF!</v>
      </c>
      <c r="H88" s="46" t="e">
        <f t="shared" si="38"/>
        <v>#REF!</v>
      </c>
      <c r="I88" s="47" t="e">
        <f t="shared" si="45"/>
        <v>#REF!</v>
      </c>
      <c r="J88" s="50" t="e">
        <f t="shared" si="44"/>
        <v>#REF!</v>
      </c>
      <c r="K88" s="50" t="e">
        <f>IF(G88&lt;&gt;"",IF($C$13="","",IF(K87="","",IF(K87&lt;=0,"",IF(K87=$C$15,K87-$C$15,K87-$C$14)))),"")</f>
        <v>#REF!</v>
      </c>
      <c r="L88" s="82" t="e" cm="1">
        <f t="array" ref="L88">IF(AND(OR(J88=0,J88=""),OR(K88=0,K88="")),"",_xlfn.IFS($C$22&gt;=0.0035,0.003,$C$22&lt;0.0005,0,$C$22&lt;0.0035,$C$22-0.0005))</f>
        <v>#REF!</v>
      </c>
      <c r="M88" s="66" t="e">
        <f t="shared" si="43"/>
        <v>#REF!</v>
      </c>
      <c r="N88" s="106"/>
    </row>
    <row r="89" spans="2:14" s="14" customFormat="1" hidden="1" x14ac:dyDescent="0.4">
      <c r="B89" s="263"/>
      <c r="C89" s="266"/>
      <c r="D89" s="51" t="s">
        <v>40</v>
      </c>
      <c r="E89" s="74" t="e">
        <f t="shared" si="42"/>
        <v>#REF!</v>
      </c>
      <c r="F89" s="52" t="e">
        <f t="shared" si="13"/>
        <v>#REF!</v>
      </c>
      <c r="G89" s="102" t="e">
        <f>IF(G88="","",IF(G88+1&gt;DATE($B$84,9,30),"",IF(OR($C$20="",$C$21=""),"",IF($C$20="月末",IF(EOMONTH(G88,VLOOKUP($C$21,#REF!,2,FALSE))&gt;DATE($B$84,9,30),"",EOMONTH(G88,VLOOKUP($C$21,#REF!,2,FALSE))),IF(EOMONTH(G88,VLOOKUP($C$21,#REF!,2,FALSE)-1)+$C$20&gt;DATE($B$84,9,30),"",EOMONTH(G88,VLOOKUP($C$21,#REF!,2,FALSE)-1)+$C$20)))))</f>
        <v>#REF!</v>
      </c>
      <c r="H89" s="52" t="e">
        <f t="shared" si="38"/>
        <v>#REF!</v>
      </c>
      <c r="I89" s="53" t="e">
        <f>IF(G89="","",DATEDIF(E89,G89,"D")+1)</f>
        <v>#REF!</v>
      </c>
      <c r="J89" s="50" t="e">
        <f t="shared" si="44"/>
        <v>#REF!</v>
      </c>
      <c r="K89" s="50" t="e">
        <f>IF(G89&lt;&gt;"",IF($C$13="","",IF(K88="","",IF(K88&lt;=0,"",IF(K88=$C$15,K88-$C$15,K88-$C$14)))),"")</f>
        <v>#REF!</v>
      </c>
      <c r="L89" s="83" t="e" cm="1">
        <f t="array" ref="L89">IF(AND(OR(J89=0,J89=""),OR(K89=0,K89="")),"",_xlfn.IFS($C$22&gt;=0.0035,0.003,$C$22&lt;0.0005,0,$C$22&lt;0.0035,$C$22-0.0005))</f>
        <v>#REF!</v>
      </c>
      <c r="M89" s="69" t="e">
        <f t="shared" si="43"/>
        <v>#REF!</v>
      </c>
      <c r="N89" s="106"/>
    </row>
    <row r="90" spans="2:14" s="14" customFormat="1" ht="19.5" hidden="1" thickBot="1" x14ac:dyDescent="0.45">
      <c r="B90" s="264"/>
      <c r="C90" s="57" t="s">
        <v>10</v>
      </c>
      <c r="D90" s="58"/>
      <c r="E90" s="75" t="e" cm="1">
        <f t="array" ref="E90">_xlfn.SINGLE(IF(E84:E89&lt;&gt;"",MIN(E84:E89),""))</f>
        <v>#REF!</v>
      </c>
      <c r="F90" s="59" t="e">
        <f t="shared" si="13"/>
        <v>#REF!</v>
      </c>
      <c r="G90" s="75" t="e" cm="1">
        <f t="array" ref="G90">_xlfn.SINGLE(IF(G84:G89&lt;&gt;"",MAX(G84:G89),""))</f>
        <v>#REF!</v>
      </c>
      <c r="H90" s="59" t="e">
        <f t="shared" si="38"/>
        <v>#REF!</v>
      </c>
      <c r="I90" s="60" t="e">
        <f>SUM(I84:I89)</f>
        <v>#REF!</v>
      </c>
      <c r="J90" s="58"/>
      <c r="K90" s="58"/>
      <c r="L90" s="84"/>
      <c r="M90" s="72"/>
      <c r="N90" s="106"/>
    </row>
    <row r="91" spans="2:14" s="14" customFormat="1" hidden="1" x14ac:dyDescent="0.4">
      <c r="B91" s="263"/>
      <c r="C91" s="267" t="s">
        <v>4</v>
      </c>
      <c r="D91" s="54" t="s">
        <v>9</v>
      </c>
      <c r="E91" s="73" t="e">
        <f t="shared" ref="E91:E96" si="46">IF(G90="","",IF(G91="","",IF(G90+1&gt;DATE($B$84+1,3,31),"",G90+1)))</f>
        <v>#REF!</v>
      </c>
      <c r="F91" s="46" t="e">
        <f t="shared" si="13"/>
        <v>#REF!</v>
      </c>
      <c r="G91" s="102" t="e">
        <f>IF(G90="","",IF(G90+1&gt;DATE($B$84+1,3,31),"",IF(OR($C$20="",$C$21=""),"",IF($C$20="月末",IF(EOMONTH(G90,VLOOKUP($C$21,#REF!,2,FALSE))&gt;DATE($B$84+1,3,31),"",EOMONTH(G90,VLOOKUP($C$21,#REF!,2,FALSE))),IF(EOMONTH(G90,VLOOKUP($C$21,#REF!,2,FALSE)-1)+$C$20&gt;DATE($B$84+1,3,31),"",EOMONTH(G90,VLOOKUP($C$21,#REF!,2,FALSE)-1)+$C$20)))))</f>
        <v>#REF!</v>
      </c>
      <c r="H91" s="46" t="e">
        <f>IF(G91="","",TEXT(G91,"aaa"))</f>
        <v>#REF!</v>
      </c>
      <c r="I91" s="47" t="e">
        <f>IF(G91="","",DATEDIF(E91,G91,"D")+1)</f>
        <v>#REF!</v>
      </c>
      <c r="J91" s="50" t="e" cm="1">
        <f t="array" ref="J91">_xlfn.SINGLE(IF(G91&lt;&gt;"",IF($C$6="","",IF(J84:J89&lt;&gt;"",IF(MIN(J84:J89)&lt;=0,"",IF(MIN(J84:J89)=$C$8,MIN(J84:J89)-$C$8,MIN(J84:J89)-$C$7)),"")),""))</f>
        <v>#REF!</v>
      </c>
      <c r="K91" s="50" t="str" cm="1">
        <f t="array" ref="K91">_xlfn.SINGLE(IF($C$13="","",IF(K84:K89&lt;&gt;"",IF(MIN(K84:K89)&lt;=0,"",IF(MIN(K84:K89)=$C$15,MIN(K84:K89)-$C$15,MIN(K84:K89)-$C$14)),"")))</f>
        <v/>
      </c>
      <c r="L91" s="85" t="e" cm="1">
        <f t="array" ref="L91">IF(AND(OR(J91=0,J91=""),OR(K91=0,K91="")),"",_xlfn.IFS($C$22&gt;=0.0035,0.003,$C$22&lt;0.0005,0,$C$22&lt;0.0035,$C$22-0.0005))</f>
        <v>#REF!</v>
      </c>
      <c r="M91" s="63" t="str">
        <f t="shared" ref="M91:M96" si="47">IF(OR(K91="",K91=0),"",IF(G91="","",$C$14))</f>
        <v/>
      </c>
      <c r="N91" s="106"/>
    </row>
    <row r="92" spans="2:14" s="14" customFormat="1" hidden="1" x14ac:dyDescent="0.4">
      <c r="B92" s="263"/>
      <c r="C92" s="266"/>
      <c r="D92" s="49" t="s">
        <v>8</v>
      </c>
      <c r="E92" s="73" t="e">
        <f t="shared" si="46"/>
        <v>#REF!</v>
      </c>
      <c r="F92" s="46" t="e">
        <f t="shared" si="13"/>
        <v>#REF!</v>
      </c>
      <c r="G92" s="102" t="e">
        <f>IF(G91="","",IF(G91+1&gt;DATE($B$84+1,3,31),"",IF(OR($C$20="",$C$21=""),"",IF($C$20="月末",IF(EOMONTH(G91,VLOOKUP($C$21,#REF!,2,FALSE))&gt;DATE($B$84+1,3,31),"",EOMONTH(G91,VLOOKUP($C$21,#REF!,2,FALSE))),IF(EOMONTH(G91,VLOOKUP($C$21,#REF!,2,FALSE)-1)+$C$20&gt;DATE($B$84+1,3,31),"",EOMONTH(G91,VLOOKUP($C$21,#REF!,2,FALSE)-1)+$C$20)))))</f>
        <v>#REF!</v>
      </c>
      <c r="H92" s="46" t="e">
        <f t="shared" ref="H92:H104" si="48">IF(G92="","",TEXT(G92,"aaa"))</f>
        <v>#REF!</v>
      </c>
      <c r="I92" s="47" t="e">
        <f>IF(G92="","",DATEDIF(E92,G92,"D")+1)</f>
        <v>#REF!</v>
      </c>
      <c r="J92" s="50" t="e">
        <f t="shared" ref="J92:J96" si="49">IF(G92&lt;&gt;"",IF($C$6="","",IF(J91="","",IF(J91&lt;=0,"",IF(J91=$C$8,J91-$C$8,J91-$C$7)))),"")</f>
        <v>#REF!</v>
      </c>
      <c r="K92" s="50" t="e">
        <f>IF(G92&lt;&gt;"",IF($C$13="","",IF(K91="","",IF(K91&lt;=0,"",IF(K91=$C$15,K91-$C$15,K91-$C$14)))),"")</f>
        <v>#REF!</v>
      </c>
      <c r="L92" s="82" t="e" cm="1">
        <f t="array" ref="L92">IF(AND(OR(J92=0,J92=""),OR(K92=0,K92="")),"",_xlfn.IFS($C$22&gt;=0.0035,0.003,$C$22&lt;0.0005,0,$C$22&lt;0.0035,$C$22-0.0005))</f>
        <v>#REF!</v>
      </c>
      <c r="M92" s="66" t="e">
        <f t="shared" si="47"/>
        <v>#REF!</v>
      </c>
      <c r="N92" s="106"/>
    </row>
    <row r="93" spans="2:14" s="14" customFormat="1" hidden="1" x14ac:dyDescent="0.4">
      <c r="B93" s="263"/>
      <c r="C93" s="266"/>
      <c r="D93" s="49" t="s">
        <v>37</v>
      </c>
      <c r="E93" s="73" t="e">
        <f t="shared" si="46"/>
        <v>#REF!</v>
      </c>
      <c r="F93" s="46" t="e">
        <f t="shared" si="13"/>
        <v>#REF!</v>
      </c>
      <c r="G93" s="102" t="e">
        <f>IF(G92="","",IF(G92+1&gt;DATE($B$84+1,3,31),"",IF(OR($C$20="",$C$21=""),"",IF($C$20="月末",IF(EOMONTH(G92,VLOOKUP($C$21,#REF!,2,FALSE))&gt;DATE($B$84+1,3,31),"",EOMONTH(G92,VLOOKUP($C$21,#REF!,2,FALSE))),IF(EOMONTH(G92,VLOOKUP($C$21,#REF!,2,FALSE)-1)+$C$20&gt;DATE($B$84+1,3,31),"",EOMONTH(G92,VLOOKUP($C$21,#REF!,2,FALSE)-1)+$C$20)))))</f>
        <v>#REF!</v>
      </c>
      <c r="H93" s="46" t="e">
        <f t="shared" si="48"/>
        <v>#REF!</v>
      </c>
      <c r="I93" s="47" t="e">
        <f t="shared" ref="I93:I95" si="50">IF(G93="","",DATEDIF(E93,G93,"D")+1)</f>
        <v>#REF!</v>
      </c>
      <c r="J93" s="50" t="e">
        <f t="shared" si="49"/>
        <v>#REF!</v>
      </c>
      <c r="K93" s="50" t="e">
        <f>IF(G93&lt;&gt;"",IF($C$13="","",IF(K92="","",IF(K92&lt;=0,"",IF(K92=$C$15,K92-$C$15,K92-$C$14)))),"")</f>
        <v>#REF!</v>
      </c>
      <c r="L93" s="82" t="e" cm="1">
        <f t="array" ref="L93">IF(AND(OR(J93=0,J93=""),OR(K93=0,K93="")),"",_xlfn.IFS($C$22&gt;=0.0035,0.003,$C$22&lt;0.0005,0,$C$22&lt;0.0035,$C$22-0.0005))</f>
        <v>#REF!</v>
      </c>
      <c r="M93" s="66" t="e">
        <f t="shared" si="47"/>
        <v>#REF!</v>
      </c>
      <c r="N93" s="106"/>
    </row>
    <row r="94" spans="2:14" s="14" customFormat="1" hidden="1" x14ac:dyDescent="0.4">
      <c r="B94" s="263"/>
      <c r="C94" s="266"/>
      <c r="D94" s="49" t="s">
        <v>38</v>
      </c>
      <c r="E94" s="73" t="e">
        <f t="shared" si="46"/>
        <v>#REF!</v>
      </c>
      <c r="F94" s="46" t="e">
        <f t="shared" si="13"/>
        <v>#REF!</v>
      </c>
      <c r="G94" s="102" t="e">
        <f>IF(G93="","",IF(G93+1&gt;DATE($B$84+1,3,31),"",IF(OR($C$20="",$C$21=""),"",IF($C$20="月末",IF(EOMONTH(G93,VLOOKUP($C$21,#REF!,2,FALSE))&gt;DATE($B$84+1,3,31),"",EOMONTH(G93,VLOOKUP($C$21,#REF!,2,FALSE))),IF(EOMONTH(G93,VLOOKUP($C$21,#REF!,2,FALSE)-1)+$C$20&gt;DATE($B$84+1,3,31),"",EOMONTH(G93,VLOOKUP($C$21,#REF!,2,FALSE)-1)+$C$20)))))</f>
        <v>#REF!</v>
      </c>
      <c r="H94" s="46" t="e">
        <f t="shared" si="48"/>
        <v>#REF!</v>
      </c>
      <c r="I94" s="47" t="e">
        <f t="shared" si="50"/>
        <v>#REF!</v>
      </c>
      <c r="J94" s="50" t="e">
        <f t="shared" si="49"/>
        <v>#REF!</v>
      </c>
      <c r="K94" s="50" t="e">
        <f>IF(G94&lt;&gt;"",IF($C$13="","",IF(K93="","",IF(K93&lt;=0,"",IF(K93=$C$15,K93-$C$15,K93-$C$14)))),"")</f>
        <v>#REF!</v>
      </c>
      <c r="L94" s="82" t="e" cm="1">
        <f t="array" ref="L94">IF(AND(OR(J94=0,J94=""),OR(K94=0,K94="")),"",_xlfn.IFS($C$22&gt;=0.0035,0.003,$C$22&lt;0.0005,0,$C$22&lt;0.0035,$C$22-0.0005))</f>
        <v>#REF!</v>
      </c>
      <c r="M94" s="66" t="e">
        <f t="shared" si="47"/>
        <v>#REF!</v>
      </c>
      <c r="N94" s="106"/>
    </row>
    <row r="95" spans="2:14" s="14" customFormat="1" hidden="1" x14ac:dyDescent="0.4">
      <c r="B95" s="263"/>
      <c r="C95" s="266"/>
      <c r="D95" s="49" t="s">
        <v>39</v>
      </c>
      <c r="E95" s="73" t="e">
        <f t="shared" si="46"/>
        <v>#REF!</v>
      </c>
      <c r="F95" s="46" t="e">
        <f t="shared" si="13"/>
        <v>#REF!</v>
      </c>
      <c r="G95" s="102" t="e">
        <f>IF(G94="","",IF(G94+1&gt;DATE($B$84+1,3,31),"",IF(OR($C$20="",$C$21=""),"",IF($C$20="月末",IF(EOMONTH(G94,VLOOKUP($C$21,#REF!,2,FALSE))&gt;DATE($B$84+1,3,31),"",EOMONTH(G94,VLOOKUP($C$21,#REF!,2,FALSE))),IF(EOMONTH(G94,VLOOKUP($C$21,#REF!,2,FALSE)-1)+$C$20&gt;DATE($B$84+1,3,31),"",EOMONTH(G94,VLOOKUP($C$21,#REF!,2,FALSE)-1)+$C$20)))))</f>
        <v>#REF!</v>
      </c>
      <c r="H95" s="46" t="e">
        <f t="shared" si="48"/>
        <v>#REF!</v>
      </c>
      <c r="I95" s="47" t="e">
        <f t="shared" si="50"/>
        <v>#REF!</v>
      </c>
      <c r="J95" s="50" t="e">
        <f t="shared" si="49"/>
        <v>#REF!</v>
      </c>
      <c r="K95" s="50" t="e">
        <f>IF(G95&lt;&gt;"",IF($C$13="","",IF(K94="","",IF(K94&lt;=0,"",IF(K94=$C$15,K94-$C$15,K94-$C$14)))),"")</f>
        <v>#REF!</v>
      </c>
      <c r="L95" s="82" t="e" cm="1">
        <f t="array" ref="L95">IF(AND(OR(J95=0,J95=""),OR(K95=0,K95="")),"",_xlfn.IFS($C$22&gt;=0.0035,0.003,$C$22&lt;0.0005,0,$C$22&lt;0.0035,$C$22-0.0005))</f>
        <v>#REF!</v>
      </c>
      <c r="M95" s="66" t="e">
        <f t="shared" si="47"/>
        <v>#REF!</v>
      </c>
      <c r="N95" s="106"/>
    </row>
    <row r="96" spans="2:14" s="14" customFormat="1" hidden="1" x14ac:dyDescent="0.4">
      <c r="B96" s="263"/>
      <c r="C96" s="266"/>
      <c r="D96" s="51" t="s">
        <v>41</v>
      </c>
      <c r="E96" s="74" t="e">
        <f t="shared" si="46"/>
        <v>#REF!</v>
      </c>
      <c r="F96" s="52" t="e">
        <f t="shared" si="13"/>
        <v>#REF!</v>
      </c>
      <c r="G96" s="102" t="e">
        <f>IF(G95="","",IF(G95+1&gt;DATE($B$84+1,3,31),"",IF(OR($C$20="",$C$21=""),"",IF($C$20="月末",IF(EOMONTH(G95,VLOOKUP($C$21,#REF!,2,FALSE))&gt;DATE($B$84+1,3,31),"",EOMONTH(G95,VLOOKUP($C$21,#REF!,2,FALSE))),IF(EOMONTH(G95,VLOOKUP($C$21,#REF!,2,FALSE)-1)+$C$20&gt;DATE($B$84+1,3,31),"",EOMONTH(G95,VLOOKUP($C$21,#REF!,2,FALSE)-1)+$C$20)))))</f>
        <v>#REF!</v>
      </c>
      <c r="H96" s="52" t="e">
        <f t="shared" si="48"/>
        <v>#REF!</v>
      </c>
      <c r="I96" s="53" t="e">
        <f>IF(G96="","",DATEDIF(E96,G96,"D")+1)</f>
        <v>#REF!</v>
      </c>
      <c r="J96" s="50" t="e">
        <f t="shared" si="49"/>
        <v>#REF!</v>
      </c>
      <c r="K96" s="50" t="e">
        <f>IF(G96&lt;&gt;"",IF($C$13="","",IF(K95="","",IF(K95&lt;=0,"",IF(K95=$C$15,K95-$C$15,K95-$C$14)))),"")</f>
        <v>#REF!</v>
      </c>
      <c r="L96" s="83" t="e" cm="1">
        <f t="array" ref="L96">IF(AND(OR(J96=0,J96=""),OR(K96=0,K96="")),"",_xlfn.IFS($C$22&gt;=0.0035,0.003,$C$22&lt;0.0005,0,$C$22&lt;0.0035,$C$22-0.0005))</f>
        <v>#REF!</v>
      </c>
      <c r="M96" s="69" t="e">
        <f t="shared" si="47"/>
        <v>#REF!</v>
      </c>
      <c r="N96" s="106"/>
    </row>
    <row r="97" spans="2:14" s="14" customFormat="1" ht="19.5" hidden="1" thickBot="1" x14ac:dyDescent="0.45">
      <c r="B97" s="265"/>
      <c r="C97" s="57" t="s">
        <v>10</v>
      </c>
      <c r="D97" s="58"/>
      <c r="E97" s="75" t="e" cm="1">
        <f t="array" ref="E97">_xlfn.SINGLE(IF(E91:E96&lt;&gt;"",MIN(E91:E96),""))</f>
        <v>#REF!</v>
      </c>
      <c r="F97" s="59" t="e">
        <f t="shared" si="13"/>
        <v>#REF!</v>
      </c>
      <c r="G97" s="75" t="e" cm="1">
        <f t="array" ref="G97">_xlfn.SINGLE(IF(G91:G96&lt;&gt;"",MAX(G91:G96),""))</f>
        <v>#REF!</v>
      </c>
      <c r="H97" s="59" t="e">
        <f t="shared" si="48"/>
        <v>#REF!</v>
      </c>
      <c r="I97" s="60" t="e">
        <f>SUM(I91:I96)</f>
        <v>#REF!</v>
      </c>
      <c r="J97" s="58"/>
      <c r="K97" s="58"/>
      <c r="L97" s="84"/>
      <c r="M97" s="72"/>
      <c r="N97" s="106"/>
    </row>
    <row r="98" spans="2:14" s="14" customFormat="1" hidden="1" x14ac:dyDescent="0.4">
      <c r="B98" s="262">
        <f t="shared" ref="B98" si="51">B84+1</f>
        <v>2029</v>
      </c>
      <c r="C98" s="266" t="s">
        <v>3</v>
      </c>
      <c r="D98" s="45" t="s">
        <v>6</v>
      </c>
      <c r="E98" s="73" t="e">
        <f t="shared" ref="E98:E103" si="52">IF(G97="","",IF(G98="","",IF(G97+1&gt;DATE($B$98+1,3,31),"",G97+1)))</f>
        <v>#REF!</v>
      </c>
      <c r="F98" s="46" t="e">
        <f t="shared" si="13"/>
        <v>#REF!</v>
      </c>
      <c r="G98" s="102" t="e">
        <f>IF(G97="","",IF(G97+1&gt;DATE($B$98,9,30),"",IF(OR($C$20="",$C$21=""),"",IF($C$20="月末",IF(EOMONTH(G97,VLOOKUP($C$21,#REF!,2,FALSE))&gt;DATE($B$98,9,30),"",EOMONTH(G97,VLOOKUP($C$21,#REF!,2,FALSE))),IF(EOMONTH(G97,VLOOKUP($C$21,#REF!,2,FALSE)-1)+$C$20&gt;DATE($B$98,9,30),"",EOMONTH(G97,VLOOKUP($C$21,#REF!,2,FALSE)-1)+$C$20)))))</f>
        <v>#REF!</v>
      </c>
      <c r="H98" s="46" t="e">
        <f t="shared" si="48"/>
        <v>#REF!</v>
      </c>
      <c r="I98" s="47" t="e">
        <f>IF(G98="","",DATEDIF(E98,G98,"D")+1)</f>
        <v>#REF!</v>
      </c>
      <c r="J98" s="50" t="e" cm="1">
        <f t="array" ref="J98">_xlfn.SINGLE(IF(G98&lt;&gt;"",IF($C$6="","",IF(J91:J96&lt;&gt;"",IF(MIN(J91:J96)&lt;=0,"",IF(MIN(J91:J96)=$C$8,MIN(J91:J96)-$C$8,MIN(J91:J96)-$C$7)),"")),""))</f>
        <v>#REF!</v>
      </c>
      <c r="K98" s="50" t="str" cm="1">
        <f t="array" ref="K98">_xlfn.SINGLE(IF($C$13="","",IF(K91:K96&lt;&gt;"",IF(MIN(K91:K96)&lt;=0,"",IF(MIN(K91:K96)=$C$15,MIN(K91:K96)-$C$15,MIN(K91:K96)-$C$14)),"")))</f>
        <v/>
      </c>
      <c r="L98" s="82" t="e" cm="1">
        <f t="array" ref="L98">IF(AND(OR(J98=0,J98=""),OR(K98=0,K98="")),"",_xlfn.IFS($C$22&gt;=0.0035,0.003,$C$22&lt;0.0005,0,$C$22&lt;0.0035,$C$22-0.0005))</f>
        <v>#REF!</v>
      </c>
      <c r="M98" s="63" t="str">
        <f t="shared" ref="M98:M103" si="53">IF(OR(K98="",K98=0),"",IF(G98="","",$C$14))</f>
        <v/>
      </c>
      <c r="N98" s="106"/>
    </row>
    <row r="99" spans="2:14" s="14" customFormat="1" hidden="1" x14ac:dyDescent="0.4">
      <c r="B99" s="263"/>
      <c r="C99" s="266"/>
      <c r="D99" s="49" t="s">
        <v>7</v>
      </c>
      <c r="E99" s="73" t="e">
        <f t="shared" si="52"/>
        <v>#REF!</v>
      </c>
      <c r="F99" s="46" t="e">
        <f t="shared" si="13"/>
        <v>#REF!</v>
      </c>
      <c r="G99" s="102" t="e">
        <f>IF(G98="","",IF(G98+1&gt;DATE($B$98,9,30),"",IF(OR($C$20="",$C$21=""),"",IF($C$20="月末",IF(EOMONTH(G98,VLOOKUP($C$21,#REF!,2,FALSE))&gt;DATE($B$98,9,30),"",EOMONTH(G98,VLOOKUP($C$21,#REF!,2,FALSE))),IF(EOMONTH(G98,VLOOKUP($C$21,#REF!,2,FALSE)-1)+$C$20&gt;DATE($B$98,9,30),"",EOMONTH(G98,VLOOKUP($C$21,#REF!,2,FALSE)-1)+$C$20)))))</f>
        <v>#REF!</v>
      </c>
      <c r="H99" s="46" t="e">
        <f t="shared" si="48"/>
        <v>#REF!</v>
      </c>
      <c r="I99" s="47" t="e">
        <f>IF(G99="","",DATEDIF(E99,G99,"D")+1)</f>
        <v>#REF!</v>
      </c>
      <c r="J99" s="50" t="e">
        <f t="shared" ref="J99:J103" si="54">IF(G99&lt;&gt;"",IF($C$6="","",IF(J98="","",IF(J98&lt;=0,"",IF(J98=$C$8,J98-$C$8,J98-$C$7)))),"")</f>
        <v>#REF!</v>
      </c>
      <c r="K99" s="50" t="e">
        <f>IF(G99&lt;&gt;"",IF($C$13="","",IF(K98="","",IF(K98&lt;=0,"",IF(K98=$C$15,K98-$C$15,K98-$C$14)))),"")</f>
        <v>#REF!</v>
      </c>
      <c r="L99" s="82" t="e" cm="1">
        <f t="array" ref="L99">IF(AND(OR(J99=0,J99=""),OR(K99=0,K99="")),"",_xlfn.IFS($C$22&gt;=0.0035,0.003,$C$22&lt;0.0005,0,$C$22&lt;0.0035,$C$22-0.0005))</f>
        <v>#REF!</v>
      </c>
      <c r="M99" s="66" t="e">
        <f t="shared" si="53"/>
        <v>#REF!</v>
      </c>
      <c r="N99" s="106"/>
    </row>
    <row r="100" spans="2:14" s="14" customFormat="1" hidden="1" x14ac:dyDescent="0.4">
      <c r="B100" s="263"/>
      <c r="C100" s="266"/>
      <c r="D100" s="49" t="s">
        <v>34</v>
      </c>
      <c r="E100" s="73" t="e">
        <f t="shared" si="52"/>
        <v>#REF!</v>
      </c>
      <c r="F100" s="46" t="e">
        <f t="shared" si="13"/>
        <v>#REF!</v>
      </c>
      <c r="G100" s="102" t="e">
        <f>IF(G99="","",IF(G99+1&gt;DATE($B$98,9,30),"",IF(OR($C$20="",$C$21=""),"",IF($C$20="月末",IF(EOMONTH(G99,VLOOKUP($C$21,#REF!,2,FALSE))&gt;DATE($B$98,9,30),"",EOMONTH(G99,VLOOKUP($C$21,#REF!,2,FALSE))),IF(EOMONTH(G99,VLOOKUP($C$21,#REF!,2,FALSE)-1)+$C$20&gt;DATE($B$98,9,30),"",EOMONTH(G99,VLOOKUP($C$21,#REF!,2,FALSE)-1)+$C$20)))))</f>
        <v>#REF!</v>
      </c>
      <c r="H100" s="46" t="e">
        <f t="shared" si="48"/>
        <v>#REF!</v>
      </c>
      <c r="I100" s="47" t="e">
        <f t="shared" ref="I100:I102" si="55">IF(G100="","",DATEDIF(E100,G100,"D")+1)</f>
        <v>#REF!</v>
      </c>
      <c r="J100" s="50" t="e">
        <f t="shared" si="54"/>
        <v>#REF!</v>
      </c>
      <c r="K100" s="50" t="e">
        <f>IF(G100&lt;&gt;"",IF($C$13="","",IF(K99="","",IF(K99&lt;=0,"",IF(K99=$C$15,K99-$C$15,K99-$C$14)))),"")</f>
        <v>#REF!</v>
      </c>
      <c r="L100" s="82" t="e" cm="1">
        <f t="array" ref="L100">IF(AND(OR(J100=0,J100=""),OR(K100=0,K100="")),"",_xlfn.IFS($C$22&gt;=0.0035,0.003,$C$22&lt;0.0005,0,$C$22&lt;0.0035,$C$22-0.0005))</f>
        <v>#REF!</v>
      </c>
      <c r="M100" s="66" t="e">
        <f t="shared" si="53"/>
        <v>#REF!</v>
      </c>
      <c r="N100" s="106"/>
    </row>
    <row r="101" spans="2:14" s="14" customFormat="1" hidden="1" x14ac:dyDescent="0.4">
      <c r="B101" s="263"/>
      <c r="C101" s="266"/>
      <c r="D101" s="49" t="s">
        <v>35</v>
      </c>
      <c r="E101" s="73" t="e">
        <f t="shared" si="52"/>
        <v>#REF!</v>
      </c>
      <c r="F101" s="46" t="e">
        <f t="shared" si="13"/>
        <v>#REF!</v>
      </c>
      <c r="G101" s="102" t="e">
        <f>IF(G100="","",IF(G100+1&gt;DATE($B$98,9,30),"",IF(OR($C$20="",$C$21=""),"",IF($C$20="月末",IF(EOMONTH(G100,VLOOKUP($C$21,#REF!,2,FALSE))&gt;DATE($B$98,9,30),"",EOMONTH(G100,VLOOKUP($C$21,#REF!,2,FALSE))),IF(EOMONTH(G100,VLOOKUP($C$21,#REF!,2,FALSE)-1)+$C$20&gt;DATE($B$98,9,30),"",EOMONTH(G100,VLOOKUP($C$21,#REF!,2,FALSE)-1)+$C$20)))))</f>
        <v>#REF!</v>
      </c>
      <c r="H101" s="46" t="e">
        <f t="shared" si="48"/>
        <v>#REF!</v>
      </c>
      <c r="I101" s="47" t="e">
        <f t="shared" si="55"/>
        <v>#REF!</v>
      </c>
      <c r="J101" s="50" t="e">
        <f t="shared" si="54"/>
        <v>#REF!</v>
      </c>
      <c r="K101" s="50" t="e">
        <f>IF(G101&lt;&gt;"",IF($C$13="","",IF(K100="","",IF(K100&lt;=0,"",IF(K100=$C$15,K100-$C$15,K100-$C$14)))),"")</f>
        <v>#REF!</v>
      </c>
      <c r="L101" s="82" t="e" cm="1">
        <f t="array" ref="L101">IF(AND(OR(J101=0,J101=""),OR(K101=0,K101="")),"",_xlfn.IFS($C$22&gt;=0.0035,0.003,$C$22&lt;0.0005,0,$C$22&lt;0.0035,$C$22-0.0005))</f>
        <v>#REF!</v>
      </c>
      <c r="M101" s="66" t="e">
        <f t="shared" si="53"/>
        <v>#REF!</v>
      </c>
      <c r="N101" s="106"/>
    </row>
    <row r="102" spans="2:14" s="14" customFormat="1" hidden="1" x14ac:dyDescent="0.4">
      <c r="B102" s="263"/>
      <c r="C102" s="266"/>
      <c r="D102" s="49" t="s">
        <v>36</v>
      </c>
      <c r="E102" s="73" t="e">
        <f t="shared" si="52"/>
        <v>#REF!</v>
      </c>
      <c r="F102" s="46" t="e">
        <f t="shared" si="13"/>
        <v>#REF!</v>
      </c>
      <c r="G102" s="102" t="e">
        <f>IF(G101="","",IF(G101+1&gt;DATE($B$98,9,30),"",IF(OR($C$20="",$C$21=""),"",IF($C$20="月末",IF(EOMONTH(G101,VLOOKUP($C$21,#REF!,2,FALSE))&gt;DATE($B$98,9,30),"",EOMONTH(G101,VLOOKUP($C$21,#REF!,2,FALSE))),IF(EOMONTH(G101,VLOOKUP($C$21,#REF!,2,FALSE)-1)+$C$20&gt;DATE($B$98,9,30),"",EOMONTH(G101,VLOOKUP($C$21,#REF!,2,FALSE)-1)+$C$20)))))</f>
        <v>#REF!</v>
      </c>
      <c r="H102" s="46" t="e">
        <f t="shared" si="48"/>
        <v>#REF!</v>
      </c>
      <c r="I102" s="47" t="e">
        <f t="shared" si="55"/>
        <v>#REF!</v>
      </c>
      <c r="J102" s="50" t="e">
        <f t="shared" si="54"/>
        <v>#REF!</v>
      </c>
      <c r="K102" s="50" t="e">
        <f>IF(G102&lt;&gt;"",IF($C$13="","",IF(K101="","",IF(K101&lt;=0,"",IF(K101=$C$15,K101-$C$15,K101-$C$14)))),"")</f>
        <v>#REF!</v>
      </c>
      <c r="L102" s="82" t="e" cm="1">
        <f t="array" ref="L102">IF(AND(OR(J102=0,J102=""),OR(K102=0,K102="")),"",_xlfn.IFS($C$22&gt;=0.0035,0.003,$C$22&lt;0.0005,0,$C$22&lt;0.0035,$C$22-0.0005))</f>
        <v>#REF!</v>
      </c>
      <c r="M102" s="66" t="e">
        <f t="shared" si="53"/>
        <v>#REF!</v>
      </c>
      <c r="N102" s="106"/>
    </row>
    <row r="103" spans="2:14" s="14" customFormat="1" hidden="1" x14ac:dyDescent="0.4">
      <c r="B103" s="263"/>
      <c r="C103" s="266"/>
      <c r="D103" s="51" t="s">
        <v>40</v>
      </c>
      <c r="E103" s="74" t="e">
        <f t="shared" si="52"/>
        <v>#REF!</v>
      </c>
      <c r="F103" s="52" t="e">
        <f t="shared" si="13"/>
        <v>#REF!</v>
      </c>
      <c r="G103" s="102" t="e">
        <f>IF(G102="","",IF(G102+1&gt;DATE($B$98,9,30),"",IF(OR($C$20="",$C$21=""),"",IF($C$20="月末",IF(EOMONTH(G102,VLOOKUP($C$21,#REF!,2,FALSE))&gt;DATE($B$98,9,30),"",EOMONTH(G102,VLOOKUP($C$21,#REF!,2,FALSE))),IF(EOMONTH(G102,VLOOKUP($C$21,#REF!,2,FALSE)-1)+$C$20&gt;DATE($B$98,9,30),"",EOMONTH(G102,VLOOKUP($C$21,#REF!,2,FALSE)-1)+$C$20)))))</f>
        <v>#REF!</v>
      </c>
      <c r="H103" s="52" t="e">
        <f t="shared" si="48"/>
        <v>#REF!</v>
      </c>
      <c r="I103" s="53" t="e">
        <f>IF(G103="","",DATEDIF(E103,G103,"D")+1)</f>
        <v>#REF!</v>
      </c>
      <c r="J103" s="50" t="e">
        <f t="shared" si="54"/>
        <v>#REF!</v>
      </c>
      <c r="K103" s="50" t="e">
        <f>IF(G103&lt;&gt;"",IF($C$13="","",IF(K102="","",IF(K102&lt;=0,"",IF(K102=$C$15,K102-$C$15,K102-$C$14)))),"")</f>
        <v>#REF!</v>
      </c>
      <c r="L103" s="83" t="e" cm="1">
        <f t="array" ref="L103">IF(AND(OR(J103=0,J103=""),OR(K103=0,K103="")),"",_xlfn.IFS($C$22&gt;=0.0035,0.003,$C$22&lt;0.0005,0,$C$22&lt;0.0035,$C$22-0.0005))</f>
        <v>#REF!</v>
      </c>
      <c r="M103" s="69" t="e">
        <f t="shared" si="53"/>
        <v>#REF!</v>
      </c>
      <c r="N103" s="106"/>
    </row>
    <row r="104" spans="2:14" s="14" customFormat="1" ht="19.5" hidden="1" thickBot="1" x14ac:dyDescent="0.45">
      <c r="B104" s="264"/>
      <c r="C104" s="57" t="s">
        <v>10</v>
      </c>
      <c r="D104" s="58"/>
      <c r="E104" s="75" t="e" cm="1">
        <f t="array" ref="E104">_xlfn.SINGLE(IF(E98:E103&lt;&gt;"",MIN(E98:E103),""))</f>
        <v>#REF!</v>
      </c>
      <c r="F104" s="59" t="e">
        <f t="shared" si="13"/>
        <v>#REF!</v>
      </c>
      <c r="G104" s="75" t="e" cm="1">
        <f t="array" ref="G104">_xlfn.SINGLE(IF(G98:G103&lt;&gt;"",MAX(G98:G103),""))</f>
        <v>#REF!</v>
      </c>
      <c r="H104" s="59" t="e">
        <f t="shared" si="48"/>
        <v>#REF!</v>
      </c>
      <c r="I104" s="60" t="e">
        <f>SUM(I98:I103)</f>
        <v>#REF!</v>
      </c>
      <c r="J104" s="58"/>
      <c r="K104" s="58"/>
      <c r="L104" s="84"/>
      <c r="M104" s="72"/>
      <c r="N104" s="106"/>
    </row>
    <row r="105" spans="2:14" s="14" customFormat="1" hidden="1" x14ac:dyDescent="0.4">
      <c r="B105" s="263"/>
      <c r="C105" s="267" t="s">
        <v>4</v>
      </c>
      <c r="D105" s="54" t="s">
        <v>9</v>
      </c>
      <c r="E105" s="73" t="e">
        <f t="shared" ref="E105:E110" si="56">IF(G104="","",IF(G105="","",IF(G104+1&gt;DATE($B$98+1,3,31),"",G104+1)))</f>
        <v>#REF!</v>
      </c>
      <c r="F105" s="46" t="e">
        <f t="shared" si="13"/>
        <v>#REF!</v>
      </c>
      <c r="G105" s="102" t="e">
        <f>IF(G104="","",IF(G104+1&gt;DATE($B$98+1,3,31),"",IF(OR($C$20="",$C$21=""),"",IF($C$20="月末",IF(EOMONTH(G104,VLOOKUP($C$21,#REF!,2,FALSE))&gt;DATE($B$98+1,3,31),"",EOMONTH(G104,VLOOKUP($C$21,#REF!,2,FALSE))),IF(EOMONTH(G104,VLOOKUP($C$21,#REF!,2,FALSE)-1)+$C$20&gt;DATE($B$98+1,3,31),"",EOMONTH(G104,VLOOKUP($C$21,#REF!,2,FALSE)-1)+$C$20)))))</f>
        <v>#REF!</v>
      </c>
      <c r="H105" s="46" t="e">
        <f>IF(G105="","",TEXT(G105,"aaa"))</f>
        <v>#REF!</v>
      </c>
      <c r="I105" s="47" t="e">
        <f>IF(G105="","",DATEDIF(E105,G105,"D")+1)</f>
        <v>#REF!</v>
      </c>
      <c r="J105" s="50" t="e" cm="1">
        <f t="array" ref="J105">_xlfn.SINGLE(IF(G105&lt;&gt;"",IF($C$6="","",IF(J98:J103&lt;&gt;"",IF(MIN(J98:J103)&lt;=0,"",IF(MIN(J98:J103)=$C$8,MIN(J98:J103)-$C$8,MIN(J98:J103)-$C$7)),"")),""))</f>
        <v>#REF!</v>
      </c>
      <c r="K105" s="50" t="str" cm="1">
        <f t="array" ref="K105">_xlfn.SINGLE(IF($C$13="","",IF(K98:K103&lt;&gt;"",IF(MIN(K98:K103)&lt;=0,"",IF(MIN(K98:K103)=$C$15,MIN(K98:K103)-$C$15,MIN(K98:K103)-$C$14)),"")))</f>
        <v/>
      </c>
      <c r="L105" s="85" t="e" cm="1">
        <f t="array" ref="L105">IF(AND(OR(J105=0,J105=""),OR(K105=0,K105="")),"",_xlfn.IFS($C$22&gt;=0.0035,0.003,$C$22&lt;0.0005,0,$C$22&lt;0.0035,$C$22-0.0005))</f>
        <v>#REF!</v>
      </c>
      <c r="M105" s="63" t="str">
        <f t="shared" ref="M105:M110" si="57">IF(OR(K105="",K105=0),"",IF(G105="","",$C$14))</f>
        <v/>
      </c>
      <c r="N105" s="106"/>
    </row>
    <row r="106" spans="2:14" s="14" customFormat="1" hidden="1" x14ac:dyDescent="0.4">
      <c r="B106" s="263"/>
      <c r="C106" s="266"/>
      <c r="D106" s="49" t="s">
        <v>8</v>
      </c>
      <c r="E106" s="73" t="e">
        <f t="shared" si="56"/>
        <v>#REF!</v>
      </c>
      <c r="F106" s="46" t="e">
        <f t="shared" si="13"/>
        <v>#REF!</v>
      </c>
      <c r="G106" s="102" t="e">
        <f>IF(G105="","",IF(G105+1&gt;DATE($B$98+1,3,31),"",IF(OR($C$20="",$C$21=""),"",IF($C$20="月末",IF(EOMONTH(G105,VLOOKUP($C$21,#REF!,2,FALSE))&gt;DATE($B$98+1,3,31),"",EOMONTH(G105,VLOOKUP($C$21,#REF!,2,FALSE))),IF(EOMONTH(G105,VLOOKUP($C$21,#REF!,2,FALSE)-1)+$C$20&gt;DATE($B$98+1,3,31),"",EOMONTH(G105,VLOOKUP($C$21,#REF!,2,FALSE)-1)+$C$20)))))</f>
        <v>#REF!</v>
      </c>
      <c r="H106" s="46" t="e">
        <f t="shared" ref="H106:H118" si="58">IF(G106="","",TEXT(G106,"aaa"))</f>
        <v>#REF!</v>
      </c>
      <c r="I106" s="47" t="e">
        <f>IF(G106="","",DATEDIF(E106,G106,"D")+1)</f>
        <v>#REF!</v>
      </c>
      <c r="J106" s="50" t="e">
        <f t="shared" ref="J106:J110" si="59">IF(G106&lt;&gt;"",IF($C$6="","",IF(J105="","",IF(J105&lt;=0,"",IF(J105=$C$8,J105-$C$8,J105-$C$7)))),"")</f>
        <v>#REF!</v>
      </c>
      <c r="K106" s="50" t="e">
        <f>IF(G106&lt;&gt;"",IF($C$13="","",IF(K105="","",IF(K105&lt;=0,"",IF(K105=$C$15,K105-$C$15,K105-$C$14)))),"")</f>
        <v>#REF!</v>
      </c>
      <c r="L106" s="82" t="e" cm="1">
        <f t="array" ref="L106">IF(AND(OR(J106=0,J106=""),OR(K106=0,K106="")),"",_xlfn.IFS($C$22&gt;=0.0035,0.003,$C$22&lt;0.0005,0,$C$22&lt;0.0035,$C$22-0.0005))</f>
        <v>#REF!</v>
      </c>
      <c r="M106" s="66" t="e">
        <f t="shared" si="57"/>
        <v>#REF!</v>
      </c>
      <c r="N106" s="106"/>
    </row>
    <row r="107" spans="2:14" s="14" customFormat="1" hidden="1" x14ac:dyDescent="0.4">
      <c r="B107" s="263"/>
      <c r="C107" s="266"/>
      <c r="D107" s="49" t="s">
        <v>37</v>
      </c>
      <c r="E107" s="73" t="e">
        <f t="shared" si="56"/>
        <v>#REF!</v>
      </c>
      <c r="F107" s="46" t="e">
        <f t="shared" ref="F107:F167" si="60">IF(E107="","",TEXT(E107,"aaa"))</f>
        <v>#REF!</v>
      </c>
      <c r="G107" s="102" t="e">
        <f>IF(G106="","",IF(G106+1&gt;DATE($B$98+1,3,31),"",IF(OR($C$20="",$C$21=""),"",IF($C$20="月末",IF(EOMONTH(G106,VLOOKUP($C$21,#REF!,2,FALSE))&gt;DATE($B$98+1,3,31),"",EOMONTH(G106,VLOOKUP($C$21,#REF!,2,FALSE))),IF(EOMONTH(G106,VLOOKUP($C$21,#REF!,2,FALSE)-1)+$C$20&gt;DATE($B$98+1,3,31),"",EOMONTH(G106,VLOOKUP($C$21,#REF!,2,FALSE)-1)+$C$20)))))</f>
        <v>#REF!</v>
      </c>
      <c r="H107" s="46" t="e">
        <f t="shared" si="58"/>
        <v>#REF!</v>
      </c>
      <c r="I107" s="47" t="e">
        <f t="shared" ref="I107:I109" si="61">IF(G107="","",DATEDIF(E107,G107,"D")+1)</f>
        <v>#REF!</v>
      </c>
      <c r="J107" s="50" t="e">
        <f t="shared" si="59"/>
        <v>#REF!</v>
      </c>
      <c r="K107" s="50" t="e">
        <f>IF(G107&lt;&gt;"",IF($C$13="","",IF(K106="","",IF(K106&lt;=0,"",IF(K106=$C$15,K106-$C$15,K106-$C$14)))),"")</f>
        <v>#REF!</v>
      </c>
      <c r="L107" s="82" t="e" cm="1">
        <f t="array" ref="L107">IF(AND(OR(J107=0,J107=""),OR(K107=0,K107="")),"",_xlfn.IFS($C$22&gt;=0.0035,0.003,$C$22&lt;0.0005,0,$C$22&lt;0.0035,$C$22-0.0005))</f>
        <v>#REF!</v>
      </c>
      <c r="M107" s="66" t="e">
        <f t="shared" si="57"/>
        <v>#REF!</v>
      </c>
      <c r="N107" s="106"/>
    </row>
    <row r="108" spans="2:14" s="14" customFormat="1" hidden="1" x14ac:dyDescent="0.4">
      <c r="B108" s="263"/>
      <c r="C108" s="266"/>
      <c r="D108" s="49" t="s">
        <v>38</v>
      </c>
      <c r="E108" s="73" t="e">
        <f t="shared" si="56"/>
        <v>#REF!</v>
      </c>
      <c r="F108" s="46" t="e">
        <f t="shared" si="60"/>
        <v>#REF!</v>
      </c>
      <c r="G108" s="102" t="e">
        <f>IF(G107="","",IF(G107+1&gt;DATE($B$98+1,3,31),"",IF(OR($C$20="",$C$21=""),"",IF($C$20="月末",IF(EOMONTH(G107,VLOOKUP($C$21,#REF!,2,FALSE))&gt;DATE($B$98+1,3,31),"",EOMONTH(G107,VLOOKUP($C$21,#REF!,2,FALSE))),IF(EOMONTH(G107,VLOOKUP($C$21,#REF!,2,FALSE)-1)+$C$20&gt;DATE($B$98+1,3,31),"",EOMONTH(G107,VLOOKUP($C$21,#REF!,2,FALSE)-1)+$C$20)))))</f>
        <v>#REF!</v>
      </c>
      <c r="H108" s="46" t="e">
        <f t="shared" si="58"/>
        <v>#REF!</v>
      </c>
      <c r="I108" s="47" t="e">
        <f t="shared" si="61"/>
        <v>#REF!</v>
      </c>
      <c r="J108" s="50" t="e">
        <f t="shared" si="59"/>
        <v>#REF!</v>
      </c>
      <c r="K108" s="50" t="e">
        <f>IF(G108&lt;&gt;"",IF($C$13="","",IF(K107="","",IF(K107&lt;=0,"",IF(K107=$C$15,K107-$C$15,K107-$C$14)))),"")</f>
        <v>#REF!</v>
      </c>
      <c r="L108" s="82" t="e" cm="1">
        <f t="array" ref="L108">IF(AND(OR(J108=0,J108=""),OR(K108=0,K108="")),"",_xlfn.IFS($C$22&gt;=0.0035,0.003,$C$22&lt;0.0005,0,$C$22&lt;0.0035,$C$22-0.0005))</f>
        <v>#REF!</v>
      </c>
      <c r="M108" s="66" t="e">
        <f t="shared" si="57"/>
        <v>#REF!</v>
      </c>
      <c r="N108" s="106"/>
    </row>
    <row r="109" spans="2:14" s="14" customFormat="1" hidden="1" x14ac:dyDescent="0.4">
      <c r="B109" s="263"/>
      <c r="C109" s="266"/>
      <c r="D109" s="49" t="s">
        <v>39</v>
      </c>
      <c r="E109" s="73" t="e">
        <f t="shared" si="56"/>
        <v>#REF!</v>
      </c>
      <c r="F109" s="46" t="e">
        <f t="shared" si="60"/>
        <v>#REF!</v>
      </c>
      <c r="G109" s="102" t="e">
        <f>IF(G108="","",IF(G108+1&gt;DATE($B$98+1,3,31),"",IF(OR($C$20="",$C$21=""),"",IF($C$20="月末",IF(EOMONTH(G108,VLOOKUP($C$21,#REF!,2,FALSE))&gt;DATE($B$98+1,3,31),"",EOMONTH(G108,VLOOKUP($C$21,#REF!,2,FALSE))),IF(EOMONTH(G108,VLOOKUP($C$21,#REF!,2,FALSE)-1)+$C$20&gt;DATE($B$98+1,3,31),"",EOMONTH(G108,VLOOKUP($C$21,#REF!,2,FALSE)-1)+$C$20)))))</f>
        <v>#REF!</v>
      </c>
      <c r="H109" s="46" t="e">
        <f t="shared" si="58"/>
        <v>#REF!</v>
      </c>
      <c r="I109" s="47" t="e">
        <f t="shared" si="61"/>
        <v>#REF!</v>
      </c>
      <c r="J109" s="50" t="e">
        <f t="shared" si="59"/>
        <v>#REF!</v>
      </c>
      <c r="K109" s="50" t="e">
        <f>IF(G109&lt;&gt;"",IF($C$13="","",IF(K108="","",IF(K108&lt;=0,"",IF(K108=$C$15,K108-$C$15,K108-$C$14)))),"")</f>
        <v>#REF!</v>
      </c>
      <c r="L109" s="82" t="e" cm="1">
        <f t="array" ref="L109">IF(AND(OR(J109=0,J109=""),OR(K109=0,K109="")),"",_xlfn.IFS($C$22&gt;=0.0035,0.003,$C$22&lt;0.0005,0,$C$22&lt;0.0035,$C$22-0.0005))</f>
        <v>#REF!</v>
      </c>
      <c r="M109" s="66" t="e">
        <f t="shared" si="57"/>
        <v>#REF!</v>
      </c>
      <c r="N109" s="106"/>
    </row>
    <row r="110" spans="2:14" s="14" customFormat="1" hidden="1" x14ac:dyDescent="0.4">
      <c r="B110" s="263"/>
      <c r="C110" s="266"/>
      <c r="D110" s="51" t="s">
        <v>41</v>
      </c>
      <c r="E110" s="74" t="e">
        <f t="shared" si="56"/>
        <v>#REF!</v>
      </c>
      <c r="F110" s="52" t="e">
        <f t="shared" si="60"/>
        <v>#REF!</v>
      </c>
      <c r="G110" s="102" t="e">
        <f>IF(G109="","",IF(G109+1&gt;DATE($B$98+1,3,31),"",IF(OR($C$20="",$C$21=""),"",IF($C$20="月末",IF(EOMONTH(G109,VLOOKUP($C$21,#REF!,2,FALSE))&gt;DATE($B$98+1,3,31),"",EOMONTH(G109,VLOOKUP($C$21,#REF!,2,FALSE))),IF(EOMONTH(G109,VLOOKUP($C$21,#REF!,2,FALSE)-1)+$C$20&gt;DATE($B$98+1,3,31),"",EOMONTH(G109,VLOOKUP($C$21,#REF!,2,FALSE)-1)+$C$20)))))</f>
        <v>#REF!</v>
      </c>
      <c r="H110" s="52" t="e">
        <f t="shared" si="58"/>
        <v>#REF!</v>
      </c>
      <c r="I110" s="53" t="e">
        <f>IF(G110="","",DATEDIF(E110,G110,"D")+1)</f>
        <v>#REF!</v>
      </c>
      <c r="J110" s="50" t="e">
        <f t="shared" si="59"/>
        <v>#REF!</v>
      </c>
      <c r="K110" s="50" t="e">
        <f>IF(G110&lt;&gt;"",IF($C$13="","",IF(K109="","",IF(K109&lt;=0,"",IF(K109=$C$15,K109-$C$15,K109-$C$14)))),"")</f>
        <v>#REF!</v>
      </c>
      <c r="L110" s="83" t="e" cm="1">
        <f t="array" ref="L110">IF(AND(OR(J110=0,J110=""),OR(K110=0,K110="")),"",_xlfn.IFS($C$22&gt;=0.0035,0.003,$C$22&lt;0.0005,0,$C$22&lt;0.0035,$C$22-0.0005))</f>
        <v>#REF!</v>
      </c>
      <c r="M110" s="69" t="e">
        <f t="shared" si="57"/>
        <v>#REF!</v>
      </c>
      <c r="N110" s="106"/>
    </row>
    <row r="111" spans="2:14" s="14" customFormat="1" ht="19.5" hidden="1" thickBot="1" x14ac:dyDescent="0.45">
      <c r="B111" s="265"/>
      <c r="C111" s="57" t="s">
        <v>10</v>
      </c>
      <c r="D111" s="58"/>
      <c r="E111" s="75" t="e" cm="1">
        <f t="array" ref="E111">_xlfn.SINGLE(IF(E105:E110&lt;&gt;"",MIN(E105:E110),""))</f>
        <v>#REF!</v>
      </c>
      <c r="F111" s="59" t="e">
        <f t="shared" si="60"/>
        <v>#REF!</v>
      </c>
      <c r="G111" s="75" t="e" cm="1">
        <f t="array" ref="G111">_xlfn.SINGLE(IF(G105:G110&lt;&gt;"",MAX(G105:G110),""))</f>
        <v>#REF!</v>
      </c>
      <c r="H111" s="59" t="e">
        <f t="shared" si="58"/>
        <v>#REF!</v>
      </c>
      <c r="I111" s="60" t="e">
        <f>SUM(I105:I110)</f>
        <v>#REF!</v>
      </c>
      <c r="J111" s="58"/>
      <c r="K111" s="58"/>
      <c r="L111" s="84"/>
      <c r="M111" s="72"/>
      <c r="N111" s="106"/>
    </row>
    <row r="112" spans="2:14" s="14" customFormat="1" hidden="1" x14ac:dyDescent="0.4">
      <c r="B112" s="262">
        <f t="shared" ref="B112" si="62">B98+1</f>
        <v>2030</v>
      </c>
      <c r="C112" s="266" t="s">
        <v>3</v>
      </c>
      <c r="D112" s="45" t="s">
        <v>6</v>
      </c>
      <c r="E112" s="73" t="e">
        <f t="shared" ref="E112:E117" si="63">IF(G111="","",IF(G112="","",IF(G111+1&gt;DATE($B$112+1,3,31),"",G111+1)))</f>
        <v>#REF!</v>
      </c>
      <c r="F112" s="46" t="e">
        <f t="shared" si="60"/>
        <v>#REF!</v>
      </c>
      <c r="G112" s="102" t="e">
        <f>IF(G111="","",IF(G111+1&gt;DATE($B$112,9,30),"",IF(OR($C$20="",$C$21=""),"",IF($C$20="月末",IF(EOMONTH(G111,VLOOKUP($C$21,#REF!,2,FALSE))&gt;DATE($B$112,9,30),"",EOMONTH(G111,VLOOKUP($C$21,#REF!,2,FALSE))),IF(EOMONTH(G111,VLOOKUP($C$21,#REF!,2,FALSE)-1)+$C$20&gt;DATE($B$112,9,30),"",EOMONTH(G111,VLOOKUP($C$21,#REF!,2,FALSE)-1)+$C$20)))))</f>
        <v>#REF!</v>
      </c>
      <c r="H112" s="46" t="e">
        <f t="shared" si="58"/>
        <v>#REF!</v>
      </c>
      <c r="I112" s="47" t="e">
        <f>IF(G112="","",DATEDIF(E112,G112,"D")+1)</f>
        <v>#REF!</v>
      </c>
      <c r="J112" s="50" t="e" cm="1">
        <f t="array" ref="J112">_xlfn.SINGLE(IF(G112&lt;&gt;"",IF($C$6="","",IF(J105:J110&lt;&gt;"",IF(MIN(J105:J110)&lt;=0,"",IF(MIN(J105:J110)=$C$8,MIN(J105:J110)-$C$8,MIN(J105:J110)-$C$7)),"")),""))</f>
        <v>#REF!</v>
      </c>
      <c r="K112" s="50" t="str" cm="1">
        <f t="array" ref="K112">_xlfn.SINGLE(IF($C$13="","",IF(K105:K110&lt;&gt;"",IF(MIN(K105:K110)&lt;=0,"",IF(MIN(K105:K110)=$C$15,MIN(K105:K110)-$C$15,MIN(K105:K110)-$C$14)),"")))</f>
        <v/>
      </c>
      <c r="L112" s="82" t="e" cm="1">
        <f t="array" ref="L112">IF(AND(OR(J112=0,J112=""),OR(K112=0,K112="")),"",_xlfn.IFS($C$22&gt;=0.0035,0.003,$C$22&lt;0.0005,0,$C$22&lt;0.0035,$C$22-0.0005))</f>
        <v>#REF!</v>
      </c>
      <c r="M112" s="63" t="str">
        <f t="shared" ref="M112:M117" si="64">IF(OR(K112="",K112=0),"",IF(G112="","",$C$14))</f>
        <v/>
      </c>
      <c r="N112" s="106"/>
    </row>
    <row r="113" spans="2:14" s="14" customFormat="1" hidden="1" x14ac:dyDescent="0.4">
      <c r="B113" s="263"/>
      <c r="C113" s="266"/>
      <c r="D113" s="49" t="s">
        <v>7</v>
      </c>
      <c r="E113" s="73" t="e">
        <f t="shared" si="63"/>
        <v>#REF!</v>
      </c>
      <c r="F113" s="46" t="e">
        <f t="shared" si="60"/>
        <v>#REF!</v>
      </c>
      <c r="G113" s="102" t="e">
        <f>IF(G112="","",IF(G112+1&gt;DATE($B$112,9,30),"",IF(OR($C$20="",$C$21=""),"",IF($C$20="月末",IF(EOMONTH(G112,VLOOKUP($C$21,#REF!,2,FALSE))&gt;DATE($B$112,9,30),"",EOMONTH(G112,VLOOKUP($C$21,#REF!,2,FALSE))),IF(EOMONTH(G112,VLOOKUP($C$21,#REF!,2,FALSE)-1)+$C$20&gt;DATE($B$112,9,30),"",EOMONTH(G112,VLOOKUP($C$21,#REF!,2,FALSE)-1)+$C$20)))))</f>
        <v>#REF!</v>
      </c>
      <c r="H113" s="46" t="e">
        <f t="shared" si="58"/>
        <v>#REF!</v>
      </c>
      <c r="I113" s="47" t="e">
        <f>IF(G113="","",DATEDIF(E113,G113,"D")+1)</f>
        <v>#REF!</v>
      </c>
      <c r="J113" s="50" t="e">
        <f t="shared" ref="J113:J117" si="65">IF(G113&lt;&gt;"",IF($C$6="","",IF(J112="","",IF(J112&lt;=0,"",IF(J112=$C$8,J112-$C$8,J112-$C$7)))),"")</f>
        <v>#REF!</v>
      </c>
      <c r="K113" s="50" t="e">
        <f>IF(G113&lt;&gt;"",IF($C$13="","",IF(K112="","",IF(K112&lt;=0,"",IF(K112=$C$15,K112-$C$15,K112-$C$14)))),"")</f>
        <v>#REF!</v>
      </c>
      <c r="L113" s="82" t="e" cm="1">
        <f t="array" ref="L113">IF(AND(OR(J113=0,J113=""),OR(K113=0,K113="")),"",_xlfn.IFS($C$22&gt;=0.0035,0.003,$C$22&lt;0.0005,0,$C$22&lt;0.0035,$C$22-0.0005))</f>
        <v>#REF!</v>
      </c>
      <c r="M113" s="66" t="e">
        <f t="shared" si="64"/>
        <v>#REF!</v>
      </c>
      <c r="N113" s="106"/>
    </row>
    <row r="114" spans="2:14" s="14" customFormat="1" hidden="1" x14ac:dyDescent="0.4">
      <c r="B114" s="263"/>
      <c r="C114" s="266"/>
      <c r="D114" s="49" t="s">
        <v>34</v>
      </c>
      <c r="E114" s="73" t="e">
        <f t="shared" si="63"/>
        <v>#REF!</v>
      </c>
      <c r="F114" s="46" t="e">
        <f t="shared" si="60"/>
        <v>#REF!</v>
      </c>
      <c r="G114" s="102" t="e">
        <f>IF(G113="","",IF(G113+1&gt;DATE($B$112,9,30),"",IF(OR($C$20="",$C$21=""),"",IF($C$20="月末",IF(EOMONTH(G113,VLOOKUP($C$21,#REF!,2,FALSE))&gt;DATE($B$112,9,30),"",EOMONTH(G113,VLOOKUP($C$21,#REF!,2,FALSE))),IF(EOMONTH(G113,VLOOKUP($C$21,#REF!,2,FALSE)-1)+$C$20&gt;DATE($B$112,9,30),"",EOMONTH(G113,VLOOKUP($C$21,#REF!,2,FALSE)-1)+$C$20)))))</f>
        <v>#REF!</v>
      </c>
      <c r="H114" s="46" t="e">
        <f t="shared" si="58"/>
        <v>#REF!</v>
      </c>
      <c r="I114" s="47" t="e">
        <f t="shared" ref="I114:I116" si="66">IF(G114="","",DATEDIF(E114,G114,"D")+1)</f>
        <v>#REF!</v>
      </c>
      <c r="J114" s="50" t="e">
        <f t="shared" si="65"/>
        <v>#REF!</v>
      </c>
      <c r="K114" s="50" t="e">
        <f>IF(G114&lt;&gt;"",IF($C$13="","",IF(K113="","",IF(K113&lt;=0,"",IF(K113=$C$15,K113-$C$15,K113-$C$14)))),"")</f>
        <v>#REF!</v>
      </c>
      <c r="L114" s="82" t="e" cm="1">
        <f t="array" ref="L114">IF(AND(OR(J114=0,J114=""),OR(K114=0,K114="")),"",_xlfn.IFS($C$22&gt;=0.0035,0.003,$C$22&lt;0.0005,0,$C$22&lt;0.0035,$C$22-0.0005))</f>
        <v>#REF!</v>
      </c>
      <c r="M114" s="66" t="e">
        <f t="shared" si="64"/>
        <v>#REF!</v>
      </c>
      <c r="N114" s="106"/>
    </row>
    <row r="115" spans="2:14" s="14" customFormat="1" hidden="1" x14ac:dyDescent="0.4">
      <c r="B115" s="263"/>
      <c r="C115" s="266"/>
      <c r="D115" s="49" t="s">
        <v>35</v>
      </c>
      <c r="E115" s="73" t="e">
        <f t="shared" si="63"/>
        <v>#REF!</v>
      </c>
      <c r="F115" s="46" t="e">
        <f t="shared" si="60"/>
        <v>#REF!</v>
      </c>
      <c r="G115" s="102" t="e">
        <f>IF(G114="","",IF(G114+1&gt;DATE($B$112,9,30),"",IF(OR($C$20="",$C$21=""),"",IF($C$20="月末",IF(EOMONTH(G114,VLOOKUP($C$21,#REF!,2,FALSE))&gt;DATE($B$112,9,30),"",EOMONTH(G114,VLOOKUP($C$21,#REF!,2,FALSE))),IF(EOMONTH(G114,VLOOKUP($C$21,#REF!,2,FALSE)-1)+$C$20&gt;DATE($B$112,9,30),"",EOMONTH(G114,VLOOKUP($C$21,#REF!,2,FALSE)-1)+$C$20)))))</f>
        <v>#REF!</v>
      </c>
      <c r="H115" s="46" t="e">
        <f t="shared" si="58"/>
        <v>#REF!</v>
      </c>
      <c r="I115" s="47" t="e">
        <f t="shared" si="66"/>
        <v>#REF!</v>
      </c>
      <c r="J115" s="50" t="e">
        <f t="shared" si="65"/>
        <v>#REF!</v>
      </c>
      <c r="K115" s="50" t="e">
        <f>IF(G115&lt;&gt;"",IF($C$13="","",IF(K114="","",IF(K114&lt;=0,"",IF(K114=$C$15,K114-$C$15,K114-$C$14)))),"")</f>
        <v>#REF!</v>
      </c>
      <c r="L115" s="82" t="e" cm="1">
        <f t="array" ref="L115">IF(AND(OR(J115=0,J115=""),OR(K115=0,K115="")),"",_xlfn.IFS($C$22&gt;=0.0035,0.003,$C$22&lt;0.0005,0,$C$22&lt;0.0035,$C$22-0.0005))</f>
        <v>#REF!</v>
      </c>
      <c r="M115" s="66" t="e">
        <f t="shared" si="64"/>
        <v>#REF!</v>
      </c>
      <c r="N115" s="106"/>
    </row>
    <row r="116" spans="2:14" s="14" customFormat="1" hidden="1" x14ac:dyDescent="0.4">
      <c r="B116" s="263"/>
      <c r="C116" s="266"/>
      <c r="D116" s="49" t="s">
        <v>36</v>
      </c>
      <c r="E116" s="73" t="e">
        <f t="shared" si="63"/>
        <v>#REF!</v>
      </c>
      <c r="F116" s="46" t="e">
        <f t="shared" si="60"/>
        <v>#REF!</v>
      </c>
      <c r="G116" s="102" t="e">
        <f>IF(G115="","",IF(G115+1&gt;DATE($B$112,9,30),"",IF(OR($C$20="",$C$21=""),"",IF($C$20="月末",IF(EOMONTH(G115,VLOOKUP($C$21,#REF!,2,FALSE))&gt;DATE($B$112,9,30),"",EOMONTH(G115,VLOOKUP($C$21,#REF!,2,FALSE))),IF(EOMONTH(G115,VLOOKUP($C$21,#REF!,2,FALSE)-1)+$C$20&gt;DATE($B$112,9,30),"",EOMONTH(G115,VLOOKUP($C$21,#REF!,2,FALSE)-1)+$C$20)))))</f>
        <v>#REF!</v>
      </c>
      <c r="H116" s="46" t="e">
        <f t="shared" si="58"/>
        <v>#REF!</v>
      </c>
      <c r="I116" s="47" t="e">
        <f t="shared" si="66"/>
        <v>#REF!</v>
      </c>
      <c r="J116" s="50" t="e">
        <f t="shared" si="65"/>
        <v>#REF!</v>
      </c>
      <c r="K116" s="50" t="e">
        <f>IF(G116&lt;&gt;"",IF($C$13="","",IF(K115="","",IF(K115&lt;=0,"",IF(K115=$C$15,K115-$C$15,K115-$C$14)))),"")</f>
        <v>#REF!</v>
      </c>
      <c r="L116" s="82" t="e" cm="1">
        <f t="array" ref="L116">IF(AND(OR(J116=0,J116=""),OR(K116=0,K116="")),"",_xlfn.IFS($C$22&gt;=0.0035,0.003,$C$22&lt;0.0005,0,$C$22&lt;0.0035,$C$22-0.0005))</f>
        <v>#REF!</v>
      </c>
      <c r="M116" s="66" t="e">
        <f t="shared" si="64"/>
        <v>#REF!</v>
      </c>
      <c r="N116" s="106"/>
    </row>
    <row r="117" spans="2:14" s="14" customFormat="1" hidden="1" x14ac:dyDescent="0.4">
      <c r="B117" s="263"/>
      <c r="C117" s="266"/>
      <c r="D117" s="51" t="s">
        <v>40</v>
      </c>
      <c r="E117" s="74" t="e">
        <f t="shared" si="63"/>
        <v>#REF!</v>
      </c>
      <c r="F117" s="52" t="e">
        <f t="shared" si="60"/>
        <v>#REF!</v>
      </c>
      <c r="G117" s="102" t="e">
        <f>IF(G116="","",IF(G116+1&gt;DATE($B$112,9,30),"",IF(OR($C$20="",$C$21=""),"",IF($C$20="月末",IF(EOMONTH(G116,VLOOKUP($C$21,#REF!,2,FALSE))&gt;DATE($B$112,9,30),"",EOMONTH(G116,VLOOKUP($C$21,#REF!,2,FALSE))),IF(EOMONTH(G116,VLOOKUP($C$21,#REF!,2,FALSE)-1)+$C$20&gt;DATE($B$112,9,30),"",EOMONTH(G116,VLOOKUP($C$21,#REF!,2,FALSE)-1)+$C$20)))))</f>
        <v>#REF!</v>
      </c>
      <c r="H117" s="52" t="e">
        <f t="shared" si="58"/>
        <v>#REF!</v>
      </c>
      <c r="I117" s="53" t="e">
        <f>IF(G117="","",DATEDIF(E117,G117,"D")+1)</f>
        <v>#REF!</v>
      </c>
      <c r="J117" s="50" t="e">
        <f t="shared" si="65"/>
        <v>#REF!</v>
      </c>
      <c r="K117" s="50" t="e">
        <f>IF(G117&lt;&gt;"",IF($C$13="","",IF(K116="","",IF(K116&lt;=0,"",IF(K116=$C$15,K116-$C$15,K116-$C$14)))),"")</f>
        <v>#REF!</v>
      </c>
      <c r="L117" s="83" t="e" cm="1">
        <f t="array" ref="L117">IF(AND(OR(J117=0,J117=""),OR(K117=0,K117="")),"",_xlfn.IFS($C$22&gt;=0.0035,0.003,$C$22&lt;0.0005,0,$C$22&lt;0.0035,$C$22-0.0005))</f>
        <v>#REF!</v>
      </c>
      <c r="M117" s="69" t="e">
        <f t="shared" si="64"/>
        <v>#REF!</v>
      </c>
      <c r="N117" s="106"/>
    </row>
    <row r="118" spans="2:14" s="14" customFormat="1" ht="19.5" hidden="1" thickBot="1" x14ac:dyDescent="0.45">
      <c r="B118" s="264"/>
      <c r="C118" s="57" t="s">
        <v>10</v>
      </c>
      <c r="D118" s="58"/>
      <c r="E118" s="75" t="e" cm="1">
        <f t="array" ref="E118">_xlfn.SINGLE(IF(E112:E117&lt;&gt;"",MIN(E112:E117),""))</f>
        <v>#REF!</v>
      </c>
      <c r="F118" s="59" t="e">
        <f t="shared" si="60"/>
        <v>#REF!</v>
      </c>
      <c r="G118" s="75" t="e" cm="1">
        <f t="array" ref="G118">_xlfn.SINGLE(IF(G112:G117&lt;&gt;"",MAX(G112:G117),""))</f>
        <v>#REF!</v>
      </c>
      <c r="H118" s="59" t="e">
        <f t="shared" si="58"/>
        <v>#REF!</v>
      </c>
      <c r="I118" s="60" t="e">
        <f>SUM(I112:I117)</f>
        <v>#REF!</v>
      </c>
      <c r="J118" s="58"/>
      <c r="K118" s="58"/>
      <c r="L118" s="84"/>
      <c r="M118" s="72"/>
      <c r="N118" s="106"/>
    </row>
    <row r="119" spans="2:14" s="14" customFormat="1" hidden="1" x14ac:dyDescent="0.4">
      <c r="B119" s="263"/>
      <c r="C119" s="267" t="s">
        <v>4</v>
      </c>
      <c r="D119" s="54" t="s">
        <v>9</v>
      </c>
      <c r="E119" s="73" t="e">
        <f t="shared" ref="E119:E124" si="67">IF(G118="","",IF(G119="","",IF(G118+1&gt;DATE($B$112+1,3,31),"",G118+1)))</f>
        <v>#REF!</v>
      </c>
      <c r="F119" s="46" t="e">
        <f t="shared" si="60"/>
        <v>#REF!</v>
      </c>
      <c r="G119" s="102" t="e">
        <f>IF(G118="","",IF(G118+1&gt;DATE($B$112+1,3,31),"",IF(OR($C$20="",$C$21=""),"",IF($C$20="月末",IF(EOMONTH(G118,VLOOKUP($C$21,#REF!,2,FALSE))&gt;DATE($B$112+1,3,31),"",EOMONTH(G118,VLOOKUP($C$21,#REF!,2,FALSE))),IF(EOMONTH(G118,VLOOKUP($C$21,#REF!,2,FALSE)-1)+$C$20&gt;DATE($B$112+1,3,31),"",EOMONTH(G118,VLOOKUP($C$21,#REF!,2,FALSE)-1)+$C$20)))))</f>
        <v>#REF!</v>
      </c>
      <c r="H119" s="46" t="e">
        <f>IF(G119="","",TEXT(G119,"aaa"))</f>
        <v>#REF!</v>
      </c>
      <c r="I119" s="47" t="e">
        <f>IF(G119="","",DATEDIF(E119,G119,"D")+1)</f>
        <v>#REF!</v>
      </c>
      <c r="J119" s="50" t="e" cm="1">
        <f t="array" ref="J119">_xlfn.SINGLE(IF(G119&lt;&gt;"",IF($C$6="","",IF(J112:J117&lt;&gt;"",IF(MIN(J112:J117)&lt;=0,"",IF(MIN(J112:J117)=$C$8,MIN(J112:J117)-$C$8,MIN(J112:J117)-$C$7)),"")),""))</f>
        <v>#REF!</v>
      </c>
      <c r="K119" s="50" t="str" cm="1">
        <f t="array" ref="K119">_xlfn.SINGLE(IF($C$13="","",IF(K112:K117&lt;&gt;"",IF(MIN(K112:K117)&lt;=0,"",IF(MIN(K112:K117)=$C$15,MIN(K112:K117)-$C$15,MIN(K112:K117)-$C$14)),"")))</f>
        <v/>
      </c>
      <c r="L119" s="85" t="e" cm="1">
        <f t="array" ref="L119">IF(AND(OR(J119=0,J119=""),OR(K119=0,K119="")),"",_xlfn.IFS($C$22&gt;=0.0035,0.003,$C$22&lt;0.0005,0,$C$22&lt;0.0035,$C$22-0.0005))</f>
        <v>#REF!</v>
      </c>
      <c r="M119" s="63" t="str">
        <f t="shared" ref="M119:M124" si="68">IF(OR(K119="",K119=0),"",IF(G119="","",$C$14))</f>
        <v/>
      </c>
      <c r="N119" s="106"/>
    </row>
    <row r="120" spans="2:14" s="14" customFormat="1" hidden="1" x14ac:dyDescent="0.4">
      <c r="B120" s="263"/>
      <c r="C120" s="266"/>
      <c r="D120" s="49" t="s">
        <v>8</v>
      </c>
      <c r="E120" s="73" t="e">
        <f t="shared" si="67"/>
        <v>#REF!</v>
      </c>
      <c r="F120" s="46" t="e">
        <f t="shared" si="60"/>
        <v>#REF!</v>
      </c>
      <c r="G120" s="102" t="e">
        <f>IF(G119="","",IF(G119+1&gt;DATE($B$112+1,3,31),"",IF(OR($C$20="",$C$21=""),"",IF($C$20="月末",IF(EOMONTH(G119,VLOOKUP($C$21,#REF!,2,FALSE))&gt;DATE($B$112+1,3,31),"",EOMONTH(G119,VLOOKUP($C$21,#REF!,2,FALSE))),IF(EOMONTH(G119,VLOOKUP($C$21,#REF!,2,FALSE)-1)+$C$20&gt;DATE($B$112+1,3,31),"",EOMONTH(G119,VLOOKUP($C$21,#REF!,2,FALSE)-1)+$C$20)))))</f>
        <v>#REF!</v>
      </c>
      <c r="H120" s="46" t="e">
        <f t="shared" ref="H120:H132" si="69">IF(G120="","",TEXT(G120,"aaa"))</f>
        <v>#REF!</v>
      </c>
      <c r="I120" s="47" t="e">
        <f>IF(G120="","",DATEDIF(E120,G120,"D")+1)</f>
        <v>#REF!</v>
      </c>
      <c r="J120" s="50" t="e">
        <f t="shared" ref="J120:J124" si="70">IF(G120&lt;&gt;"",IF($C$6="","",IF(J119="","",IF(J119&lt;=0,"",IF(J119=$C$8,J119-$C$8,J119-$C$7)))),"")</f>
        <v>#REF!</v>
      </c>
      <c r="K120" s="50" t="e">
        <f>IF(G120&lt;&gt;"",IF($C$13="","",IF(K119="","",IF(K119&lt;=0,"",IF(K119=$C$15,K119-$C$15,K119-$C$14)))),"")</f>
        <v>#REF!</v>
      </c>
      <c r="L120" s="82" t="e" cm="1">
        <f t="array" ref="L120">IF(AND(OR(J120=0,J120=""),OR(K120=0,K120="")),"",_xlfn.IFS($C$22&gt;=0.0035,0.003,$C$22&lt;0.0005,0,$C$22&lt;0.0035,$C$22-0.0005))</f>
        <v>#REF!</v>
      </c>
      <c r="M120" s="66" t="e">
        <f t="shared" si="68"/>
        <v>#REF!</v>
      </c>
      <c r="N120" s="106"/>
    </row>
    <row r="121" spans="2:14" s="14" customFormat="1" hidden="1" x14ac:dyDescent="0.4">
      <c r="B121" s="263"/>
      <c r="C121" s="266"/>
      <c r="D121" s="49" t="s">
        <v>37</v>
      </c>
      <c r="E121" s="73" t="e">
        <f t="shared" si="67"/>
        <v>#REF!</v>
      </c>
      <c r="F121" s="46" t="e">
        <f t="shared" si="60"/>
        <v>#REF!</v>
      </c>
      <c r="G121" s="102" t="e">
        <f>IF(G120="","",IF(G120+1&gt;DATE($B$112+1,3,31),"",IF(OR($C$20="",$C$21=""),"",IF($C$20="月末",IF(EOMONTH(G120,VLOOKUP($C$21,#REF!,2,FALSE))&gt;DATE($B$112+1,3,31),"",EOMONTH(G120,VLOOKUP($C$21,#REF!,2,FALSE))),IF(EOMONTH(G120,VLOOKUP($C$21,#REF!,2,FALSE)-1)+$C$20&gt;DATE($B$112+1,3,31),"",EOMONTH(G120,VLOOKUP($C$21,#REF!,2,FALSE)-1)+$C$20)))))</f>
        <v>#REF!</v>
      </c>
      <c r="H121" s="46" t="e">
        <f t="shared" si="69"/>
        <v>#REF!</v>
      </c>
      <c r="I121" s="47" t="e">
        <f t="shared" ref="I121:I123" si="71">IF(G121="","",DATEDIF(E121,G121,"D")+1)</f>
        <v>#REF!</v>
      </c>
      <c r="J121" s="50" t="e">
        <f t="shared" si="70"/>
        <v>#REF!</v>
      </c>
      <c r="K121" s="50" t="e">
        <f>IF(G121&lt;&gt;"",IF($C$13="","",IF(K120="","",IF(K120&lt;=0,"",IF(K120=$C$15,K120-$C$15,K120-$C$14)))),"")</f>
        <v>#REF!</v>
      </c>
      <c r="L121" s="82" t="e" cm="1">
        <f t="array" ref="L121">IF(AND(OR(J121=0,J121=""),OR(K121=0,K121="")),"",_xlfn.IFS($C$22&gt;=0.0035,0.003,$C$22&lt;0.0005,0,$C$22&lt;0.0035,$C$22-0.0005))</f>
        <v>#REF!</v>
      </c>
      <c r="M121" s="66" t="e">
        <f t="shared" si="68"/>
        <v>#REF!</v>
      </c>
      <c r="N121" s="106"/>
    </row>
    <row r="122" spans="2:14" s="14" customFormat="1" hidden="1" x14ac:dyDescent="0.4">
      <c r="B122" s="263"/>
      <c r="C122" s="266"/>
      <c r="D122" s="49" t="s">
        <v>38</v>
      </c>
      <c r="E122" s="73" t="e">
        <f t="shared" si="67"/>
        <v>#REF!</v>
      </c>
      <c r="F122" s="46" t="e">
        <f t="shared" si="60"/>
        <v>#REF!</v>
      </c>
      <c r="G122" s="102" t="e">
        <f>IF(G121="","",IF(G121+1&gt;DATE($B$112+1,3,31),"",IF(OR($C$20="",$C$21=""),"",IF($C$20="月末",IF(EOMONTH(G121,VLOOKUP($C$21,#REF!,2,FALSE))&gt;DATE($B$112+1,3,31),"",EOMONTH(G121,VLOOKUP($C$21,#REF!,2,FALSE))),IF(EOMONTH(G121,VLOOKUP($C$21,#REF!,2,FALSE)-1)+$C$20&gt;DATE($B$112+1,3,31),"",EOMONTH(G121,VLOOKUP($C$21,#REF!,2,FALSE)-1)+$C$20)))))</f>
        <v>#REF!</v>
      </c>
      <c r="H122" s="46" t="e">
        <f t="shared" si="69"/>
        <v>#REF!</v>
      </c>
      <c r="I122" s="47" t="e">
        <f t="shared" si="71"/>
        <v>#REF!</v>
      </c>
      <c r="J122" s="50" t="e">
        <f t="shared" si="70"/>
        <v>#REF!</v>
      </c>
      <c r="K122" s="50" t="e">
        <f>IF(G122&lt;&gt;"",IF($C$13="","",IF(K121="","",IF(K121&lt;=0,"",IF(K121=$C$15,K121-$C$15,K121-$C$14)))),"")</f>
        <v>#REF!</v>
      </c>
      <c r="L122" s="82" t="e" cm="1">
        <f t="array" ref="L122">IF(AND(OR(J122=0,J122=""),OR(K122=0,K122="")),"",_xlfn.IFS($C$22&gt;=0.0035,0.003,$C$22&lt;0.0005,0,$C$22&lt;0.0035,$C$22-0.0005))</f>
        <v>#REF!</v>
      </c>
      <c r="M122" s="66" t="e">
        <f t="shared" si="68"/>
        <v>#REF!</v>
      </c>
      <c r="N122" s="106"/>
    </row>
    <row r="123" spans="2:14" s="14" customFormat="1" hidden="1" x14ac:dyDescent="0.4">
      <c r="B123" s="263"/>
      <c r="C123" s="266"/>
      <c r="D123" s="49" t="s">
        <v>39</v>
      </c>
      <c r="E123" s="73" t="e">
        <f t="shared" si="67"/>
        <v>#REF!</v>
      </c>
      <c r="F123" s="46" t="e">
        <f t="shared" si="60"/>
        <v>#REF!</v>
      </c>
      <c r="G123" s="102" t="e">
        <f>IF(G122="","",IF(G122+1&gt;DATE($B$112+1,3,31),"",IF(OR($C$20="",$C$21=""),"",IF($C$20="月末",IF(EOMONTH(G122,VLOOKUP($C$21,#REF!,2,FALSE))&gt;DATE($B$112+1,3,31),"",EOMONTH(G122,VLOOKUP($C$21,#REF!,2,FALSE))),IF(EOMONTH(G122,VLOOKUP($C$21,#REF!,2,FALSE)-1)+$C$20&gt;DATE($B$112+1,3,31),"",EOMONTH(G122,VLOOKUP($C$21,#REF!,2,FALSE)-1)+$C$20)))))</f>
        <v>#REF!</v>
      </c>
      <c r="H123" s="46" t="e">
        <f t="shared" si="69"/>
        <v>#REF!</v>
      </c>
      <c r="I123" s="47" t="e">
        <f t="shared" si="71"/>
        <v>#REF!</v>
      </c>
      <c r="J123" s="50" t="e">
        <f t="shared" si="70"/>
        <v>#REF!</v>
      </c>
      <c r="K123" s="50" t="e">
        <f>IF(G123&lt;&gt;"",IF($C$13="","",IF(K122="","",IF(K122&lt;=0,"",IF(K122=$C$15,K122-$C$15,K122-$C$14)))),"")</f>
        <v>#REF!</v>
      </c>
      <c r="L123" s="82" t="e" cm="1">
        <f t="array" ref="L123">IF(AND(OR(J123=0,J123=""),OR(K123=0,K123="")),"",_xlfn.IFS($C$22&gt;=0.0035,0.003,$C$22&lt;0.0005,0,$C$22&lt;0.0035,$C$22-0.0005))</f>
        <v>#REF!</v>
      </c>
      <c r="M123" s="66" t="e">
        <f t="shared" si="68"/>
        <v>#REF!</v>
      </c>
      <c r="N123" s="106"/>
    </row>
    <row r="124" spans="2:14" s="14" customFormat="1" hidden="1" x14ac:dyDescent="0.4">
      <c r="B124" s="263"/>
      <c r="C124" s="266"/>
      <c r="D124" s="51" t="s">
        <v>41</v>
      </c>
      <c r="E124" s="74" t="e">
        <f t="shared" si="67"/>
        <v>#REF!</v>
      </c>
      <c r="F124" s="52" t="e">
        <f t="shared" si="60"/>
        <v>#REF!</v>
      </c>
      <c r="G124" s="102" t="e">
        <f>IF(G123="","",IF(G123+1&gt;DATE($B$112+1,3,31),"",IF(OR($C$20="",$C$21=""),"",IF($C$20="月末",IF(EOMONTH(G123,VLOOKUP($C$21,#REF!,2,FALSE))&gt;DATE($B$112+1,3,31),"",EOMONTH(G123,VLOOKUP($C$21,#REF!,2,FALSE))),IF(EOMONTH(G123,VLOOKUP($C$21,#REF!,2,FALSE)-1)+$C$20&gt;DATE($B$112+1,3,31),"",EOMONTH(G123,VLOOKUP($C$21,#REF!,2,FALSE)-1)+$C$20)))))</f>
        <v>#REF!</v>
      </c>
      <c r="H124" s="52" t="e">
        <f t="shared" si="69"/>
        <v>#REF!</v>
      </c>
      <c r="I124" s="53" t="e">
        <f>IF(G124="","",DATEDIF(E124,G124,"D")+1)</f>
        <v>#REF!</v>
      </c>
      <c r="J124" s="50" t="e">
        <f t="shared" si="70"/>
        <v>#REF!</v>
      </c>
      <c r="K124" s="50" t="e">
        <f>IF(G124&lt;&gt;"",IF($C$13="","",IF(K123="","",IF(K123&lt;=0,"",IF(K123=$C$15,K123-$C$15,K123-$C$14)))),"")</f>
        <v>#REF!</v>
      </c>
      <c r="L124" s="83" t="e" cm="1">
        <f t="array" ref="L124">IF(AND(OR(J124=0,J124=""),OR(K124=0,K124="")),"",_xlfn.IFS($C$22&gt;=0.0035,0.003,$C$22&lt;0.0005,0,$C$22&lt;0.0035,$C$22-0.0005))</f>
        <v>#REF!</v>
      </c>
      <c r="M124" s="69" t="e">
        <f t="shared" si="68"/>
        <v>#REF!</v>
      </c>
      <c r="N124" s="106"/>
    </row>
    <row r="125" spans="2:14" s="14" customFormat="1" ht="19.5" hidden="1" thickBot="1" x14ac:dyDescent="0.45">
      <c r="B125" s="265"/>
      <c r="C125" s="57" t="s">
        <v>10</v>
      </c>
      <c r="D125" s="58"/>
      <c r="E125" s="75" t="e" cm="1">
        <f t="array" ref="E125">_xlfn.SINGLE(IF(E119:E124&lt;&gt;"",MIN(E119:E124),""))</f>
        <v>#REF!</v>
      </c>
      <c r="F125" s="59" t="e">
        <f t="shared" si="60"/>
        <v>#REF!</v>
      </c>
      <c r="G125" s="75" t="e" cm="1">
        <f t="array" ref="G125">_xlfn.SINGLE(IF(G119:G124&lt;&gt;"",MAX(G119:G124),""))</f>
        <v>#REF!</v>
      </c>
      <c r="H125" s="59" t="e">
        <f t="shared" si="69"/>
        <v>#REF!</v>
      </c>
      <c r="I125" s="60" t="e">
        <f>SUM(I119:I124)</f>
        <v>#REF!</v>
      </c>
      <c r="J125" s="58"/>
      <c r="K125" s="58"/>
      <c r="L125" s="84"/>
      <c r="M125" s="72"/>
      <c r="N125" s="106"/>
    </row>
    <row r="126" spans="2:14" s="14" customFormat="1" hidden="1" x14ac:dyDescent="0.4">
      <c r="B126" s="262">
        <f t="shared" ref="B126" si="72">B112+1</f>
        <v>2031</v>
      </c>
      <c r="C126" s="266" t="s">
        <v>3</v>
      </c>
      <c r="D126" s="45" t="s">
        <v>6</v>
      </c>
      <c r="E126" s="73" t="e">
        <f t="shared" ref="E126:E131" si="73">IF(G125="","",IF(G126="","",IF(G125+1&gt;DATE($B$126+1,3,31),"",G125+1)))</f>
        <v>#REF!</v>
      </c>
      <c r="F126" s="46" t="e">
        <f t="shared" si="60"/>
        <v>#REF!</v>
      </c>
      <c r="G126" s="102" t="e">
        <f>IF(G125="","",IF(G125+1&gt;DATE($B$126,9,30),"",IF(OR($C$20="",$C$21=""),"",IF($C$20="月末",IF(EOMONTH(G125,VLOOKUP($C$21,#REF!,2,FALSE))&gt;DATE($B$126,9,30),"",EOMONTH(G125,VLOOKUP($C$21,#REF!,2,FALSE))),IF(EOMONTH(G125,VLOOKUP($C$21,#REF!,2,FALSE)-1)+$C$20&gt;DATE($B$126,9,30),"",EOMONTH(G125,VLOOKUP($C$21,#REF!,2,FALSE)-1)+$C$20)))))</f>
        <v>#REF!</v>
      </c>
      <c r="H126" s="46" t="e">
        <f t="shared" si="69"/>
        <v>#REF!</v>
      </c>
      <c r="I126" s="47" t="e">
        <f>IF(G126="","",DATEDIF(E126,G126,"D")+1)</f>
        <v>#REF!</v>
      </c>
      <c r="J126" s="50" t="e" cm="1">
        <f t="array" ref="J126">_xlfn.SINGLE(IF(G126&lt;&gt;"",IF($C$6="","",IF(J119:J124&lt;&gt;"",IF(MIN(J119:J124)&lt;=0,"",IF(MIN(J119:J124)=$C$8,MIN(J119:J124)-$C$8,MIN(J119:J124)-$C$7)),"")),""))</f>
        <v>#REF!</v>
      </c>
      <c r="K126" s="50" t="str" cm="1">
        <f t="array" ref="K126">_xlfn.SINGLE(IF($C$13="","",IF(K119:K124&lt;&gt;"",IF(MIN(K119:K124)&lt;=0,"",IF(MIN(K119:K124)=$C$15,MIN(K119:K124)-$C$15,MIN(K119:K124)-$C$14)),"")))</f>
        <v/>
      </c>
      <c r="L126" s="82" t="e" cm="1">
        <f t="array" ref="L126">IF(AND(OR(J126=0,J126=""),OR(K126=0,K126="")),"",_xlfn.IFS($C$22&gt;=0.0035,0.003,$C$22&lt;0.0005,0,$C$22&lt;0.0035,$C$22-0.0005))</f>
        <v>#REF!</v>
      </c>
      <c r="M126" s="63" t="str">
        <f t="shared" ref="M126:M131" si="74">IF(OR(K126="",K126=0),"",IF(G126="","",$C$14))</f>
        <v/>
      </c>
      <c r="N126" s="106"/>
    </row>
    <row r="127" spans="2:14" s="14" customFormat="1" hidden="1" x14ac:dyDescent="0.4">
      <c r="B127" s="263"/>
      <c r="C127" s="266"/>
      <c r="D127" s="49" t="s">
        <v>7</v>
      </c>
      <c r="E127" s="73" t="e">
        <f t="shared" si="73"/>
        <v>#REF!</v>
      </c>
      <c r="F127" s="46" t="e">
        <f t="shared" si="60"/>
        <v>#REF!</v>
      </c>
      <c r="G127" s="102" t="e">
        <f>IF(G126="","",IF(G126+1&gt;DATE($B$126,9,30),"",IF(OR($C$20="",$C$21=""),"",IF($C$20="月末",IF(EOMONTH(G126,VLOOKUP($C$21,#REF!,2,FALSE))&gt;DATE($B$126,9,30),"",EOMONTH(G126,VLOOKUP($C$21,#REF!,2,FALSE))),IF(EOMONTH(G126,VLOOKUP($C$21,#REF!,2,FALSE)-1)+$C$20&gt;DATE($B$126,9,30),"",EOMONTH(G126,VLOOKUP($C$21,#REF!,2,FALSE)-1)+$C$20)))))</f>
        <v>#REF!</v>
      </c>
      <c r="H127" s="46" t="e">
        <f t="shared" si="69"/>
        <v>#REF!</v>
      </c>
      <c r="I127" s="47" t="e">
        <f>IF(G127="","",DATEDIF(E127,G127,"D")+1)</f>
        <v>#REF!</v>
      </c>
      <c r="J127" s="50" t="e">
        <f t="shared" ref="J127:J131" si="75">IF(G127&lt;&gt;"",IF($C$6="","",IF(J126="","",IF(J126&lt;=0,"",IF(J126=$C$8,J126-$C$8,J126-$C$7)))),"")</f>
        <v>#REF!</v>
      </c>
      <c r="K127" s="50" t="e">
        <f>IF(G127&lt;&gt;"",IF($C$13="","",IF(K126="","",IF(K126&lt;=0,"",IF(K126=$C$15,K126-$C$15,K126-$C$14)))),"")</f>
        <v>#REF!</v>
      </c>
      <c r="L127" s="82" t="e" cm="1">
        <f t="array" ref="L127">IF(AND(OR(J127=0,J127=""),OR(K127=0,K127="")),"",_xlfn.IFS($C$22&gt;=0.0035,0.003,$C$22&lt;0.0005,0,$C$22&lt;0.0035,$C$22-0.0005))</f>
        <v>#REF!</v>
      </c>
      <c r="M127" s="66" t="e">
        <f t="shared" si="74"/>
        <v>#REF!</v>
      </c>
      <c r="N127" s="106"/>
    </row>
    <row r="128" spans="2:14" s="14" customFormat="1" hidden="1" x14ac:dyDescent="0.4">
      <c r="B128" s="263"/>
      <c r="C128" s="266"/>
      <c r="D128" s="49" t="s">
        <v>34</v>
      </c>
      <c r="E128" s="73" t="e">
        <f t="shared" si="73"/>
        <v>#REF!</v>
      </c>
      <c r="F128" s="46" t="e">
        <f t="shared" si="60"/>
        <v>#REF!</v>
      </c>
      <c r="G128" s="102" t="e">
        <f>IF(G127="","",IF(G127+1&gt;DATE($B$126,9,30),"",IF(OR($C$20="",$C$21=""),"",IF($C$20="月末",IF(EOMONTH(G127,VLOOKUP($C$21,#REF!,2,FALSE))&gt;DATE($B$126,9,30),"",EOMONTH(G127,VLOOKUP($C$21,#REF!,2,FALSE))),IF(EOMONTH(G127,VLOOKUP($C$21,#REF!,2,FALSE)-1)+$C$20&gt;DATE($B$126,9,30),"",EOMONTH(G127,VLOOKUP($C$21,#REF!,2,FALSE)-1)+$C$20)))))</f>
        <v>#REF!</v>
      </c>
      <c r="H128" s="46" t="e">
        <f t="shared" si="69"/>
        <v>#REF!</v>
      </c>
      <c r="I128" s="47" t="e">
        <f t="shared" ref="I128:I130" si="76">IF(G128="","",DATEDIF(E128,G128,"D")+1)</f>
        <v>#REF!</v>
      </c>
      <c r="J128" s="50" t="e">
        <f t="shared" si="75"/>
        <v>#REF!</v>
      </c>
      <c r="K128" s="50" t="e">
        <f>IF(G128&lt;&gt;"",IF($C$13="","",IF(K127="","",IF(K127&lt;=0,"",IF(K127=$C$15,K127-$C$15,K127-$C$14)))),"")</f>
        <v>#REF!</v>
      </c>
      <c r="L128" s="82" t="e" cm="1">
        <f t="array" ref="L128">IF(AND(OR(J128=0,J128=""),OR(K128=0,K128="")),"",_xlfn.IFS($C$22&gt;=0.0035,0.003,$C$22&lt;0.0005,0,$C$22&lt;0.0035,$C$22-0.0005))</f>
        <v>#REF!</v>
      </c>
      <c r="M128" s="66" t="e">
        <f t="shared" si="74"/>
        <v>#REF!</v>
      </c>
      <c r="N128" s="106"/>
    </row>
    <row r="129" spans="2:14" s="14" customFormat="1" hidden="1" x14ac:dyDescent="0.4">
      <c r="B129" s="263"/>
      <c r="C129" s="266"/>
      <c r="D129" s="49" t="s">
        <v>35</v>
      </c>
      <c r="E129" s="73" t="e">
        <f t="shared" si="73"/>
        <v>#REF!</v>
      </c>
      <c r="F129" s="46" t="e">
        <f t="shared" si="60"/>
        <v>#REF!</v>
      </c>
      <c r="G129" s="102" t="e">
        <f>IF(G128="","",IF(G128+1&gt;DATE($B$126,9,30),"",IF(OR($C$20="",$C$21=""),"",IF($C$20="月末",IF(EOMONTH(G128,VLOOKUP($C$21,#REF!,2,FALSE))&gt;DATE($B$126,9,30),"",EOMONTH(G128,VLOOKUP($C$21,#REF!,2,FALSE))),IF(EOMONTH(G128,VLOOKUP($C$21,#REF!,2,FALSE)-1)+$C$20&gt;DATE($B$126,9,30),"",EOMONTH(G128,VLOOKUP($C$21,#REF!,2,FALSE)-1)+$C$20)))))</f>
        <v>#REF!</v>
      </c>
      <c r="H129" s="46" t="e">
        <f t="shared" si="69"/>
        <v>#REF!</v>
      </c>
      <c r="I129" s="47" t="e">
        <f t="shared" si="76"/>
        <v>#REF!</v>
      </c>
      <c r="J129" s="50" t="e">
        <f t="shared" si="75"/>
        <v>#REF!</v>
      </c>
      <c r="K129" s="50" t="e">
        <f>IF(G129&lt;&gt;"",IF($C$13="","",IF(K128="","",IF(K128&lt;=0,"",IF(K128=$C$15,K128-$C$15,K128-$C$14)))),"")</f>
        <v>#REF!</v>
      </c>
      <c r="L129" s="82" t="e" cm="1">
        <f t="array" ref="L129">IF(AND(OR(J129=0,J129=""),OR(K129=0,K129="")),"",_xlfn.IFS($C$22&gt;=0.0035,0.003,$C$22&lt;0.0005,0,$C$22&lt;0.0035,$C$22-0.0005))</f>
        <v>#REF!</v>
      </c>
      <c r="M129" s="66" t="e">
        <f t="shared" si="74"/>
        <v>#REF!</v>
      </c>
      <c r="N129" s="106"/>
    </row>
    <row r="130" spans="2:14" s="14" customFormat="1" hidden="1" x14ac:dyDescent="0.4">
      <c r="B130" s="263"/>
      <c r="C130" s="266"/>
      <c r="D130" s="49" t="s">
        <v>36</v>
      </c>
      <c r="E130" s="73" t="e">
        <f t="shared" si="73"/>
        <v>#REF!</v>
      </c>
      <c r="F130" s="46" t="e">
        <f t="shared" si="60"/>
        <v>#REF!</v>
      </c>
      <c r="G130" s="102" t="e">
        <f>IF(G129="","",IF(G129+1&gt;DATE($B$126,9,30),"",IF(OR($C$20="",$C$21=""),"",IF($C$20="月末",IF(EOMONTH(G129,VLOOKUP($C$21,#REF!,2,FALSE))&gt;DATE($B$126,9,30),"",EOMONTH(G129,VLOOKUP($C$21,#REF!,2,FALSE))),IF(EOMONTH(G129,VLOOKUP($C$21,#REF!,2,FALSE)-1)+$C$20&gt;DATE($B$126,9,30),"",EOMONTH(G129,VLOOKUP($C$21,#REF!,2,FALSE)-1)+$C$20)))))</f>
        <v>#REF!</v>
      </c>
      <c r="H130" s="46" t="e">
        <f t="shared" si="69"/>
        <v>#REF!</v>
      </c>
      <c r="I130" s="47" t="e">
        <f t="shared" si="76"/>
        <v>#REF!</v>
      </c>
      <c r="J130" s="50" t="e">
        <f t="shared" si="75"/>
        <v>#REF!</v>
      </c>
      <c r="K130" s="50" t="e">
        <f>IF(G130&lt;&gt;"",IF($C$13="","",IF(K129="","",IF(K129&lt;=0,"",IF(K129=$C$15,K129-$C$15,K129-$C$14)))),"")</f>
        <v>#REF!</v>
      </c>
      <c r="L130" s="82" t="e" cm="1">
        <f t="array" ref="L130">IF(AND(OR(J130=0,J130=""),OR(K130=0,K130="")),"",_xlfn.IFS($C$22&gt;=0.0035,0.003,$C$22&lt;0.0005,0,$C$22&lt;0.0035,$C$22-0.0005))</f>
        <v>#REF!</v>
      </c>
      <c r="M130" s="66" t="e">
        <f t="shared" si="74"/>
        <v>#REF!</v>
      </c>
      <c r="N130" s="106"/>
    </row>
    <row r="131" spans="2:14" s="14" customFormat="1" hidden="1" x14ac:dyDescent="0.4">
      <c r="B131" s="263"/>
      <c r="C131" s="266"/>
      <c r="D131" s="51" t="s">
        <v>40</v>
      </c>
      <c r="E131" s="74" t="e">
        <f t="shared" si="73"/>
        <v>#REF!</v>
      </c>
      <c r="F131" s="52" t="e">
        <f t="shared" si="60"/>
        <v>#REF!</v>
      </c>
      <c r="G131" s="102" t="e">
        <f>IF(G130="","",IF(G130+1&gt;DATE($B$126,9,30),"",IF(OR($C$20="",$C$21=""),"",IF($C$20="月末",IF(EOMONTH(G130,VLOOKUP($C$21,#REF!,2,FALSE))&gt;DATE($B$126,9,30),"",EOMONTH(G130,VLOOKUP($C$21,#REF!,2,FALSE))),IF(EOMONTH(G130,VLOOKUP($C$21,#REF!,2,FALSE)-1)+$C$20&gt;DATE($B$126,9,30),"",EOMONTH(G130,VLOOKUP($C$21,#REF!,2,FALSE)-1)+$C$20)))))</f>
        <v>#REF!</v>
      </c>
      <c r="H131" s="52" t="e">
        <f t="shared" si="69"/>
        <v>#REF!</v>
      </c>
      <c r="I131" s="53" t="e">
        <f>IF(G131="","",DATEDIF(E131,G131,"D")+1)</f>
        <v>#REF!</v>
      </c>
      <c r="J131" s="50" t="e">
        <f t="shared" si="75"/>
        <v>#REF!</v>
      </c>
      <c r="K131" s="50" t="e">
        <f>IF(G131&lt;&gt;"",IF($C$13="","",IF(K130="","",IF(K130&lt;=0,"",IF(K130=$C$15,K130-$C$15,K130-$C$14)))),"")</f>
        <v>#REF!</v>
      </c>
      <c r="L131" s="83" t="e" cm="1">
        <f t="array" ref="L131">IF(AND(OR(J131=0,J131=""),OR(K131=0,K131="")),"",_xlfn.IFS($C$22&gt;=0.0035,0.003,$C$22&lt;0.0005,0,$C$22&lt;0.0035,$C$22-0.0005))</f>
        <v>#REF!</v>
      </c>
      <c r="M131" s="69" t="e">
        <f t="shared" si="74"/>
        <v>#REF!</v>
      </c>
      <c r="N131" s="106"/>
    </row>
    <row r="132" spans="2:14" s="14" customFormat="1" ht="19.5" hidden="1" thickBot="1" x14ac:dyDescent="0.45">
      <c r="B132" s="264"/>
      <c r="C132" s="57" t="s">
        <v>10</v>
      </c>
      <c r="D132" s="58"/>
      <c r="E132" s="75" t="e" cm="1">
        <f t="array" ref="E132">_xlfn.SINGLE(IF(E126:E131&lt;&gt;"",MIN(E126:E131),""))</f>
        <v>#REF!</v>
      </c>
      <c r="F132" s="59" t="e">
        <f t="shared" si="60"/>
        <v>#REF!</v>
      </c>
      <c r="G132" s="75" t="e" cm="1">
        <f t="array" ref="G132">_xlfn.SINGLE(IF(G126:G131&lt;&gt;"",MAX(G126:G131),""))</f>
        <v>#REF!</v>
      </c>
      <c r="H132" s="59" t="e">
        <f t="shared" si="69"/>
        <v>#REF!</v>
      </c>
      <c r="I132" s="60" t="e">
        <f>SUM(I126:I131)</f>
        <v>#REF!</v>
      </c>
      <c r="J132" s="58"/>
      <c r="K132" s="58"/>
      <c r="L132" s="84"/>
      <c r="M132" s="72"/>
      <c r="N132" s="106"/>
    </row>
    <row r="133" spans="2:14" s="14" customFormat="1" hidden="1" x14ac:dyDescent="0.4">
      <c r="B133" s="263"/>
      <c r="C133" s="267" t="s">
        <v>4</v>
      </c>
      <c r="D133" s="54" t="s">
        <v>9</v>
      </c>
      <c r="E133" s="73" t="e">
        <f t="shared" ref="E133:E138" si="77">IF(G132="","",IF(G133="","",IF(G132+1&gt;DATE($B$126+1,3,31),"",G132+1)))</f>
        <v>#REF!</v>
      </c>
      <c r="F133" s="46" t="e">
        <f t="shared" si="60"/>
        <v>#REF!</v>
      </c>
      <c r="G133" s="102" t="e">
        <f>IF(G132="","",IF(G132+1&gt;DATE($B$126+1,3,31),"",IF(OR($C$20="",$C$21=""),"",IF($C$20="月末",IF(EOMONTH(G132,VLOOKUP($C$21,#REF!,2,FALSE))&gt;DATE($B$126+1,3,31),"",EOMONTH(G132,VLOOKUP($C$21,#REF!,2,FALSE))),IF(EOMONTH(G132,VLOOKUP($C$21,#REF!,2,FALSE)-1)+$C$20&gt;DATE($B$126+1,3,31),"",EOMONTH(G132,VLOOKUP($C$21,#REF!,2,FALSE)-1)+$C$20)))))</f>
        <v>#REF!</v>
      </c>
      <c r="H133" s="46" t="e">
        <f>IF(G133="","",TEXT(G133,"aaa"))</f>
        <v>#REF!</v>
      </c>
      <c r="I133" s="47" t="e">
        <f>IF(G133="","",DATEDIF(E133,G133,"D")+1)</f>
        <v>#REF!</v>
      </c>
      <c r="J133" s="50" t="e" cm="1">
        <f t="array" ref="J133">_xlfn.SINGLE(IF(G133&lt;&gt;"",IF($C$6="","",IF(J126:J131&lt;&gt;"",IF(MIN(J126:J131)&lt;=0,"",IF(MIN(J126:J131)=$C$8,MIN(J126:J131)-$C$8,MIN(J126:J131)-$C$7)),"")),""))</f>
        <v>#REF!</v>
      </c>
      <c r="K133" s="50" t="str" cm="1">
        <f t="array" ref="K133">_xlfn.SINGLE(IF($C$13="","",IF(K126:K131&lt;&gt;"",IF(MIN(K126:K131)&lt;=0,"",IF(MIN(K126:K131)=$C$15,MIN(K126:K131)-$C$15,MIN(K126:K131)-$C$14)),"")))</f>
        <v/>
      </c>
      <c r="L133" s="85" t="e" cm="1">
        <f t="array" ref="L133">IF(AND(OR(J133=0,J133=""),OR(K133=0,K133="")),"",_xlfn.IFS($C$22&gt;=0.0035,0.003,$C$22&lt;0.0005,0,$C$22&lt;0.0035,$C$22-0.0005))</f>
        <v>#REF!</v>
      </c>
      <c r="M133" s="63" t="str">
        <f t="shared" ref="M133:M138" si="78">IF(OR(K133="",K133=0),"",IF(G133="","",$C$14))</f>
        <v/>
      </c>
      <c r="N133" s="106"/>
    </row>
    <row r="134" spans="2:14" s="14" customFormat="1" hidden="1" x14ac:dyDescent="0.4">
      <c r="B134" s="263"/>
      <c r="C134" s="266"/>
      <c r="D134" s="49" t="s">
        <v>8</v>
      </c>
      <c r="E134" s="73" t="e">
        <f t="shared" si="77"/>
        <v>#REF!</v>
      </c>
      <c r="F134" s="46" t="e">
        <f t="shared" si="60"/>
        <v>#REF!</v>
      </c>
      <c r="G134" s="102" t="e">
        <f>IF(G133="","",IF(G133+1&gt;DATE($B$126+1,3,31),"",IF(OR($C$20="",$C$21=""),"",IF($C$20="月末",IF(EOMONTH(G133,VLOOKUP($C$21,#REF!,2,FALSE))&gt;DATE($B$126+1,3,31),"",EOMONTH(G133,VLOOKUP($C$21,#REF!,2,FALSE))),IF(EOMONTH(G133,VLOOKUP($C$21,#REF!,2,FALSE)-1)+$C$20&gt;DATE($B$126+1,3,31),"",EOMONTH(G133,VLOOKUP($C$21,#REF!,2,FALSE)-1)+$C$20)))))</f>
        <v>#REF!</v>
      </c>
      <c r="H134" s="46" t="e">
        <f t="shared" ref="H134:H146" si="79">IF(G134="","",TEXT(G134,"aaa"))</f>
        <v>#REF!</v>
      </c>
      <c r="I134" s="47" t="e">
        <f>IF(G134="","",DATEDIF(E134,G134,"D")+1)</f>
        <v>#REF!</v>
      </c>
      <c r="J134" s="50" t="e">
        <f t="shared" ref="J134:J138" si="80">IF(G134&lt;&gt;"",IF($C$6="","",IF(J133="","",IF(J133&lt;=0,"",IF(J133=$C$8,J133-$C$8,J133-$C$7)))),"")</f>
        <v>#REF!</v>
      </c>
      <c r="K134" s="50" t="e">
        <f>IF(G134&lt;&gt;"",IF($C$13="","",IF(K133="","",IF(K133&lt;=0,"",IF(K133=$C$15,K133-$C$15,K133-$C$14)))),"")</f>
        <v>#REF!</v>
      </c>
      <c r="L134" s="82" t="e" cm="1">
        <f t="array" ref="L134">IF(AND(OR(J134=0,J134=""),OR(K134=0,K134="")),"",_xlfn.IFS($C$22&gt;=0.0035,0.003,$C$22&lt;0.0005,0,$C$22&lt;0.0035,$C$22-0.0005))</f>
        <v>#REF!</v>
      </c>
      <c r="M134" s="66" t="e">
        <f t="shared" si="78"/>
        <v>#REF!</v>
      </c>
      <c r="N134" s="106"/>
    </row>
    <row r="135" spans="2:14" s="14" customFormat="1" hidden="1" x14ac:dyDescent="0.4">
      <c r="B135" s="263"/>
      <c r="C135" s="266"/>
      <c r="D135" s="49" t="s">
        <v>37</v>
      </c>
      <c r="E135" s="73" t="e">
        <f t="shared" si="77"/>
        <v>#REF!</v>
      </c>
      <c r="F135" s="46" t="e">
        <f t="shared" si="60"/>
        <v>#REF!</v>
      </c>
      <c r="G135" s="102" t="e">
        <f>IF(G134="","",IF(G134+1&gt;DATE($B$126+1,3,31),"",IF(OR($C$20="",$C$21=""),"",IF($C$20="月末",IF(EOMONTH(G134,VLOOKUP($C$21,#REF!,2,FALSE))&gt;DATE($B$126+1,3,31),"",EOMONTH(G134,VLOOKUP($C$21,#REF!,2,FALSE))),IF(EOMONTH(G134,VLOOKUP($C$21,#REF!,2,FALSE)-1)+$C$20&gt;DATE($B$126+1,3,31),"",EOMONTH(G134,VLOOKUP($C$21,#REF!,2,FALSE)-1)+$C$20)))))</f>
        <v>#REF!</v>
      </c>
      <c r="H135" s="46" t="e">
        <f t="shared" si="79"/>
        <v>#REF!</v>
      </c>
      <c r="I135" s="47" t="e">
        <f t="shared" ref="I135:I137" si="81">IF(G135="","",DATEDIF(E135,G135,"D")+1)</f>
        <v>#REF!</v>
      </c>
      <c r="J135" s="50" t="e">
        <f t="shared" si="80"/>
        <v>#REF!</v>
      </c>
      <c r="K135" s="50" t="e">
        <f>IF(G135&lt;&gt;"",IF($C$13="","",IF(K134="","",IF(K134&lt;=0,"",IF(K134=$C$15,K134-$C$15,K134-$C$14)))),"")</f>
        <v>#REF!</v>
      </c>
      <c r="L135" s="82" t="e" cm="1">
        <f t="array" ref="L135">IF(AND(OR(J135=0,J135=""),OR(K135=0,K135="")),"",_xlfn.IFS($C$22&gt;=0.0035,0.003,$C$22&lt;0.0005,0,$C$22&lt;0.0035,$C$22-0.0005))</f>
        <v>#REF!</v>
      </c>
      <c r="M135" s="66" t="e">
        <f t="shared" si="78"/>
        <v>#REF!</v>
      </c>
      <c r="N135" s="106"/>
    </row>
    <row r="136" spans="2:14" s="14" customFormat="1" hidden="1" x14ac:dyDescent="0.4">
      <c r="B136" s="263"/>
      <c r="C136" s="266"/>
      <c r="D136" s="49" t="s">
        <v>38</v>
      </c>
      <c r="E136" s="73" t="e">
        <f t="shared" si="77"/>
        <v>#REF!</v>
      </c>
      <c r="F136" s="46" t="e">
        <f t="shared" si="60"/>
        <v>#REF!</v>
      </c>
      <c r="G136" s="102" t="e">
        <f>IF(G135="","",IF(G135+1&gt;DATE($B$126+1,3,31),"",IF(OR($C$20="",$C$21=""),"",IF($C$20="月末",IF(EOMONTH(G135,VLOOKUP($C$21,#REF!,2,FALSE))&gt;DATE($B$126+1,3,31),"",EOMONTH(G135,VLOOKUP($C$21,#REF!,2,FALSE))),IF(EOMONTH(G135,VLOOKUP($C$21,#REF!,2,FALSE)-1)+$C$20&gt;DATE($B$126+1,3,31),"",EOMONTH(G135,VLOOKUP($C$21,#REF!,2,FALSE)-1)+$C$20)))))</f>
        <v>#REF!</v>
      </c>
      <c r="H136" s="46" t="e">
        <f t="shared" si="79"/>
        <v>#REF!</v>
      </c>
      <c r="I136" s="47" t="e">
        <f t="shared" si="81"/>
        <v>#REF!</v>
      </c>
      <c r="J136" s="50" t="e">
        <f t="shared" si="80"/>
        <v>#REF!</v>
      </c>
      <c r="K136" s="50" t="e">
        <f>IF(G136&lt;&gt;"",IF($C$13="","",IF(K135="","",IF(K135&lt;=0,"",IF(K135=$C$15,K135-$C$15,K135-$C$14)))),"")</f>
        <v>#REF!</v>
      </c>
      <c r="L136" s="82" t="e" cm="1">
        <f t="array" ref="L136">IF(AND(OR(J136=0,J136=""),OR(K136=0,K136="")),"",_xlfn.IFS($C$22&gt;=0.0035,0.003,$C$22&lt;0.0005,0,$C$22&lt;0.0035,$C$22-0.0005))</f>
        <v>#REF!</v>
      </c>
      <c r="M136" s="66" t="e">
        <f t="shared" si="78"/>
        <v>#REF!</v>
      </c>
      <c r="N136" s="106"/>
    </row>
    <row r="137" spans="2:14" s="14" customFormat="1" hidden="1" x14ac:dyDescent="0.4">
      <c r="B137" s="263"/>
      <c r="C137" s="266"/>
      <c r="D137" s="49" t="s">
        <v>39</v>
      </c>
      <c r="E137" s="73" t="e">
        <f t="shared" si="77"/>
        <v>#REF!</v>
      </c>
      <c r="F137" s="46" t="e">
        <f t="shared" si="60"/>
        <v>#REF!</v>
      </c>
      <c r="G137" s="102" t="e">
        <f>IF(G136="","",IF(G136+1&gt;DATE($B$126+1,3,31),"",IF(OR($C$20="",$C$21=""),"",IF($C$20="月末",IF(EOMONTH(G136,VLOOKUP($C$21,#REF!,2,FALSE))&gt;DATE($B$126+1,3,31),"",EOMONTH(G136,VLOOKUP($C$21,#REF!,2,FALSE))),IF(EOMONTH(G136,VLOOKUP($C$21,#REF!,2,FALSE)-1)+$C$20&gt;DATE($B$126+1,3,31),"",EOMONTH(G136,VLOOKUP($C$21,#REF!,2,FALSE)-1)+$C$20)))))</f>
        <v>#REF!</v>
      </c>
      <c r="H137" s="46" t="e">
        <f t="shared" si="79"/>
        <v>#REF!</v>
      </c>
      <c r="I137" s="47" t="e">
        <f t="shared" si="81"/>
        <v>#REF!</v>
      </c>
      <c r="J137" s="50" t="e">
        <f t="shared" si="80"/>
        <v>#REF!</v>
      </c>
      <c r="K137" s="50" t="e">
        <f>IF(G137&lt;&gt;"",IF($C$13="","",IF(K136="","",IF(K136&lt;=0,"",IF(K136=$C$15,K136-$C$15,K136-$C$14)))),"")</f>
        <v>#REF!</v>
      </c>
      <c r="L137" s="82" t="e" cm="1">
        <f t="array" ref="L137">IF(AND(OR(J137=0,J137=""),OR(K137=0,K137="")),"",_xlfn.IFS($C$22&gt;=0.0035,0.003,$C$22&lt;0.0005,0,$C$22&lt;0.0035,$C$22-0.0005))</f>
        <v>#REF!</v>
      </c>
      <c r="M137" s="66" t="e">
        <f t="shared" si="78"/>
        <v>#REF!</v>
      </c>
      <c r="N137" s="106"/>
    </row>
    <row r="138" spans="2:14" s="14" customFormat="1" hidden="1" x14ac:dyDescent="0.4">
      <c r="B138" s="263"/>
      <c r="C138" s="266"/>
      <c r="D138" s="51" t="s">
        <v>41</v>
      </c>
      <c r="E138" s="74" t="e">
        <f t="shared" si="77"/>
        <v>#REF!</v>
      </c>
      <c r="F138" s="52" t="e">
        <f t="shared" si="60"/>
        <v>#REF!</v>
      </c>
      <c r="G138" s="102" t="e">
        <f>IF(G137="","",IF(G137+1&gt;DATE($B$126+1,3,31),"",IF(OR($C$20="",$C$21=""),"",IF($C$20="月末",IF(EOMONTH(G137,VLOOKUP($C$21,#REF!,2,FALSE))&gt;DATE($B$126+1,3,31),"",EOMONTH(G137,VLOOKUP($C$21,#REF!,2,FALSE))),IF(EOMONTH(G137,VLOOKUP($C$21,#REF!,2,FALSE)-1)+$C$20&gt;DATE($B$126+1,3,31),"",EOMONTH(G137,VLOOKUP($C$21,#REF!,2,FALSE)-1)+$C$20)))))</f>
        <v>#REF!</v>
      </c>
      <c r="H138" s="52" t="e">
        <f t="shared" si="79"/>
        <v>#REF!</v>
      </c>
      <c r="I138" s="53" t="e">
        <f>IF(G138="","",DATEDIF(E138,G138,"D")+1)</f>
        <v>#REF!</v>
      </c>
      <c r="J138" s="50" t="e">
        <f t="shared" si="80"/>
        <v>#REF!</v>
      </c>
      <c r="K138" s="50" t="e">
        <f>IF(G138&lt;&gt;"",IF($C$13="","",IF(K137="","",IF(K137&lt;=0,"",IF(K137=$C$15,K137-$C$15,K137-$C$14)))),"")</f>
        <v>#REF!</v>
      </c>
      <c r="L138" s="83" t="e" cm="1">
        <f t="array" ref="L138">IF(AND(OR(J138=0,J138=""),OR(K138=0,K138="")),"",_xlfn.IFS($C$22&gt;=0.0035,0.003,$C$22&lt;0.0005,0,$C$22&lt;0.0035,$C$22-0.0005))</f>
        <v>#REF!</v>
      </c>
      <c r="M138" s="69" t="e">
        <f t="shared" si="78"/>
        <v>#REF!</v>
      </c>
      <c r="N138" s="106"/>
    </row>
    <row r="139" spans="2:14" s="14" customFormat="1" ht="19.5" hidden="1" thickBot="1" x14ac:dyDescent="0.45">
      <c r="B139" s="265"/>
      <c r="C139" s="57" t="s">
        <v>10</v>
      </c>
      <c r="D139" s="58"/>
      <c r="E139" s="75" t="e" cm="1">
        <f t="array" ref="E139">_xlfn.SINGLE(IF(E133:E138&lt;&gt;"",MIN(E133:E138),""))</f>
        <v>#REF!</v>
      </c>
      <c r="F139" s="59" t="e">
        <f t="shared" si="60"/>
        <v>#REF!</v>
      </c>
      <c r="G139" s="75" t="e" cm="1">
        <f t="array" ref="G139">_xlfn.SINGLE(IF(G133:G138&lt;&gt;"",MAX(G133:G138),""))</f>
        <v>#REF!</v>
      </c>
      <c r="H139" s="59" t="e">
        <f t="shared" si="79"/>
        <v>#REF!</v>
      </c>
      <c r="I139" s="60" t="e">
        <f>SUM(I133:I138)</f>
        <v>#REF!</v>
      </c>
      <c r="J139" s="58"/>
      <c r="K139" s="58"/>
      <c r="L139" s="84"/>
      <c r="M139" s="72"/>
      <c r="N139" s="106"/>
    </row>
    <row r="140" spans="2:14" s="14" customFormat="1" hidden="1" x14ac:dyDescent="0.4">
      <c r="B140" s="262">
        <f t="shared" ref="B140" si="82">B126+1</f>
        <v>2032</v>
      </c>
      <c r="C140" s="266" t="s">
        <v>3</v>
      </c>
      <c r="D140" s="45" t="s">
        <v>6</v>
      </c>
      <c r="E140" s="73" t="e">
        <f t="shared" ref="E140:E145" si="83">IF(G139="","",IF(G140="","",IF(G139+1&gt;DATE($B$140+1,3,31),"",G139+1)))</f>
        <v>#REF!</v>
      </c>
      <c r="F140" s="46" t="e">
        <f t="shared" si="60"/>
        <v>#REF!</v>
      </c>
      <c r="G140" s="102" t="e">
        <f>IF(G139="","",IF(G139+1&gt;DATE($B$140,9,30),"",IF(OR($C$20="",$C$21=""),"",IF($C$20="月末",IF(EOMONTH(G139,VLOOKUP($C$21,#REF!,2,FALSE))&gt;DATE($B$140,9,30),"",EOMONTH(G139,VLOOKUP($C$21,#REF!,2,FALSE))),IF(EOMONTH(G139,VLOOKUP($C$21,#REF!,2,FALSE)-1)+$C$20&gt;DATE($B$140,9,30),"",EOMONTH(G139,VLOOKUP($C$21,#REF!,2,FALSE)-1)+$C$20)))))</f>
        <v>#REF!</v>
      </c>
      <c r="H140" s="46" t="e">
        <f t="shared" si="79"/>
        <v>#REF!</v>
      </c>
      <c r="I140" s="47" t="e">
        <f>IF(G140="","",DATEDIF(E140,G140,"D")+1)</f>
        <v>#REF!</v>
      </c>
      <c r="J140" s="50" t="e" cm="1">
        <f t="array" ref="J140">_xlfn.SINGLE(IF(G140&lt;&gt;"",IF($C$6="","",IF(J133:J138&lt;&gt;"",IF(MIN(J133:J138)&lt;=0,"",IF(MIN(J133:J138)=$C$8,MIN(J133:J138)-$C$8,MIN(J133:J138)-$C$7)),"")),""))</f>
        <v>#REF!</v>
      </c>
      <c r="K140" s="50" t="str" cm="1">
        <f t="array" ref="K140">_xlfn.SINGLE(IF($C$13="","",IF(K133:K138&lt;&gt;"",IF(MIN(K133:K138)&lt;=0,"",IF(MIN(K133:K138)=$C$15,MIN(K133:K138)-$C$15,MIN(K133:K138)-$C$14)),"")))</f>
        <v/>
      </c>
      <c r="L140" s="82" t="e" cm="1">
        <f t="array" ref="L140">IF(AND(OR(J140=0,J140=""),OR(K140=0,K140="")),"",_xlfn.IFS($C$22&gt;=0.0035,0.003,$C$22&lt;0.0005,0,$C$22&lt;0.0035,$C$22-0.0005))</f>
        <v>#REF!</v>
      </c>
      <c r="M140" s="63" t="str">
        <f t="shared" ref="M140:M145" si="84">IF(OR(K140="",K140=0),"",IF(G140="","",$C$14))</f>
        <v/>
      </c>
      <c r="N140" s="106"/>
    </row>
    <row r="141" spans="2:14" s="14" customFormat="1" hidden="1" x14ac:dyDescent="0.4">
      <c r="B141" s="263"/>
      <c r="C141" s="266"/>
      <c r="D141" s="49" t="s">
        <v>7</v>
      </c>
      <c r="E141" s="73" t="e">
        <f t="shared" si="83"/>
        <v>#REF!</v>
      </c>
      <c r="F141" s="46" t="e">
        <f t="shared" si="60"/>
        <v>#REF!</v>
      </c>
      <c r="G141" s="102" t="e">
        <f>IF(G140="","",IF(G140+1&gt;DATE($B$140,9,30),"",IF(OR($C$20="",$C$21=""),"",IF($C$20="月末",IF(EOMONTH(G140,VLOOKUP($C$21,#REF!,2,FALSE))&gt;DATE($B$140,9,30),"",EOMONTH(G140,VLOOKUP($C$21,#REF!,2,FALSE))),IF(EOMONTH(G140,VLOOKUP($C$21,#REF!,2,FALSE)-1)+$C$20&gt;DATE($B$140,9,30),"",EOMONTH(G140,VLOOKUP($C$21,#REF!,2,FALSE)-1)+$C$20)))))</f>
        <v>#REF!</v>
      </c>
      <c r="H141" s="46" t="e">
        <f t="shared" si="79"/>
        <v>#REF!</v>
      </c>
      <c r="I141" s="47" t="e">
        <f>IF(G141="","",DATEDIF(E141,G141,"D")+1)</f>
        <v>#REF!</v>
      </c>
      <c r="J141" s="50" t="e">
        <f t="shared" ref="J141:J145" si="85">IF(G141&lt;&gt;"",IF($C$6="","",IF(J140="","",IF(J140&lt;=0,"",IF(J140=$C$8,J140-$C$8,J140-$C$7)))),"")</f>
        <v>#REF!</v>
      </c>
      <c r="K141" s="50" t="e">
        <f>IF(G141&lt;&gt;"",IF($C$13="","",IF(K140="","",IF(K140&lt;=0,"",IF(K140=$C$15,K140-$C$15,K140-$C$14)))),"")</f>
        <v>#REF!</v>
      </c>
      <c r="L141" s="82" t="e" cm="1">
        <f t="array" ref="L141">IF(AND(OR(J141=0,J141=""),OR(K141=0,K141="")),"",_xlfn.IFS($C$22&gt;=0.0035,0.003,$C$22&lt;0.0005,0,$C$22&lt;0.0035,$C$22-0.0005))</f>
        <v>#REF!</v>
      </c>
      <c r="M141" s="66" t="e">
        <f t="shared" si="84"/>
        <v>#REF!</v>
      </c>
      <c r="N141" s="106"/>
    </row>
    <row r="142" spans="2:14" s="14" customFormat="1" hidden="1" x14ac:dyDescent="0.4">
      <c r="B142" s="263"/>
      <c r="C142" s="266"/>
      <c r="D142" s="49" t="s">
        <v>34</v>
      </c>
      <c r="E142" s="73" t="e">
        <f t="shared" si="83"/>
        <v>#REF!</v>
      </c>
      <c r="F142" s="46" t="e">
        <f t="shared" si="60"/>
        <v>#REF!</v>
      </c>
      <c r="G142" s="102" t="e">
        <f>IF(G141="","",IF(G141+1&gt;DATE($B$140,9,30),"",IF(OR($C$20="",$C$21=""),"",IF($C$20="月末",IF(EOMONTH(G141,VLOOKUP($C$21,#REF!,2,FALSE))&gt;DATE($B$140,9,30),"",EOMONTH(G141,VLOOKUP($C$21,#REF!,2,FALSE))),IF(EOMONTH(G141,VLOOKUP($C$21,#REF!,2,FALSE)-1)+$C$20&gt;DATE($B$140,9,30),"",EOMONTH(G141,VLOOKUP($C$21,#REF!,2,FALSE)-1)+$C$20)))))</f>
        <v>#REF!</v>
      </c>
      <c r="H142" s="46" t="e">
        <f t="shared" si="79"/>
        <v>#REF!</v>
      </c>
      <c r="I142" s="47" t="e">
        <f t="shared" ref="I142:I144" si="86">IF(G142="","",DATEDIF(E142,G142,"D")+1)</f>
        <v>#REF!</v>
      </c>
      <c r="J142" s="50" t="e">
        <f t="shared" si="85"/>
        <v>#REF!</v>
      </c>
      <c r="K142" s="50" t="e">
        <f>IF(G142&lt;&gt;"",IF($C$13="","",IF(K141="","",IF(K141&lt;=0,"",IF(K141=$C$15,K141-$C$15,K141-$C$14)))),"")</f>
        <v>#REF!</v>
      </c>
      <c r="L142" s="82" t="e" cm="1">
        <f t="array" ref="L142">IF(AND(OR(J142=0,J142=""),OR(K142=0,K142="")),"",_xlfn.IFS($C$22&gt;=0.0035,0.003,$C$22&lt;0.0005,0,$C$22&lt;0.0035,$C$22-0.0005))</f>
        <v>#REF!</v>
      </c>
      <c r="M142" s="66" t="e">
        <f t="shared" si="84"/>
        <v>#REF!</v>
      </c>
      <c r="N142" s="106"/>
    </row>
    <row r="143" spans="2:14" s="14" customFormat="1" hidden="1" x14ac:dyDescent="0.4">
      <c r="B143" s="263"/>
      <c r="C143" s="266"/>
      <c r="D143" s="49" t="s">
        <v>35</v>
      </c>
      <c r="E143" s="73" t="e">
        <f t="shared" si="83"/>
        <v>#REF!</v>
      </c>
      <c r="F143" s="46" t="e">
        <f t="shared" si="60"/>
        <v>#REF!</v>
      </c>
      <c r="G143" s="102" t="e">
        <f>IF(G142="","",IF(G142+1&gt;DATE($B$140,9,30),"",IF(OR($C$20="",$C$21=""),"",IF($C$20="月末",IF(EOMONTH(G142,VLOOKUP($C$21,#REF!,2,FALSE))&gt;DATE($B$140,9,30),"",EOMONTH(G142,VLOOKUP($C$21,#REF!,2,FALSE))),IF(EOMONTH(G142,VLOOKUP($C$21,#REF!,2,FALSE)-1)+$C$20&gt;DATE($B$140,9,30),"",EOMONTH(G142,VLOOKUP($C$21,#REF!,2,FALSE)-1)+$C$20)))))</f>
        <v>#REF!</v>
      </c>
      <c r="H143" s="46" t="e">
        <f t="shared" si="79"/>
        <v>#REF!</v>
      </c>
      <c r="I143" s="47" t="e">
        <f t="shared" si="86"/>
        <v>#REF!</v>
      </c>
      <c r="J143" s="50" t="e">
        <f t="shared" si="85"/>
        <v>#REF!</v>
      </c>
      <c r="K143" s="50" t="e">
        <f>IF(G143&lt;&gt;"",IF($C$13="","",IF(K142="","",IF(K142&lt;=0,"",IF(K142=$C$15,K142-$C$15,K142-$C$14)))),"")</f>
        <v>#REF!</v>
      </c>
      <c r="L143" s="82" t="e" cm="1">
        <f t="array" ref="L143">IF(AND(OR(J143=0,J143=""),OR(K143=0,K143="")),"",_xlfn.IFS($C$22&gt;=0.0035,0.003,$C$22&lt;0.0005,0,$C$22&lt;0.0035,$C$22-0.0005))</f>
        <v>#REF!</v>
      </c>
      <c r="M143" s="66" t="e">
        <f t="shared" si="84"/>
        <v>#REF!</v>
      </c>
      <c r="N143" s="106"/>
    </row>
    <row r="144" spans="2:14" s="14" customFormat="1" hidden="1" x14ac:dyDescent="0.4">
      <c r="B144" s="263"/>
      <c r="C144" s="266"/>
      <c r="D144" s="49" t="s">
        <v>36</v>
      </c>
      <c r="E144" s="73" t="e">
        <f t="shared" si="83"/>
        <v>#REF!</v>
      </c>
      <c r="F144" s="46" t="e">
        <f t="shared" si="60"/>
        <v>#REF!</v>
      </c>
      <c r="G144" s="102" t="e">
        <f>IF(G143="","",IF(G143+1&gt;DATE($B$140,9,30),"",IF(OR($C$20="",$C$21=""),"",IF($C$20="月末",IF(EOMONTH(G143,VLOOKUP($C$21,#REF!,2,FALSE))&gt;DATE($B$140,9,30),"",EOMONTH(G143,VLOOKUP($C$21,#REF!,2,FALSE))),IF(EOMONTH(G143,VLOOKUP($C$21,#REF!,2,FALSE)-1)+$C$20&gt;DATE($B$140,9,30),"",EOMONTH(G143,VLOOKUP($C$21,#REF!,2,FALSE)-1)+$C$20)))))</f>
        <v>#REF!</v>
      </c>
      <c r="H144" s="46" t="e">
        <f t="shared" si="79"/>
        <v>#REF!</v>
      </c>
      <c r="I144" s="47" t="e">
        <f t="shared" si="86"/>
        <v>#REF!</v>
      </c>
      <c r="J144" s="50" t="e">
        <f t="shared" si="85"/>
        <v>#REF!</v>
      </c>
      <c r="K144" s="50" t="e">
        <f>IF(G144&lt;&gt;"",IF($C$13="","",IF(K143="","",IF(K143&lt;=0,"",IF(K143=$C$15,K143-$C$15,K143-$C$14)))),"")</f>
        <v>#REF!</v>
      </c>
      <c r="L144" s="82" t="e" cm="1">
        <f t="array" ref="L144">IF(AND(OR(J144=0,J144=""),OR(K144=0,K144="")),"",_xlfn.IFS($C$22&gt;=0.0035,0.003,$C$22&lt;0.0005,0,$C$22&lt;0.0035,$C$22-0.0005))</f>
        <v>#REF!</v>
      </c>
      <c r="M144" s="66" t="e">
        <f t="shared" si="84"/>
        <v>#REF!</v>
      </c>
      <c r="N144" s="106"/>
    </row>
    <row r="145" spans="2:15" s="14" customFormat="1" hidden="1" x14ac:dyDescent="0.4">
      <c r="B145" s="263"/>
      <c r="C145" s="266"/>
      <c r="D145" s="51" t="s">
        <v>40</v>
      </c>
      <c r="E145" s="74" t="e">
        <f t="shared" si="83"/>
        <v>#REF!</v>
      </c>
      <c r="F145" s="52" t="e">
        <f t="shared" si="60"/>
        <v>#REF!</v>
      </c>
      <c r="G145" s="102" t="e">
        <f>IF(G144="","",IF(G144+1&gt;DATE($B$140,9,30),"",IF(OR($C$20="",$C$21=""),"",IF($C$20="月末",IF(EOMONTH(G144,VLOOKUP($C$21,#REF!,2,FALSE))&gt;DATE($B$140,9,30),"",EOMONTH(G144,VLOOKUP($C$21,#REF!,2,FALSE))),IF(EOMONTH(G144,VLOOKUP($C$21,#REF!,2,FALSE)-1)+$C$20&gt;DATE($B$140,9,30),"",EOMONTH(G144,VLOOKUP($C$21,#REF!,2,FALSE)-1)+$C$20)))))</f>
        <v>#REF!</v>
      </c>
      <c r="H145" s="52" t="e">
        <f t="shared" si="79"/>
        <v>#REF!</v>
      </c>
      <c r="I145" s="53" t="e">
        <f>IF(G145="","",DATEDIF(E145,G145,"D")+1)</f>
        <v>#REF!</v>
      </c>
      <c r="J145" s="50" t="e">
        <f t="shared" si="85"/>
        <v>#REF!</v>
      </c>
      <c r="K145" s="50" t="e">
        <f>IF(G145&lt;&gt;"",IF($C$13="","",IF(K144="","",IF(K144&lt;=0,"",IF(K144=$C$15,K144-$C$15,K144-$C$14)))),"")</f>
        <v>#REF!</v>
      </c>
      <c r="L145" s="83" t="e" cm="1">
        <f t="array" ref="L145">IF(AND(OR(J145=0,J145=""),OR(K145=0,K145="")),"",_xlfn.IFS($C$22&gt;=0.0035,0.003,$C$22&lt;0.0005,0,$C$22&lt;0.0035,$C$22-0.0005))</f>
        <v>#REF!</v>
      </c>
      <c r="M145" s="69" t="e">
        <f t="shared" si="84"/>
        <v>#REF!</v>
      </c>
      <c r="N145" s="106"/>
    </row>
    <row r="146" spans="2:15" s="14" customFormat="1" ht="19.5" hidden="1" thickBot="1" x14ac:dyDescent="0.45">
      <c r="B146" s="264"/>
      <c r="C146" s="57" t="s">
        <v>10</v>
      </c>
      <c r="D146" s="58"/>
      <c r="E146" s="75" t="e" cm="1">
        <f t="array" ref="E146">_xlfn.SINGLE(IF(E140:E145&lt;&gt;"",MIN(E140:E145),""))</f>
        <v>#REF!</v>
      </c>
      <c r="F146" s="59" t="e">
        <f t="shared" si="60"/>
        <v>#REF!</v>
      </c>
      <c r="G146" s="75" t="e" cm="1">
        <f t="array" ref="G146">_xlfn.SINGLE(IF(G140:G145&lt;&gt;"",MAX(G140:G145),""))</f>
        <v>#REF!</v>
      </c>
      <c r="H146" s="59" t="e">
        <f t="shared" si="79"/>
        <v>#REF!</v>
      </c>
      <c r="I146" s="60" t="e">
        <f>SUM(I140:I145)</f>
        <v>#REF!</v>
      </c>
      <c r="J146" s="58"/>
      <c r="K146" s="58"/>
      <c r="L146" s="84"/>
      <c r="M146" s="72"/>
      <c r="N146" s="106"/>
    </row>
    <row r="147" spans="2:15" s="14" customFormat="1" hidden="1" x14ac:dyDescent="0.4">
      <c r="B147" s="263"/>
      <c r="C147" s="267" t="s">
        <v>4</v>
      </c>
      <c r="D147" s="54" t="s">
        <v>9</v>
      </c>
      <c r="E147" s="73" t="e">
        <f t="shared" ref="E147:E152" si="87">IF(G146="","",IF(G147="","",IF(G146+1&gt;DATE($B$140+1,3,31),"",G146+1)))</f>
        <v>#REF!</v>
      </c>
      <c r="F147" s="46" t="e">
        <f t="shared" si="60"/>
        <v>#REF!</v>
      </c>
      <c r="G147" s="102" t="e">
        <f>IF(G146="","",IF(G146+1&gt;DATE($B$140+1,3,31),"",IF(OR($C$20="",$C$21=""),"",IF($C$20="月末",IF(EOMONTH(G146,VLOOKUP($C$21,#REF!,2,FALSE))&gt;DATE($B$140+1,3,31),"",EOMONTH(G146,VLOOKUP($C$21,#REF!,2,FALSE))),IF(EOMONTH(G146,VLOOKUP($C$21,#REF!,2,FALSE)-1)+$C$20&gt;DATE($B$140+1,3,31),"",EOMONTH(G146,VLOOKUP($C$21,#REF!,2,FALSE)-1)+$C$20)))))</f>
        <v>#REF!</v>
      </c>
      <c r="H147" s="46" t="e">
        <f>IF(G147="","",TEXT(G147,"aaa"))</f>
        <v>#REF!</v>
      </c>
      <c r="I147" s="47" t="e">
        <f>IF(G147="","",DATEDIF(E147,G147,"D")+1)</f>
        <v>#REF!</v>
      </c>
      <c r="J147" s="50" t="e" cm="1">
        <f t="array" ref="J147">_xlfn.SINGLE(IF(G147&lt;&gt;"",IF($C$6="","",IF(J140:J145&lt;&gt;"",IF(MIN(J140:J145)&lt;=0,"",IF(MIN(J140:J145)=$C$8,MIN(J140:J145)-$C$8,MIN(J140:J145)-$C$7)),"")),""))</f>
        <v>#REF!</v>
      </c>
      <c r="K147" s="50" t="str" cm="1">
        <f t="array" ref="K147">_xlfn.SINGLE(IF($C$13="","",IF(K140:K145&lt;&gt;"",IF(MIN(K140:K145)&lt;=0,"",IF(MIN(K140:K145)=$C$15,MIN(K140:K145)-$C$15,MIN(K140:K145)-$C$14)),"")))</f>
        <v/>
      </c>
      <c r="L147" s="85" t="e" cm="1">
        <f t="array" ref="L147">IF(AND(OR(J147=0,J147=""),OR(K147=0,K147="")),"",_xlfn.IFS($C$22&gt;=0.0035,0.003,$C$22&lt;0.0005,0,$C$22&lt;0.0035,$C$22-0.0005))</f>
        <v>#REF!</v>
      </c>
      <c r="M147" s="63" t="str">
        <f t="shared" ref="M147:M152" si="88">IF(OR(K147="",K147=0),"",IF(G147="","",$C$14))</f>
        <v/>
      </c>
      <c r="N147" s="106"/>
    </row>
    <row r="148" spans="2:15" s="14" customFormat="1" hidden="1" x14ac:dyDescent="0.4">
      <c r="B148" s="263"/>
      <c r="C148" s="266"/>
      <c r="D148" s="49" t="s">
        <v>8</v>
      </c>
      <c r="E148" s="73" t="e">
        <f t="shared" si="87"/>
        <v>#REF!</v>
      </c>
      <c r="F148" s="46" t="e">
        <f t="shared" si="60"/>
        <v>#REF!</v>
      </c>
      <c r="G148" s="102" t="e">
        <f>IF(G147="","",IF(G147+1&gt;DATE($B$140+1,3,31),"",IF(OR($C$20="",$C$21=""),"",IF($C$20="月末",IF(EOMONTH(G147,VLOOKUP($C$21,#REF!,2,FALSE))&gt;DATE($B$140+1,3,31),"",EOMONTH(G147,VLOOKUP($C$21,#REF!,2,FALSE))),IF(EOMONTH(G147,VLOOKUP($C$21,#REF!,2,FALSE)-1)+$C$20&gt;DATE($B$140+1,3,31),"",EOMONTH(G147,VLOOKUP($C$21,#REF!,2,FALSE)-1)+$C$20)))))</f>
        <v>#REF!</v>
      </c>
      <c r="H148" s="46" t="e">
        <f t="shared" ref="H148:H160" si="89">IF(G148="","",TEXT(G148,"aaa"))</f>
        <v>#REF!</v>
      </c>
      <c r="I148" s="47" t="e">
        <f>IF(G148="","",DATEDIF(E148,G148,"D")+1)</f>
        <v>#REF!</v>
      </c>
      <c r="J148" s="50" t="e">
        <f t="shared" ref="J148:J152" si="90">IF(G148&lt;&gt;"",IF($C$6="","",IF(J147="","",IF(J147&lt;=0,"",IF(J147=$C$8,J147-$C$8,J147-$C$7)))),"")</f>
        <v>#REF!</v>
      </c>
      <c r="K148" s="50" t="e">
        <f>IF(G148&lt;&gt;"",IF($C$13="","",IF(K147="","",IF(K147&lt;=0,"",IF(K147=$C$15,K147-$C$15,K147-$C$14)))),"")</f>
        <v>#REF!</v>
      </c>
      <c r="L148" s="82" t="e" cm="1">
        <f t="array" ref="L148">IF(AND(OR(J148=0,J148=""),OR(K148=0,K148="")),"",_xlfn.IFS($C$22&gt;=0.0035,0.003,$C$22&lt;0.0005,0,$C$22&lt;0.0035,$C$22-0.0005))</f>
        <v>#REF!</v>
      </c>
      <c r="M148" s="66" t="e">
        <f t="shared" si="88"/>
        <v>#REF!</v>
      </c>
      <c r="N148" s="106"/>
    </row>
    <row r="149" spans="2:15" s="14" customFormat="1" hidden="1" x14ac:dyDescent="0.4">
      <c r="B149" s="263"/>
      <c r="C149" s="266"/>
      <c r="D149" s="49" t="s">
        <v>37</v>
      </c>
      <c r="E149" s="73" t="e">
        <f t="shared" si="87"/>
        <v>#REF!</v>
      </c>
      <c r="F149" s="46" t="e">
        <f t="shared" si="60"/>
        <v>#REF!</v>
      </c>
      <c r="G149" s="102" t="e">
        <f>IF(G148="","",IF(G148+1&gt;DATE($B$140+1,3,31),"",IF(OR($C$20="",$C$21=""),"",IF($C$20="月末",IF(EOMONTH(G148,VLOOKUP($C$21,#REF!,2,FALSE))&gt;DATE($B$140+1,3,31),"",EOMONTH(G148,VLOOKUP($C$21,#REF!,2,FALSE))),IF(EOMONTH(G148,VLOOKUP($C$21,#REF!,2,FALSE)-1)+$C$20&gt;DATE($B$140+1,3,31),"",EOMONTH(G148,VLOOKUP($C$21,#REF!,2,FALSE)-1)+$C$20)))))</f>
        <v>#REF!</v>
      </c>
      <c r="H149" s="46" t="e">
        <f t="shared" si="89"/>
        <v>#REF!</v>
      </c>
      <c r="I149" s="47" t="e">
        <f t="shared" ref="I149:I151" si="91">IF(G149="","",DATEDIF(E149,G149,"D")+1)</f>
        <v>#REF!</v>
      </c>
      <c r="J149" s="50" t="e">
        <f t="shared" si="90"/>
        <v>#REF!</v>
      </c>
      <c r="K149" s="50" t="e">
        <f>IF(G149&lt;&gt;"",IF($C$13="","",IF(K148="","",IF(K148&lt;=0,"",IF(K148=$C$15,K148-$C$15,K148-$C$14)))),"")</f>
        <v>#REF!</v>
      </c>
      <c r="L149" s="82" t="e" cm="1">
        <f t="array" ref="L149">IF(AND(OR(J149=0,J149=""),OR(K149=0,K149="")),"",_xlfn.IFS($C$22&gt;=0.0035,0.003,$C$22&lt;0.0005,0,$C$22&lt;0.0035,$C$22-0.0005))</f>
        <v>#REF!</v>
      </c>
      <c r="M149" s="66" t="e">
        <f t="shared" si="88"/>
        <v>#REF!</v>
      </c>
      <c r="N149" s="106"/>
    </row>
    <row r="150" spans="2:15" s="14" customFormat="1" hidden="1" x14ac:dyDescent="0.4">
      <c r="B150" s="263"/>
      <c r="C150" s="266"/>
      <c r="D150" s="49" t="s">
        <v>38</v>
      </c>
      <c r="E150" s="73" t="e">
        <f t="shared" si="87"/>
        <v>#REF!</v>
      </c>
      <c r="F150" s="46" t="e">
        <f t="shared" si="60"/>
        <v>#REF!</v>
      </c>
      <c r="G150" s="102" t="e">
        <f>IF(G149="","",IF(G149+1&gt;DATE($B$140+1,3,31),"",IF(OR($C$20="",$C$21=""),"",IF($C$20="月末",IF(EOMONTH(G149,VLOOKUP($C$21,#REF!,2,FALSE))&gt;DATE($B$140+1,3,31),"",EOMONTH(G149,VLOOKUP($C$21,#REF!,2,FALSE))),IF(EOMONTH(G149,VLOOKUP($C$21,#REF!,2,FALSE)-1)+$C$20&gt;DATE($B$140+1,3,31),"",EOMONTH(G149,VLOOKUP($C$21,#REF!,2,FALSE)-1)+$C$20)))))</f>
        <v>#REF!</v>
      </c>
      <c r="H150" s="46" t="e">
        <f t="shared" si="89"/>
        <v>#REF!</v>
      </c>
      <c r="I150" s="47" t="e">
        <f t="shared" si="91"/>
        <v>#REF!</v>
      </c>
      <c r="J150" s="50" t="e">
        <f t="shared" si="90"/>
        <v>#REF!</v>
      </c>
      <c r="K150" s="50" t="e">
        <f>IF(G150&lt;&gt;"",IF($C$13="","",IF(K149="","",IF(K149&lt;=0,"",IF(K149=$C$15,K149-$C$15,K149-$C$14)))),"")</f>
        <v>#REF!</v>
      </c>
      <c r="L150" s="82" t="e" cm="1">
        <f t="array" ref="L150">IF(AND(OR(J150=0,J150=""),OR(K150=0,K150="")),"",_xlfn.IFS($C$22&gt;=0.0035,0.003,$C$22&lt;0.0005,0,$C$22&lt;0.0035,$C$22-0.0005))</f>
        <v>#REF!</v>
      </c>
      <c r="M150" s="66" t="e">
        <f t="shared" si="88"/>
        <v>#REF!</v>
      </c>
      <c r="N150" s="106"/>
    </row>
    <row r="151" spans="2:15" s="14" customFormat="1" hidden="1" x14ac:dyDescent="0.4">
      <c r="B151" s="263"/>
      <c r="C151" s="266"/>
      <c r="D151" s="49" t="s">
        <v>39</v>
      </c>
      <c r="E151" s="73" t="e">
        <f t="shared" si="87"/>
        <v>#REF!</v>
      </c>
      <c r="F151" s="46" t="e">
        <f t="shared" si="60"/>
        <v>#REF!</v>
      </c>
      <c r="G151" s="102" t="e">
        <f>IF(G150="","",IF(G150+1&gt;DATE($B$140+1,3,31),"",IF(OR($C$20="",$C$21=""),"",IF($C$20="月末",IF(EOMONTH(G150,VLOOKUP($C$21,#REF!,2,FALSE))&gt;DATE($B$140+1,3,31),"",EOMONTH(G150,VLOOKUP($C$21,#REF!,2,FALSE))),IF(EOMONTH(G150,VLOOKUP($C$21,#REF!,2,FALSE)-1)+$C$20&gt;DATE($B$140+1,3,31),"",EOMONTH(G150,VLOOKUP($C$21,#REF!,2,FALSE)-1)+$C$20)))))</f>
        <v>#REF!</v>
      </c>
      <c r="H151" s="46" t="e">
        <f t="shared" si="89"/>
        <v>#REF!</v>
      </c>
      <c r="I151" s="47" t="e">
        <f t="shared" si="91"/>
        <v>#REF!</v>
      </c>
      <c r="J151" s="50" t="e">
        <f t="shared" si="90"/>
        <v>#REF!</v>
      </c>
      <c r="K151" s="50" t="e">
        <f>IF(G151&lt;&gt;"",IF($C$13="","",IF(K150="","",IF(K150&lt;=0,"",IF(K150=$C$15,K150-$C$15,K150-$C$14)))),"")</f>
        <v>#REF!</v>
      </c>
      <c r="L151" s="82" t="e" cm="1">
        <f t="array" ref="L151">IF(AND(OR(J151=0,J151=""),OR(K151=0,K151="")),"",_xlfn.IFS($C$22&gt;=0.0035,0.003,$C$22&lt;0.0005,0,$C$22&lt;0.0035,$C$22-0.0005))</f>
        <v>#REF!</v>
      </c>
      <c r="M151" s="66" t="e">
        <f t="shared" si="88"/>
        <v>#REF!</v>
      </c>
      <c r="N151" s="106"/>
    </row>
    <row r="152" spans="2:15" s="14" customFormat="1" hidden="1" x14ac:dyDescent="0.4">
      <c r="B152" s="263"/>
      <c r="C152" s="266"/>
      <c r="D152" s="51" t="s">
        <v>41</v>
      </c>
      <c r="E152" s="74" t="e">
        <f t="shared" si="87"/>
        <v>#REF!</v>
      </c>
      <c r="F152" s="52" t="e">
        <f t="shared" si="60"/>
        <v>#REF!</v>
      </c>
      <c r="G152" s="102" t="e">
        <f>IF(G151="","",IF(G151+1&gt;DATE($B$140+1,3,31),"",IF(OR($C$20="",$C$21=""),"",IF($C$20="月末",IF(EOMONTH(G151,VLOOKUP($C$21,#REF!,2,FALSE))&gt;DATE($B$140+1,3,31),"",EOMONTH(G151,VLOOKUP($C$21,#REF!,2,FALSE))),IF(EOMONTH(G151,VLOOKUP($C$21,#REF!,2,FALSE)-1)+$C$20&gt;DATE($B$140+1,3,31),"",EOMONTH(G151,VLOOKUP($C$21,#REF!,2,FALSE)-1)+$C$20)))))</f>
        <v>#REF!</v>
      </c>
      <c r="H152" s="52" t="e">
        <f t="shared" si="89"/>
        <v>#REF!</v>
      </c>
      <c r="I152" s="53" t="e">
        <f>IF(G152="","",DATEDIF(E152,G152,"D")+1)</f>
        <v>#REF!</v>
      </c>
      <c r="J152" s="50" t="e">
        <f t="shared" si="90"/>
        <v>#REF!</v>
      </c>
      <c r="K152" s="50" t="e">
        <f>IF(G152&lt;&gt;"",IF($C$13="","",IF(K151="","",IF(K151&lt;=0,"",IF(K151=$C$15,K151-$C$15,K151-$C$14)))),"")</f>
        <v>#REF!</v>
      </c>
      <c r="L152" s="83" t="e" cm="1">
        <f t="array" ref="L152">IF(AND(OR(J152=0,J152=""),OR(K152=0,K152="")),"",_xlfn.IFS($C$22&gt;=0.0035,0.003,$C$22&lt;0.0005,0,$C$22&lt;0.0035,$C$22-0.0005))</f>
        <v>#REF!</v>
      </c>
      <c r="M152" s="69" t="e">
        <f t="shared" si="88"/>
        <v>#REF!</v>
      </c>
      <c r="N152" s="106"/>
    </row>
    <row r="153" spans="2:15" s="14" customFormat="1" ht="19.5" hidden="1" thickBot="1" x14ac:dyDescent="0.45">
      <c r="B153" s="265"/>
      <c r="C153" s="57" t="s">
        <v>10</v>
      </c>
      <c r="D153" s="58"/>
      <c r="E153" s="75" t="e" cm="1">
        <f t="array" ref="E153">_xlfn.SINGLE(IF(E147:E152&lt;&gt;"",MIN(E147:E152),""))</f>
        <v>#REF!</v>
      </c>
      <c r="F153" s="59" t="e">
        <f t="shared" si="60"/>
        <v>#REF!</v>
      </c>
      <c r="G153" s="75" t="e" cm="1">
        <f t="array" ref="G153">_xlfn.SINGLE(IF(G147:G152&lt;&gt;"",MAX(G147:G152),""))</f>
        <v>#REF!</v>
      </c>
      <c r="H153" s="59" t="e">
        <f t="shared" si="89"/>
        <v>#REF!</v>
      </c>
      <c r="I153" s="60" t="e">
        <f>SUM(I147:I152)</f>
        <v>#REF!</v>
      </c>
      <c r="J153" s="58"/>
      <c r="K153" s="58"/>
      <c r="L153" s="84"/>
      <c r="M153" s="72"/>
      <c r="N153" s="106"/>
    </row>
    <row r="154" spans="2:15" s="14" customFormat="1" hidden="1" x14ac:dyDescent="0.4">
      <c r="B154" s="262">
        <f t="shared" ref="B154" si="92">B140+1</f>
        <v>2033</v>
      </c>
      <c r="C154" s="266" t="s">
        <v>3</v>
      </c>
      <c r="D154" s="45" t="s">
        <v>6</v>
      </c>
      <c r="E154" s="73" t="e">
        <f>IF(G153="","",IF(G154="","",IF(G153+1&gt;DATE($B$154+1,3,31),"",G153+1)))</f>
        <v>#REF!</v>
      </c>
      <c r="F154" s="46" t="e">
        <f t="shared" si="60"/>
        <v>#REF!</v>
      </c>
      <c r="G154" s="102" t="e">
        <f>IF(G153="","",IF(G153+1&gt;DATE($B$154,9,30),"",IF(OR($C$20="",$C$21=""),"",IF($C$20="月末",IF(EOMONTH(G153,VLOOKUP($C$21,#REF!,2,FALSE))&gt;DATE($B$154,9,30),"",EOMONTH(G153,VLOOKUP($C$21,#REF!,2,FALSE))),IF(EOMONTH(G153,VLOOKUP($C$21,#REF!,2,FALSE)-1)+$C$20&gt;DATE($B$154,9,30),"",EOMONTH(G153,VLOOKUP($C$21,#REF!,2,FALSE)-1)+$C$20)))))</f>
        <v>#REF!</v>
      </c>
      <c r="H154" s="46" t="e">
        <f t="shared" si="89"/>
        <v>#REF!</v>
      </c>
      <c r="I154" s="47" t="e">
        <f>IF(G154="","",DATEDIF(E154,G154,"D")+1)</f>
        <v>#REF!</v>
      </c>
      <c r="J154" s="50" t="e" cm="1">
        <f t="array" ref="J154">_xlfn.SINGLE(IF(G154&lt;&gt;"",IF($C$6="","",IF(J147:J152&lt;&gt;"",IF(MIN(J147:J152)&lt;=0,"",IF(MIN(J147:J152)=$C$8,MIN(J147:J152)-$C$8,MIN(J147:J152)-$C$7)),"")),""))</f>
        <v>#REF!</v>
      </c>
      <c r="K154" s="50" t="str" cm="1">
        <f t="array" ref="K154">_xlfn.SINGLE(IF($C$13="","",IF(K147:K152&lt;&gt;"",IF(MIN(K147:K152)&lt;=0,"",IF(MIN(K147:K152)=$C$15,MIN(K147:K152)-$C$15,MIN(K147:K152)-$C$14)),"")))</f>
        <v/>
      </c>
      <c r="L154" s="82" t="e" cm="1">
        <f t="array" ref="L154">IF(AND(OR(J154=0,J154=""),OR(K154=0,K154="")),"",_xlfn.IFS($C$22&gt;=0.0035,0.003,$C$22&lt;0.0005,0,$C$22&lt;0.0035,$C$22-0.0005))</f>
        <v>#REF!</v>
      </c>
      <c r="M154" s="63" t="str">
        <f t="shared" ref="M154:M159" si="93">IF(OR(K154="",K154=0),"",IF(G154="","",$C$14))</f>
        <v/>
      </c>
      <c r="N154" s="106"/>
    </row>
    <row r="155" spans="2:15" s="14" customFormat="1" hidden="1" x14ac:dyDescent="0.4">
      <c r="B155" s="263"/>
      <c r="C155" s="266"/>
      <c r="D155" s="49" t="s">
        <v>7</v>
      </c>
      <c r="E155" s="73" t="e">
        <f t="shared" ref="E155:E157" si="94">IF(G154="","",IF(G155="","",IF(G154+1&gt;DATE($B$154+1,3,31),"",G154+1)))</f>
        <v>#REF!</v>
      </c>
      <c r="F155" s="46" t="e">
        <f t="shared" si="60"/>
        <v>#REF!</v>
      </c>
      <c r="G155" s="102" t="e">
        <f>IF(G154="","",IF(G154+1&gt;DATE($B$154,9,30),"",IF(OR($C$20="",$C$21=""),"",IF($C$20="月末",IF(EOMONTH(G154,VLOOKUP($C$21,#REF!,2,FALSE))&gt;DATE($B$154,9,30),"",EOMONTH(G154,VLOOKUP($C$21,#REF!,2,FALSE))),IF(EOMONTH(G154,VLOOKUP($C$21,#REF!,2,FALSE)-1)+$C$20&gt;DATE($B$154,9,30),"",EOMONTH(G154,VLOOKUP($C$21,#REF!,2,FALSE)-1)+$C$20)))))</f>
        <v>#REF!</v>
      </c>
      <c r="H155" s="46" t="e">
        <f t="shared" si="89"/>
        <v>#REF!</v>
      </c>
      <c r="I155" s="47" t="e">
        <f>IF(G155="","",DATEDIF(E155,G155,"D")+1)</f>
        <v>#REF!</v>
      </c>
      <c r="J155" s="50" t="e">
        <f t="shared" ref="J155:J159" si="95">IF(G155&lt;&gt;"",IF($C$6="","",IF(J154="","",IF(J154&lt;=0,"",IF(J154=$C$8,J154-$C$8,J154-$C$7)))),"")</f>
        <v>#REF!</v>
      </c>
      <c r="K155" s="50" t="e">
        <f>IF(G155&lt;&gt;"",IF($C$13="","",IF(K154="","",IF(K154&lt;=0,"",IF(K154=$C$15,K154-$C$15,K154-$C$14)))),"")</f>
        <v>#REF!</v>
      </c>
      <c r="L155" s="82" t="e" cm="1">
        <f t="array" ref="L155">IF(AND(OR(J155=0,J155=""),OR(K155=0,K155="")),"",_xlfn.IFS($C$22&gt;=0.0035,0.003,$C$22&lt;0.0005,0,$C$22&lt;0.0035,$C$22-0.0005))</f>
        <v>#REF!</v>
      </c>
      <c r="M155" s="66" t="e">
        <f t="shared" si="93"/>
        <v>#REF!</v>
      </c>
      <c r="N155" s="106"/>
    </row>
    <row r="156" spans="2:15" hidden="1" x14ac:dyDescent="0.4">
      <c r="B156" s="263"/>
      <c r="C156" s="266"/>
      <c r="D156" s="49" t="s">
        <v>34</v>
      </c>
      <c r="E156" s="73" t="e">
        <f t="shared" si="94"/>
        <v>#REF!</v>
      </c>
      <c r="F156" s="46" t="e">
        <f t="shared" si="60"/>
        <v>#REF!</v>
      </c>
      <c r="G156" s="102" t="e">
        <f>IF(G155="","",IF(G155+1&gt;DATE($B$154,9,30),"",IF(OR($C$20="",$C$21=""),"",IF($C$20="月末",IF(EOMONTH(G155,VLOOKUP($C$21,#REF!,2,FALSE))&gt;DATE($B$154,9,30),"",EOMONTH(G155,VLOOKUP($C$21,#REF!,2,FALSE))),IF(EOMONTH(G155,VLOOKUP($C$21,#REF!,2,FALSE)-1)+$C$20&gt;DATE($B$154,9,30),"",EOMONTH(G155,VLOOKUP($C$21,#REF!,2,FALSE)-1)+$C$20)))))</f>
        <v>#REF!</v>
      </c>
      <c r="H156" s="46" t="e">
        <f t="shared" si="89"/>
        <v>#REF!</v>
      </c>
      <c r="I156" s="47" t="e">
        <f t="shared" ref="I156:I158" si="96">IF(G156="","",DATEDIF(E156,G156,"D")+1)</f>
        <v>#REF!</v>
      </c>
      <c r="J156" s="50" t="e">
        <f t="shared" si="95"/>
        <v>#REF!</v>
      </c>
      <c r="K156" s="50" t="e">
        <f>IF(G156&lt;&gt;"",IF($C$13="","",IF(K155="","",IF(K155&lt;=0,"",IF(K155=$C$15,K155-$C$15,K155-$C$14)))),"")</f>
        <v>#REF!</v>
      </c>
      <c r="L156" s="82" t="e" cm="1">
        <f t="array" ref="L156">IF(AND(OR(J156=0,J156=""),OR(K156=0,K156="")),"",_xlfn.IFS($C$22&gt;=0.0035,0.003,$C$22&lt;0.0005,0,$C$22&lt;0.0035,$C$22-0.0005))</f>
        <v>#REF!</v>
      </c>
      <c r="M156" s="66" t="e">
        <f t="shared" si="93"/>
        <v>#REF!</v>
      </c>
      <c r="N156" s="106"/>
      <c r="O156" s="12"/>
    </row>
    <row r="157" spans="2:15" hidden="1" x14ac:dyDescent="0.4">
      <c r="B157" s="263"/>
      <c r="C157" s="266"/>
      <c r="D157" s="49" t="s">
        <v>35</v>
      </c>
      <c r="E157" s="73" t="e">
        <f t="shared" si="94"/>
        <v>#REF!</v>
      </c>
      <c r="F157" s="46" t="e">
        <f t="shared" si="60"/>
        <v>#REF!</v>
      </c>
      <c r="G157" s="102" t="e">
        <f>IF(G156="","",IF(G156+1&gt;DATE($B$154,9,30),"",IF(OR($C$20="",$C$21=""),"",IF($C$20="月末",IF(EOMONTH(G156,VLOOKUP($C$21,#REF!,2,FALSE))&gt;DATE($B$154,9,30),"",EOMONTH(G156,VLOOKUP($C$21,#REF!,2,FALSE))),IF(EOMONTH(G156,VLOOKUP($C$21,#REF!,2,FALSE)-1)+$C$20&gt;DATE($B$154,9,30),"",EOMONTH(G156,VLOOKUP($C$21,#REF!,2,FALSE)-1)+$C$20)))))</f>
        <v>#REF!</v>
      </c>
      <c r="H157" s="46" t="e">
        <f t="shared" si="89"/>
        <v>#REF!</v>
      </c>
      <c r="I157" s="47" t="e">
        <f t="shared" si="96"/>
        <v>#REF!</v>
      </c>
      <c r="J157" s="50" t="e">
        <f t="shared" si="95"/>
        <v>#REF!</v>
      </c>
      <c r="K157" s="50" t="e">
        <f>IF(G157&lt;&gt;"",IF($C$13="","",IF(K156="","",IF(K156&lt;=0,"",IF(K156=$C$15,K156-$C$15,K156-$C$14)))),"")</f>
        <v>#REF!</v>
      </c>
      <c r="L157" s="82" t="e" cm="1">
        <f t="array" ref="L157">IF(AND(OR(J157=0,J157=""),OR(K157=0,K157="")),"",_xlfn.IFS($C$22&gt;=0.0035,0.003,$C$22&lt;0.0005,0,$C$22&lt;0.0035,$C$22-0.0005))</f>
        <v>#REF!</v>
      </c>
      <c r="M157" s="66" t="e">
        <f t="shared" si="93"/>
        <v>#REF!</v>
      </c>
      <c r="N157" s="106"/>
      <c r="O157" s="12"/>
    </row>
    <row r="158" spans="2:15" hidden="1" x14ac:dyDescent="0.4">
      <c r="B158" s="263"/>
      <c r="C158" s="266"/>
      <c r="D158" s="49" t="s">
        <v>36</v>
      </c>
      <c r="E158" s="73" t="e">
        <f>IF(G157="","",IF(G158="","",IF(G157+1&gt;DATE($B$154+1,3,31),"",G157+1)))</f>
        <v>#REF!</v>
      </c>
      <c r="F158" s="46" t="e">
        <f t="shared" si="60"/>
        <v>#REF!</v>
      </c>
      <c r="G158" s="102" t="e">
        <f>IF(G157="","",IF(G157+1&gt;DATE($B$154,9,30),"",IF(OR($C$20="",$C$21=""),"",IF($C$20="月末",IF(EOMONTH(G157,VLOOKUP($C$21,#REF!,2,FALSE))&gt;DATE($B$154,9,30),"",EOMONTH(G157,VLOOKUP($C$21,#REF!,2,FALSE))),IF(EOMONTH(G157,VLOOKUP($C$21,#REF!,2,FALSE)-1)+$C$20&gt;DATE($B$154,9,30),"",EOMONTH(G157,VLOOKUP($C$21,#REF!,2,FALSE)-1)+$C$20)))))</f>
        <v>#REF!</v>
      </c>
      <c r="H158" s="46" t="e">
        <f t="shared" si="89"/>
        <v>#REF!</v>
      </c>
      <c r="I158" s="47" t="e">
        <f t="shared" si="96"/>
        <v>#REF!</v>
      </c>
      <c r="J158" s="50" t="e">
        <f t="shared" si="95"/>
        <v>#REF!</v>
      </c>
      <c r="K158" s="50" t="e">
        <f>IF(G158&lt;&gt;"",IF($C$13="","",IF(K157="","",IF(K157&lt;=0,"",IF(K157=$C$15,K157-$C$15,K157-$C$14)))),"")</f>
        <v>#REF!</v>
      </c>
      <c r="L158" s="82" t="e" cm="1">
        <f t="array" ref="L158">IF(AND(OR(J158=0,J158=""),OR(K158=0,K158="")),"",_xlfn.IFS($C$22&gt;=0.0035,0.003,$C$22&lt;0.0005,0,$C$22&lt;0.0035,$C$22-0.0005))</f>
        <v>#REF!</v>
      </c>
      <c r="M158" s="66" t="e">
        <f t="shared" si="93"/>
        <v>#REF!</v>
      </c>
      <c r="N158" s="106"/>
      <c r="O158" s="12"/>
    </row>
    <row r="159" spans="2:15" hidden="1" x14ac:dyDescent="0.4">
      <c r="B159" s="263"/>
      <c r="C159" s="266"/>
      <c r="D159" s="51" t="s">
        <v>40</v>
      </c>
      <c r="E159" s="73" t="e">
        <f t="shared" ref="E159" si="97">IF(G158="","",IF(G159="","",IF(G158+1&gt;DATE($B$154+1,3,31),"",G158+1)))</f>
        <v>#REF!</v>
      </c>
      <c r="F159" s="52" t="e">
        <f t="shared" si="60"/>
        <v>#REF!</v>
      </c>
      <c r="G159" s="102" t="e">
        <f>IF(G158="","",IF(G158+1&gt;DATE($B$154,9,30),"",IF(OR($C$20="",$C$21=""),"",IF($C$20="月末",IF(EOMONTH(G158,VLOOKUP($C$21,#REF!,2,FALSE))&gt;DATE($B$154,9,30),"",EOMONTH(G158,VLOOKUP($C$21,#REF!,2,FALSE))),IF(EOMONTH(G158,VLOOKUP($C$21,#REF!,2,FALSE)-1)+$C$20&gt;DATE($B$154,9,30),"",EOMONTH(G158,VLOOKUP($C$21,#REF!,2,FALSE)-1)+$C$20)))))</f>
        <v>#REF!</v>
      </c>
      <c r="H159" s="52" t="e">
        <f t="shared" si="89"/>
        <v>#REF!</v>
      </c>
      <c r="I159" s="53" t="e">
        <f>IF(G159="","",DATEDIF(E159,G159,"D")+1)</f>
        <v>#REF!</v>
      </c>
      <c r="J159" s="50" t="e">
        <f t="shared" si="95"/>
        <v>#REF!</v>
      </c>
      <c r="K159" s="50" t="e">
        <f>IF(G159&lt;&gt;"",IF($C$13="","",IF(K158="","",IF(K158&lt;=0,"",IF(K158=$C$15,K158-$C$15,K158-$C$14)))),"")</f>
        <v>#REF!</v>
      </c>
      <c r="L159" s="83" t="e" cm="1">
        <f t="array" ref="L159">IF(AND(OR(J159=0,J159=""),OR(K159=0,K159="")),"",_xlfn.IFS($C$22&gt;=0.0035,0.003,$C$22&lt;0.0005,0,$C$22&lt;0.0035,$C$22-0.0005))</f>
        <v>#REF!</v>
      </c>
      <c r="M159" s="69" t="e">
        <f t="shared" si="93"/>
        <v>#REF!</v>
      </c>
      <c r="N159" s="106"/>
      <c r="O159" s="12"/>
    </row>
    <row r="160" spans="2:15" ht="19.5" hidden="1" thickBot="1" x14ac:dyDescent="0.45">
      <c r="B160" s="264"/>
      <c r="C160" s="57" t="s">
        <v>10</v>
      </c>
      <c r="D160" s="58"/>
      <c r="E160" s="75" t="e" cm="1">
        <f t="array" ref="E160">_xlfn.SINGLE(IF(E154:E159&lt;&gt;"",MIN(E154:E159),""))</f>
        <v>#REF!</v>
      </c>
      <c r="F160" s="59" t="e">
        <f t="shared" si="60"/>
        <v>#REF!</v>
      </c>
      <c r="G160" s="75" t="e">
        <f>MAX(G154:G159)</f>
        <v>#REF!</v>
      </c>
      <c r="H160" s="59" t="e">
        <f t="shared" si="89"/>
        <v>#REF!</v>
      </c>
      <c r="I160" s="60" t="e">
        <f>SUM(I154:I159)</f>
        <v>#REF!</v>
      </c>
      <c r="J160" s="58"/>
      <c r="K160" s="58"/>
      <c r="L160" s="84"/>
      <c r="M160" s="72"/>
      <c r="N160" s="106"/>
      <c r="O160" s="12"/>
    </row>
    <row r="161" spans="2:15" hidden="1" x14ac:dyDescent="0.4">
      <c r="B161" s="263"/>
      <c r="C161" s="267" t="s">
        <v>4</v>
      </c>
      <c r="D161" s="54" t="s">
        <v>9</v>
      </c>
      <c r="E161" s="73" t="e">
        <f>IF(G160="","",IF(G161="","",IF(G160+1&gt;DATE($B$154+1,3,31),"",G160+1)))</f>
        <v>#REF!</v>
      </c>
      <c r="F161" s="46" t="e">
        <f t="shared" si="60"/>
        <v>#REF!</v>
      </c>
      <c r="G161" s="102" t="e">
        <f>IF(G160="","",IF(G160+1&gt;DATE($B$154+1,3,31),"",IF(OR($C$20="",$C$21=""),"",IF($C$20="月末",IF(EOMONTH(G160,VLOOKUP($C$21,#REF!,2,FALSE))&gt;DATE($B$154+1,3,31),"",EOMONTH(G160,VLOOKUP($C$21,#REF!,2,FALSE))),IF(EOMONTH(G160,VLOOKUP($C$21,#REF!,2,FALSE)-1)+$C$20&gt;DATE($B$154+1,3,31),"",EOMONTH(G160,VLOOKUP($C$21,#REF!,2,FALSE)-1)+$C$20)))))</f>
        <v>#REF!</v>
      </c>
      <c r="H161" s="46" t="e">
        <f>IF(G161="","",TEXT(G161,"aaa"))</f>
        <v>#REF!</v>
      </c>
      <c r="I161" s="47" t="e">
        <f>IF(G161="","",DATEDIF(E161,G161,"D")+1)</f>
        <v>#REF!</v>
      </c>
      <c r="J161" s="50" t="e" cm="1">
        <f t="array" ref="J161">_xlfn.SINGLE(IF(G161&lt;&gt;"",IF($C$6="","",IF(J154:J159&lt;&gt;"",IF(MIN(J154:J159)&lt;=0,"",IF(MIN(J154:J159)=$C$8,MIN(J154:J159)-$C$8,MIN(J154:J159)-$C$7)),"")),""))</f>
        <v>#REF!</v>
      </c>
      <c r="K161" s="50" t="str" cm="1">
        <f t="array" ref="K161">_xlfn.SINGLE(IF($C$13="","",IF(K154:K159&lt;&gt;"",IF(MIN(K154:K159)&lt;=0,"",IF(MIN(K154:K159)=$C$15,MIN(K154:K159)-$C$15,MIN(K154:K159)-$C$14)),"")))</f>
        <v/>
      </c>
      <c r="L161" s="85" t="e" cm="1">
        <f t="array" ref="L161">IF(AND(OR(J161=0,J161=""),OR(K161=0,K161="")),"",_xlfn.IFS($C$22&gt;=0.0035,0.003,$C$22&lt;0.0005,0,$C$22&lt;0.0035,$C$22-0.0005))</f>
        <v>#REF!</v>
      </c>
      <c r="M161" s="63" t="str">
        <f t="shared" ref="M161:M166" si="98">IF(OR(K161="",K161=0),"",IF(G161="","",$C$14))</f>
        <v/>
      </c>
      <c r="N161" s="106"/>
      <c r="O161" s="12"/>
    </row>
    <row r="162" spans="2:15" hidden="1" x14ac:dyDescent="0.4">
      <c r="B162" s="263"/>
      <c r="C162" s="266"/>
      <c r="D162" s="49" t="s">
        <v>8</v>
      </c>
      <c r="E162" s="73" t="e">
        <f t="shared" ref="E162:E166" si="99">IF(G161="","",IF(G162="","",IF(G161+1&gt;DATE($B$154+1,3,31),"",G161+1)))</f>
        <v>#REF!</v>
      </c>
      <c r="F162" s="46" t="e">
        <f t="shared" si="60"/>
        <v>#REF!</v>
      </c>
      <c r="G162" s="102" t="e">
        <f>IF(G161="","",IF(G161+1&gt;DATE($B$154+1,3,31),"",IF(OR($C$20="",$C$21=""),"",IF($C$20="月末",IF(EOMONTH(G161,VLOOKUP($C$21,#REF!,2,FALSE))&gt;DATE($B$154+1,3,31),"",EOMONTH(G161,VLOOKUP($C$21,#REF!,2,FALSE))),IF(EOMONTH(G161,VLOOKUP($C$21,#REF!,2,FALSE)-1)+$C$20&gt;DATE($B$154+1,3,31),"",EOMONTH(G161,VLOOKUP($C$21,#REF!,2,FALSE)-1)+$C$20)))))</f>
        <v>#REF!</v>
      </c>
      <c r="H162" s="46" t="e">
        <f t="shared" ref="H162:H167" si="100">IF(G162="","",TEXT(G162,"aaa"))</f>
        <v>#REF!</v>
      </c>
      <c r="I162" s="47" t="e">
        <f>IF(G162="","",DATEDIF(E162,G162,"D")+1)</f>
        <v>#REF!</v>
      </c>
      <c r="J162" s="50" t="e">
        <f t="shared" ref="J162:J166" si="101">IF(G162&lt;&gt;"",IF($C$6="","",IF(J161="","",IF(J161&lt;=0,"",IF(J161=$C$8,J161-$C$8,J161-$C$7)))),"")</f>
        <v>#REF!</v>
      </c>
      <c r="K162" s="50" t="e">
        <f>IF(G162&lt;&gt;"",IF($C$13="","",IF(K161="","",IF(K161&lt;=0,"",IF(K161=$C$15,K161-$C$15,K161-$C$14)))),"")</f>
        <v>#REF!</v>
      </c>
      <c r="L162" s="82" t="e" cm="1">
        <f t="array" ref="L162">IF(AND(OR(J162=0,J162=""),OR(K162=0,K162="")),"",_xlfn.IFS($C$22&gt;=0.0035,0.003,$C$22&lt;0.0005,0,$C$22&lt;0.0035,$C$22-0.0005))</f>
        <v>#REF!</v>
      </c>
      <c r="M162" s="66" t="e">
        <f t="shared" si="98"/>
        <v>#REF!</v>
      </c>
      <c r="N162" s="106"/>
      <c r="O162" s="12"/>
    </row>
    <row r="163" spans="2:15" hidden="1" x14ac:dyDescent="0.4">
      <c r="B163" s="263"/>
      <c r="C163" s="266"/>
      <c r="D163" s="49" t="s">
        <v>37</v>
      </c>
      <c r="E163" s="73" t="e">
        <f t="shared" si="99"/>
        <v>#REF!</v>
      </c>
      <c r="F163" s="46" t="e">
        <f t="shared" si="60"/>
        <v>#REF!</v>
      </c>
      <c r="G163" s="102" t="e">
        <f>IF(G162="","",IF(G162+1&gt;DATE($B$154+1,3,31),"",IF(OR($C$20="",$C$21=""),"",IF($C$20="月末",IF(EOMONTH(G162,VLOOKUP($C$21,#REF!,2,FALSE))&gt;DATE($B$154+1,3,31),"",EOMONTH(G162,VLOOKUP($C$21,#REF!,2,FALSE))),IF(EOMONTH(G162,VLOOKUP($C$21,#REF!,2,FALSE)-1)+$C$20&gt;DATE($B$154+1,3,31),"",EOMONTH(G162,VLOOKUP($C$21,#REF!,2,FALSE)-1)+$C$20)))))</f>
        <v>#REF!</v>
      </c>
      <c r="H163" s="46" t="e">
        <f t="shared" si="100"/>
        <v>#REF!</v>
      </c>
      <c r="I163" s="47" t="e">
        <f t="shared" ref="I163:I165" si="102">IF(G163="","",DATEDIF(E163,G163,"D")+1)</f>
        <v>#REF!</v>
      </c>
      <c r="J163" s="50" t="e">
        <f t="shared" si="101"/>
        <v>#REF!</v>
      </c>
      <c r="K163" s="50" t="e">
        <f>IF(G163&lt;&gt;"",IF($C$13="","",IF(K162="","",IF(K162&lt;=0,"",IF(K162=$C$15,K162-$C$15,K162-$C$14)))),"")</f>
        <v>#REF!</v>
      </c>
      <c r="L163" s="82" t="e" cm="1">
        <f t="array" ref="L163">IF(AND(OR(J163=0,J163=""),OR(K163=0,K163="")),"",_xlfn.IFS($C$22&gt;=0.0035,0.003,$C$22&lt;0.0005,0,$C$22&lt;0.0035,$C$22-0.0005))</f>
        <v>#REF!</v>
      </c>
      <c r="M163" s="66" t="e">
        <f t="shared" si="98"/>
        <v>#REF!</v>
      </c>
      <c r="N163" s="106"/>
      <c r="O163" s="12"/>
    </row>
    <row r="164" spans="2:15" hidden="1" x14ac:dyDescent="0.4">
      <c r="B164" s="263"/>
      <c r="C164" s="266"/>
      <c r="D164" s="49" t="s">
        <v>38</v>
      </c>
      <c r="E164" s="73" t="e">
        <f t="shared" si="99"/>
        <v>#REF!</v>
      </c>
      <c r="F164" s="46" t="e">
        <f t="shared" si="60"/>
        <v>#REF!</v>
      </c>
      <c r="G164" s="102" t="e">
        <f>IF(G163="","",IF(G163+1&gt;DATE($B$154+1,3,31),"",IF(OR($C$20="",$C$21=""),"",IF($C$20="月末",IF(EOMONTH(G163,VLOOKUP($C$21,#REF!,2,FALSE))&gt;DATE($B$154+1,3,31),"",EOMONTH(G163,VLOOKUP($C$21,#REF!,2,FALSE))),IF(EOMONTH(G163,VLOOKUP($C$21,#REF!,2,FALSE)-1)+$C$20&gt;DATE($B$154+1,3,31),"",EOMONTH(G163,VLOOKUP($C$21,#REF!,2,FALSE)-1)+$C$20)))))</f>
        <v>#REF!</v>
      </c>
      <c r="H164" s="46" t="e">
        <f t="shared" si="100"/>
        <v>#REF!</v>
      </c>
      <c r="I164" s="47" t="e">
        <f t="shared" si="102"/>
        <v>#REF!</v>
      </c>
      <c r="J164" s="50" t="e">
        <f t="shared" si="101"/>
        <v>#REF!</v>
      </c>
      <c r="K164" s="50" t="e">
        <f>IF(G164&lt;&gt;"",IF($C$13="","",IF(K163="","",IF(K163&lt;=0,"",IF(K163=$C$15,K163-$C$15,K163-$C$14)))),"")</f>
        <v>#REF!</v>
      </c>
      <c r="L164" s="82" t="e" cm="1">
        <f t="array" ref="L164">IF(AND(OR(J164=0,J164=""),OR(K164=0,K164="")),"",_xlfn.IFS($C$22&gt;=0.0035,0.003,$C$22&lt;0.0005,0,$C$22&lt;0.0035,$C$22-0.0005))</f>
        <v>#REF!</v>
      </c>
      <c r="M164" s="66" t="e">
        <f t="shared" si="98"/>
        <v>#REF!</v>
      </c>
      <c r="N164" s="106"/>
      <c r="O164" s="12"/>
    </row>
    <row r="165" spans="2:15" hidden="1" x14ac:dyDescent="0.4">
      <c r="B165" s="263"/>
      <c r="C165" s="266"/>
      <c r="D165" s="49" t="s">
        <v>39</v>
      </c>
      <c r="E165" s="73" t="e">
        <f t="shared" si="99"/>
        <v>#REF!</v>
      </c>
      <c r="F165" s="46" t="e">
        <f t="shared" si="60"/>
        <v>#REF!</v>
      </c>
      <c r="G165" s="102" t="e">
        <f>IF(G164="","",IF(G164+1&gt;DATE($B$154+1,3,31),"",IF(OR($C$20="",$C$21=""),"",IF($C$20="月末",IF(EOMONTH(G164,VLOOKUP($C$21,#REF!,2,FALSE))&gt;DATE($B$154+1,3,31),"",EOMONTH(G164,VLOOKUP($C$21,#REF!,2,FALSE))),IF(EOMONTH(G164,VLOOKUP($C$21,#REF!,2,FALSE)-1)+$C$20&gt;DATE($B$154+1,3,31),"",EOMONTH(G164,VLOOKUP($C$21,#REF!,2,FALSE)-1)+$C$20)))))</f>
        <v>#REF!</v>
      </c>
      <c r="H165" s="46" t="e">
        <f t="shared" si="100"/>
        <v>#REF!</v>
      </c>
      <c r="I165" s="47" t="e">
        <f t="shared" si="102"/>
        <v>#REF!</v>
      </c>
      <c r="J165" s="50" t="e">
        <f t="shared" si="101"/>
        <v>#REF!</v>
      </c>
      <c r="K165" s="50" t="e">
        <f>IF(G165&lt;&gt;"",IF($C$13="","",IF(K164="","",IF(K164&lt;=0,"",IF(K164=$C$15,K164-$C$15,K164-$C$14)))),"")</f>
        <v>#REF!</v>
      </c>
      <c r="L165" s="82" t="e" cm="1">
        <f t="array" ref="L165">IF(AND(OR(J165=0,J165=""),OR(K165=0,K165="")),"",_xlfn.IFS($C$22&gt;=0.0035,0.003,$C$22&lt;0.0005,0,$C$22&lt;0.0035,$C$22-0.0005))</f>
        <v>#REF!</v>
      </c>
      <c r="M165" s="66" t="e">
        <f t="shared" si="98"/>
        <v>#REF!</v>
      </c>
      <c r="N165" s="106"/>
      <c r="O165" s="12"/>
    </row>
    <row r="166" spans="2:15" hidden="1" x14ac:dyDescent="0.4">
      <c r="B166" s="263"/>
      <c r="C166" s="266"/>
      <c r="D166" s="51" t="s">
        <v>41</v>
      </c>
      <c r="E166" s="73" t="e">
        <f t="shared" si="99"/>
        <v>#REF!</v>
      </c>
      <c r="F166" s="52" t="e">
        <f t="shared" si="60"/>
        <v>#REF!</v>
      </c>
      <c r="G166" s="102" t="e">
        <f>IF(G165="","",IF(G165+1&gt;DATE($B$154+1,3,31),"",IF(OR($C$20="",$C$21=""),"",IF($C$20="月末",IF(EOMONTH(G165,VLOOKUP($C$21,#REF!,2,FALSE))&gt;DATE($B$154+1,3,31),"",EOMONTH(G165,VLOOKUP($C$21,#REF!,2,FALSE))),IF(EOMONTH(G165,VLOOKUP($C$21,#REF!,2,FALSE)-1)+$C$20&gt;DATE($B$154+1,3,31),"",EOMONTH(G165,VLOOKUP($C$21,#REF!,2,FALSE)-1)+$C$20)))))</f>
        <v>#REF!</v>
      </c>
      <c r="H166" s="52" t="e">
        <f t="shared" si="100"/>
        <v>#REF!</v>
      </c>
      <c r="I166" s="53" t="e">
        <f>IF(G166="","",DATEDIF(E166,G166,"D")+1)</f>
        <v>#REF!</v>
      </c>
      <c r="J166" s="50" t="e">
        <f t="shared" si="101"/>
        <v>#REF!</v>
      </c>
      <c r="K166" s="50" t="e">
        <f>IF(G166&lt;&gt;"",IF($C$13="","",IF(K165="","",IF(K165&lt;=0,"",IF(K165=$C$15,K165-$C$15,K165-$C$14)))),"")</f>
        <v>#REF!</v>
      </c>
      <c r="L166" s="83" t="e" cm="1">
        <f t="array" ref="L166">IF(AND(OR(J166=0,J166=""),OR(K166=0,K166="")),"",_xlfn.IFS($C$22&gt;=0.0035,0.003,$C$22&lt;0.0005,0,$C$22&lt;0.0035,$C$22-0.0005))</f>
        <v>#REF!</v>
      </c>
      <c r="M166" s="69" t="e">
        <f t="shared" si="98"/>
        <v>#REF!</v>
      </c>
      <c r="N166" s="106"/>
      <c r="O166" s="12"/>
    </row>
    <row r="167" spans="2:15" ht="19.5" hidden="1" thickBot="1" x14ac:dyDescent="0.45">
      <c r="B167" s="265"/>
      <c r="C167" s="57" t="s">
        <v>10</v>
      </c>
      <c r="D167" s="58"/>
      <c r="E167" s="75" t="e" cm="1">
        <f t="array" ref="E167">_xlfn.SINGLE(IF(E161:E166&lt;&gt;"",MIN(E161:E166),""))</f>
        <v>#REF!</v>
      </c>
      <c r="F167" s="59" t="e">
        <f t="shared" si="60"/>
        <v>#REF!</v>
      </c>
      <c r="G167" s="75" t="e" cm="1">
        <f t="array" ref="G167">_xlfn.SINGLE(IF(G161:G166&lt;&gt;"",MAX(G161:G166),""))</f>
        <v>#REF!</v>
      </c>
      <c r="H167" s="59" t="e">
        <f t="shared" si="100"/>
        <v>#REF!</v>
      </c>
      <c r="I167" s="60" t="e">
        <f>SUM(I161:I166)</f>
        <v>#REF!</v>
      </c>
      <c r="J167" s="58"/>
      <c r="K167" s="58"/>
      <c r="L167" s="84"/>
      <c r="M167" s="72"/>
      <c r="N167" s="106"/>
      <c r="O167" s="12"/>
    </row>
    <row r="168" spans="2:15" hidden="1" x14ac:dyDescent="0.4">
      <c r="O168" s="12"/>
    </row>
    <row r="169" spans="2:15" ht="10.5" customHeight="1" x14ac:dyDescent="0.4">
      <c r="O169" s="12"/>
    </row>
    <row r="170" spans="2:15" ht="24.75" thickBot="1" x14ac:dyDescent="0.45">
      <c r="B170" s="87" t="s">
        <v>54</v>
      </c>
      <c r="E170" s="12"/>
      <c r="O170" s="78">
        <f>'融資計画書 '!B27</f>
        <v>2022</v>
      </c>
    </row>
    <row r="171" spans="2:15" ht="24.75" thickBot="1" x14ac:dyDescent="0.45">
      <c r="B171" s="103" t="s">
        <v>22</v>
      </c>
      <c r="C171" s="134" t="s">
        <v>57</v>
      </c>
      <c r="E171" s="12"/>
      <c r="L171" s="13"/>
      <c r="O171" s="78">
        <f>'融資計画書 '!B29</f>
        <v>2023</v>
      </c>
    </row>
    <row r="172" spans="2:15" ht="20.25" customHeight="1" thickBot="1" x14ac:dyDescent="0.45">
      <c r="B172" s="259">
        <f>$A$26</f>
        <v>2023</v>
      </c>
      <c r="C172" s="260">
        <f>IF(C171="単位期間１",L26,IF(C171="単位期間２",L27,""))</f>
        <v>986301</v>
      </c>
      <c r="E172" s="12"/>
      <c r="L172" s="13"/>
      <c r="O172" s="78">
        <f>'融資計画書 '!B31</f>
        <v>2024</v>
      </c>
    </row>
    <row r="173" spans="2:15" ht="19.5" customHeight="1" thickBot="1" x14ac:dyDescent="0.45">
      <c r="B173" s="259"/>
      <c r="C173" s="260"/>
      <c r="E173" s="12"/>
      <c r="L173" s="13"/>
      <c r="O173" s="12"/>
    </row>
  </sheetData>
  <sheetProtection algorithmName="SHA-512" hashValue="hvN0pXqyrIrwFj0x9ktuTMKxvVoclQ2jTuYspd7KH6MDr3uQkQJIuWyKWUDgekHurP7PX3ETPBK8zSCt0LplFQ==" saltValue="lqiboe+89Xvd85e6YW22Qw==" spinCount="100000" sheet="1" selectLockedCells="1" autoFilter="0"/>
  <mergeCells count="34">
    <mergeCell ref="B26:B27"/>
    <mergeCell ref="B28:B41"/>
    <mergeCell ref="C28:C33"/>
    <mergeCell ref="C35:C40"/>
    <mergeCell ref="B42:B55"/>
    <mergeCell ref="C42:C47"/>
    <mergeCell ref="C49:C54"/>
    <mergeCell ref="B56:B69"/>
    <mergeCell ref="C56:C61"/>
    <mergeCell ref="C63:C68"/>
    <mergeCell ref="B70:B83"/>
    <mergeCell ref="C70:C75"/>
    <mergeCell ref="C77:C82"/>
    <mergeCell ref="C84:C89"/>
    <mergeCell ref="C91:C96"/>
    <mergeCell ref="B98:B111"/>
    <mergeCell ref="C98:C103"/>
    <mergeCell ref="C105:C110"/>
    <mergeCell ref="B172:B173"/>
    <mergeCell ref="C172:C173"/>
    <mergeCell ref="N4:AE4"/>
    <mergeCell ref="B140:B153"/>
    <mergeCell ref="C140:C145"/>
    <mergeCell ref="C147:C152"/>
    <mergeCell ref="B154:B167"/>
    <mergeCell ref="C154:C159"/>
    <mergeCell ref="C161:C166"/>
    <mergeCell ref="B112:B125"/>
    <mergeCell ref="C112:C117"/>
    <mergeCell ref="C119:C124"/>
    <mergeCell ref="B126:B139"/>
    <mergeCell ref="C126:C131"/>
    <mergeCell ref="C133:C138"/>
    <mergeCell ref="B84:B97"/>
  </mergeCells>
  <phoneticPr fontId="1"/>
  <conditionalFormatting sqref="E25:E27 G25:G27 H28:H167 F28:F167">
    <cfRule type="beginsWith" dxfId="7" priority="6" operator="beginsWith" text="日">
      <formula>LEFT(E25,LEN("日"))="日"</formula>
    </cfRule>
  </conditionalFormatting>
  <conditionalFormatting sqref="H28:H170 F28:F170 H1:H3 B170:B172 H174:H1048576 F174:F1048576 F1:F24 E25:E27 H24 G25:G27">
    <cfRule type="beginsWith" dxfId="6" priority="5" operator="beginsWith" text="土">
      <formula>LEFT(B1,LEN("土"))="土"</formula>
    </cfRule>
  </conditionalFormatting>
  <dataValidations count="4">
    <dataValidation type="list" allowBlank="1" showInputMessage="1" showErrorMessage="1" sqref="C20:C21" xr:uid="{8D8217E7-3744-4AB5-935A-1CE69F4C1C61}">
      <formula1>#REF!</formula1>
    </dataValidation>
    <dataValidation type="date" allowBlank="1" showInputMessage="1" showErrorMessage="1" sqref="C18:C19" xr:uid="{FCBD671D-FCCC-4C9A-A949-B632EC16E68A}">
      <formula1>C15</formula1>
      <formula2>C15+365</formula2>
    </dataValidation>
    <dataValidation type="list" allowBlank="1" showInputMessage="1" showErrorMessage="1" sqref="C171" xr:uid="{41EA2F4A-3936-484D-9B08-AF4C47F1EFCB}">
      <formula1>$N$25:$N$26</formula1>
    </dataValidation>
    <dataValidation type="list" allowBlank="1" showInputMessage="1" showErrorMessage="1" sqref="B26:B27" xr:uid="{B3532B9D-DBD2-437F-95AF-6E9AD95B9D2B}">
      <formula1>$O$169:$O$172</formula1>
    </dataValidation>
  </dataValidations>
  <pageMargins left="0.7" right="0.7" top="0.75" bottom="0.75" header="0.3" footer="0.3"/>
  <pageSetup paperSize="9" scale="6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EE84CB-549F-421B-9D36-2F779796EA70}">
  <sheetPr>
    <tabColor theme="5"/>
    <pageSetUpPr fitToPage="1"/>
  </sheetPr>
  <dimension ref="A1:AC187"/>
  <sheetViews>
    <sheetView view="pageBreakPreview" topLeftCell="B3" zoomScale="80" zoomScaleNormal="70" zoomScaleSheetLayoutView="80" workbookViewId="0">
      <selection activeCell="E32" sqref="E32"/>
    </sheetView>
  </sheetViews>
  <sheetFormatPr defaultRowHeight="18.75" x14ac:dyDescent="0.4"/>
  <cols>
    <col min="1" max="1" width="1" style="12" customWidth="1"/>
    <col min="2" max="2" width="27.5" style="12" customWidth="1"/>
    <col min="3" max="3" width="24.625" style="12" customWidth="1"/>
    <col min="4" max="4" width="17.625" style="12" customWidth="1"/>
    <col min="5" max="5" width="15.625" style="13" customWidth="1"/>
    <col min="6" max="6" width="4.75" style="12" customWidth="1"/>
    <col min="7" max="7" width="15.625" style="12" customWidth="1"/>
    <col min="8" max="8" width="5.125" style="12" customWidth="1"/>
    <col min="9" max="9" width="5.25" style="12" customWidth="1"/>
    <col min="10" max="10" width="23.625" style="12" customWidth="1"/>
    <col min="11" max="11" width="23.5" style="12" bestFit="1" customWidth="1"/>
    <col min="12" max="12" width="17.25" style="12" bestFit="1" customWidth="1"/>
    <col min="13" max="13" width="23.5" style="12" bestFit="1" customWidth="1"/>
    <col min="14" max="14" width="23.5" style="12" customWidth="1"/>
    <col min="15" max="15" width="21.375" style="12" bestFit="1" customWidth="1"/>
    <col min="16" max="16" width="1.5" style="12" hidden="1" customWidth="1"/>
    <col min="17" max="17" width="6.75" style="13" hidden="1" customWidth="1"/>
    <col min="18" max="29" width="3.625" style="12" hidden="1" customWidth="1"/>
    <col min="30" max="16384" width="9" style="12"/>
  </cols>
  <sheetData>
    <row r="1" spans="2:29" ht="6" customHeight="1" x14ac:dyDescent="0.4">
      <c r="B1" s="24"/>
      <c r="D1" s="24"/>
    </row>
    <row r="2" spans="2:29" ht="18.75" customHeight="1" x14ac:dyDescent="0.4">
      <c r="B2" s="24"/>
      <c r="C2" s="25" t="s">
        <v>20</v>
      </c>
      <c r="D2" s="176" t="s">
        <v>58</v>
      </c>
    </row>
    <row r="3" spans="2:29" ht="18.75" customHeight="1" x14ac:dyDescent="0.4">
      <c r="B3" s="24"/>
      <c r="C3" s="213"/>
      <c r="D3" s="176"/>
      <c r="O3" s="216" t="s">
        <v>101</v>
      </c>
    </row>
    <row r="4" spans="2:29" ht="25.5" x14ac:dyDescent="0.4">
      <c r="B4" s="223" t="s">
        <v>104</v>
      </c>
      <c r="C4" s="217"/>
      <c r="D4" s="218"/>
      <c r="E4" s="219"/>
      <c r="F4" s="220"/>
      <c r="G4" s="220"/>
      <c r="H4" s="220"/>
      <c r="I4" s="220"/>
      <c r="J4" s="222"/>
      <c r="K4" s="220"/>
      <c r="L4" s="220"/>
      <c r="M4" s="220"/>
      <c r="N4" s="220"/>
      <c r="O4" s="221"/>
    </row>
    <row r="5" spans="2:29" ht="24" x14ac:dyDescent="0.4">
      <c r="B5" s="86" t="s">
        <v>0</v>
      </c>
      <c r="P5" s="212"/>
      <c r="Q5" s="261" t="s">
        <v>56</v>
      </c>
      <c r="R5" s="261"/>
      <c r="S5" s="261"/>
      <c r="T5" s="261"/>
      <c r="U5" s="261"/>
      <c r="V5" s="261"/>
      <c r="W5" s="261"/>
      <c r="X5" s="261"/>
      <c r="Y5" s="261"/>
      <c r="Z5" s="261"/>
      <c r="AA5" s="261"/>
      <c r="AB5" s="261"/>
      <c r="AC5" s="261"/>
    </row>
    <row r="6" spans="2:29" ht="19.5" thickBot="1" x14ac:dyDescent="0.45">
      <c r="B6" s="26" t="s">
        <v>55</v>
      </c>
      <c r="C6" s="24"/>
      <c r="D6" s="24"/>
      <c r="N6" s="13"/>
      <c r="Q6" s="12"/>
    </row>
    <row r="7" spans="2:29" x14ac:dyDescent="0.4">
      <c r="B7" s="27" t="s">
        <v>21</v>
      </c>
      <c r="C7" s="108">
        <f>'融資計画書 '!C5</f>
        <v>20000000000</v>
      </c>
      <c r="D7" s="24"/>
      <c r="N7" s="13"/>
      <c r="Q7" s="12"/>
    </row>
    <row r="8" spans="2:29" x14ac:dyDescent="0.4">
      <c r="B8" s="28" t="s">
        <v>17</v>
      </c>
      <c r="C8" s="23">
        <f>'融資計画書 '!C6</f>
        <v>350000000</v>
      </c>
      <c r="D8" s="24"/>
      <c r="N8" s="13"/>
      <c r="Q8" s="12"/>
    </row>
    <row r="9" spans="2:29" x14ac:dyDescent="0.4">
      <c r="B9" s="28" t="s">
        <v>18</v>
      </c>
      <c r="C9" s="23">
        <f>'融資計画書 '!C7</f>
        <v>50000000</v>
      </c>
      <c r="D9" s="29"/>
      <c r="G9" s="13"/>
      <c r="Q9" s="12"/>
    </row>
    <row r="10" spans="2:29" x14ac:dyDescent="0.4">
      <c r="B10" s="28" t="s">
        <v>1</v>
      </c>
      <c r="C10" s="109">
        <f>'融資計画書 '!C8</f>
        <v>44652</v>
      </c>
      <c r="D10" s="24" t="s">
        <v>29</v>
      </c>
      <c r="G10" s="13"/>
      <c r="Q10" s="12"/>
    </row>
    <row r="11" spans="2:29" x14ac:dyDescent="0.4">
      <c r="B11" s="28"/>
      <c r="C11" s="109">
        <f>'融資計画書 '!C9</f>
        <v>48548</v>
      </c>
      <c r="D11" s="24" t="s">
        <v>30</v>
      </c>
      <c r="E11" s="30"/>
      <c r="G11" s="13"/>
      <c r="Q11" s="12"/>
    </row>
    <row r="12" spans="2:29" ht="19.5" thickBot="1" x14ac:dyDescent="0.45">
      <c r="B12" s="31" t="s">
        <v>19</v>
      </c>
      <c r="C12" s="110">
        <f>'融資計画書 '!C10</f>
        <v>3.5499999999999997E-2</v>
      </c>
      <c r="D12" s="24"/>
      <c r="G12" s="13"/>
      <c r="Q12" s="12"/>
    </row>
    <row r="13" spans="2:29" ht="19.5" thickBot="1" x14ac:dyDescent="0.45">
      <c r="B13" s="26" t="s">
        <v>25</v>
      </c>
      <c r="C13" s="89">
        <f>'融資計画書 '!C11</f>
        <v>0</v>
      </c>
      <c r="D13" s="24"/>
      <c r="G13" s="13"/>
      <c r="Q13" s="12"/>
    </row>
    <row r="14" spans="2:29" x14ac:dyDescent="0.4">
      <c r="B14" s="27" t="s">
        <v>32</v>
      </c>
      <c r="C14" s="108">
        <f>'融資計画書 '!C12</f>
        <v>2000000000</v>
      </c>
      <c r="D14" s="32"/>
      <c r="E14" s="16"/>
      <c r="F14" s="14"/>
      <c r="G14" s="91"/>
      <c r="Q14" s="12"/>
    </row>
    <row r="15" spans="2:29" x14ac:dyDescent="0.4">
      <c r="B15" s="28" t="s">
        <v>17</v>
      </c>
      <c r="C15" s="23">
        <f>'融資計画書 '!C13</f>
        <v>35000000</v>
      </c>
      <c r="D15" s="32"/>
      <c r="E15" s="16"/>
      <c r="F15" s="14"/>
      <c r="G15" s="90"/>
      <c r="Q15" s="12"/>
    </row>
    <row r="16" spans="2:29" x14ac:dyDescent="0.4">
      <c r="B16" s="28" t="s">
        <v>18</v>
      </c>
      <c r="C16" s="23">
        <f>'融資計画書 '!C14</f>
        <v>5000000</v>
      </c>
      <c r="D16" s="32"/>
      <c r="E16" s="16"/>
      <c r="F16" s="14"/>
      <c r="G16" s="13"/>
      <c r="Q16" s="12"/>
    </row>
    <row r="17" spans="1:29" ht="20.25" customHeight="1" x14ac:dyDescent="0.4">
      <c r="B17" s="28" t="s">
        <v>33</v>
      </c>
      <c r="C17" s="111">
        <f>'融資計画書 '!C15</f>
        <v>44722</v>
      </c>
      <c r="D17" s="24" t="s">
        <v>29</v>
      </c>
      <c r="F17" s="34"/>
      <c r="G17" s="13"/>
      <c r="Q17" s="12"/>
    </row>
    <row r="18" spans="1:29" x14ac:dyDescent="0.4">
      <c r="B18" s="28"/>
      <c r="C18" s="109">
        <f>'融資計画書 '!C16</f>
        <v>48548</v>
      </c>
      <c r="D18" s="24" t="s">
        <v>30</v>
      </c>
      <c r="E18" s="35"/>
      <c r="F18" s="34"/>
      <c r="N18" s="13"/>
      <c r="Q18" s="12"/>
    </row>
    <row r="19" spans="1:29" x14ac:dyDescent="0.4">
      <c r="B19" s="77" t="s">
        <v>60</v>
      </c>
      <c r="C19" s="109" t="str">
        <f>'融資計画書 '!C17</f>
        <v>有</v>
      </c>
      <c r="D19" s="24"/>
      <c r="E19" s="35"/>
      <c r="F19" s="34"/>
      <c r="N19" s="13"/>
      <c r="Q19" s="12"/>
    </row>
    <row r="20" spans="1:29" x14ac:dyDescent="0.4">
      <c r="B20" s="77" t="s">
        <v>73</v>
      </c>
      <c r="C20" s="109">
        <f>'融資計画書 '!C18</f>
        <v>45077</v>
      </c>
      <c r="D20" s="24"/>
      <c r="E20" s="35"/>
      <c r="F20" s="34"/>
      <c r="N20" s="13"/>
      <c r="Q20" s="12"/>
    </row>
    <row r="21" spans="1:29" x14ac:dyDescent="0.4">
      <c r="B21" s="77" t="s">
        <v>46</v>
      </c>
      <c r="C21" s="112">
        <f>'融資計画書 '!C19</f>
        <v>30</v>
      </c>
      <c r="D21" s="24"/>
      <c r="E21" s="35"/>
      <c r="F21" s="34"/>
      <c r="N21" s="13"/>
      <c r="Q21" s="12"/>
    </row>
    <row r="22" spans="1:29" x14ac:dyDescent="0.4">
      <c r="B22" s="77" t="s">
        <v>47</v>
      </c>
      <c r="C22" s="112" t="str">
        <f>'融資計画書 '!C20</f>
        <v>隔月毎</v>
      </c>
      <c r="D22" s="24"/>
      <c r="E22" s="35"/>
      <c r="F22" s="34"/>
      <c r="N22" s="13"/>
      <c r="Q22" s="12"/>
    </row>
    <row r="23" spans="1:29" ht="19.5" thickBot="1" x14ac:dyDescent="0.45">
      <c r="B23" s="31" t="s">
        <v>19</v>
      </c>
      <c r="C23" s="110">
        <f>'融資計画書 '!C21</f>
        <v>3.5499999999999997E-2</v>
      </c>
      <c r="D23" s="32"/>
      <c r="E23" s="16"/>
      <c r="F23" s="14"/>
      <c r="N23" s="13"/>
      <c r="Q23" s="12"/>
    </row>
    <row r="24" spans="1:29" ht="9" customHeight="1" x14ac:dyDescent="0.4">
      <c r="C24" s="33"/>
      <c r="N24" s="13"/>
      <c r="Q24" s="12"/>
    </row>
    <row r="25" spans="1:29" ht="24.75" thickBot="1" x14ac:dyDescent="0.45">
      <c r="B25" s="86" t="s">
        <v>53</v>
      </c>
      <c r="C25" s="24"/>
      <c r="D25" s="24"/>
      <c r="E25" s="38"/>
      <c r="F25" s="24"/>
      <c r="G25" s="33"/>
      <c r="H25" s="24"/>
      <c r="I25" s="24"/>
      <c r="J25" s="24"/>
      <c r="K25" s="24"/>
      <c r="L25" s="24"/>
      <c r="M25" s="39" t="str">
        <f>IF(G25="","",IF(K25="","",ROUNDDOWN(K25*(I25/365)*L25,0)))</f>
        <v/>
      </c>
      <c r="N25" s="39"/>
      <c r="O25" s="24"/>
      <c r="P25" s="24"/>
    </row>
    <row r="26" spans="1:29" x14ac:dyDescent="0.4">
      <c r="B26" s="272" t="s">
        <v>22</v>
      </c>
      <c r="C26" s="272" t="s">
        <v>26</v>
      </c>
      <c r="D26" s="274"/>
      <c r="E26" s="274"/>
      <c r="F26" s="274"/>
      <c r="G26" s="274"/>
      <c r="H26" s="274"/>
      <c r="I26" s="274"/>
      <c r="J26" s="274"/>
      <c r="K26" s="274"/>
      <c r="L26" s="274"/>
      <c r="M26" s="274"/>
      <c r="N26" s="270" t="s">
        <v>27</v>
      </c>
      <c r="O26" s="271"/>
      <c r="P26" s="104"/>
      <c r="R26" s="17">
        <v>1</v>
      </c>
      <c r="S26" s="14">
        <v>2</v>
      </c>
      <c r="T26" s="14">
        <v>3</v>
      </c>
      <c r="U26" s="17">
        <v>4</v>
      </c>
      <c r="V26" s="17">
        <v>5</v>
      </c>
      <c r="W26" s="14">
        <v>6</v>
      </c>
      <c r="X26" s="17">
        <v>7</v>
      </c>
      <c r="Y26" s="14">
        <v>8</v>
      </c>
      <c r="Z26" s="14">
        <v>9</v>
      </c>
      <c r="AA26" s="17">
        <v>10</v>
      </c>
      <c r="AB26" s="14">
        <v>11</v>
      </c>
      <c r="AC26" s="14">
        <v>12</v>
      </c>
    </row>
    <row r="27" spans="1:29" s="14" customFormat="1" ht="19.5" thickBot="1" x14ac:dyDescent="0.45">
      <c r="B27" s="273"/>
      <c r="C27" s="40" t="s">
        <v>23</v>
      </c>
      <c r="D27" s="41" t="s">
        <v>24</v>
      </c>
      <c r="E27" s="15" t="s">
        <v>14</v>
      </c>
      <c r="F27" s="41" t="s">
        <v>15</v>
      </c>
      <c r="G27" s="41" t="s">
        <v>16</v>
      </c>
      <c r="H27" s="41" t="s">
        <v>15</v>
      </c>
      <c r="I27" s="41" t="s">
        <v>5</v>
      </c>
      <c r="J27" s="41" t="s">
        <v>43</v>
      </c>
      <c r="K27" s="41" t="s">
        <v>11</v>
      </c>
      <c r="L27" s="41" t="s">
        <v>12</v>
      </c>
      <c r="M27" s="42" t="s">
        <v>13</v>
      </c>
      <c r="N27" s="43" t="s">
        <v>21</v>
      </c>
      <c r="O27" s="44" t="s">
        <v>28</v>
      </c>
      <c r="P27" s="105"/>
    </row>
    <row r="28" spans="1:29" s="14" customFormat="1" x14ac:dyDescent="0.4">
      <c r="A28" s="97">
        <f>B28</f>
        <v>2025</v>
      </c>
      <c r="B28" s="275">
        <v>2025</v>
      </c>
      <c r="C28" s="279" t="s">
        <v>3</v>
      </c>
      <c r="D28" s="45" t="s">
        <v>6</v>
      </c>
      <c r="E28" s="100" cm="1">
        <f t="array" ref="E28">INDEX('融資計画書 '!$E$36:$O$211,MATCH('実績報告（据置期間以外）'!$B$28&amp;'実績報告（据置期間以外）'!D28,'融資計画書 '!$A$36:$A$211&amp;'融資計画書 '!$D$36:$D$211,0),'実績報告（据置期間以外）'!R$26)</f>
        <v>45748</v>
      </c>
      <c r="F28" s="113" t="str" cm="1">
        <f t="array" ref="F28">INDEX('融資計画書 '!$E$36:$O$211,MATCH($B$28&amp;$D28&amp;$E28,'融資計画書 '!$A$36:$A$211&amp;'融資計画書 '!$D$36:$D$211&amp;'融資計画書 '!$E$36:$E$211,0),S$26)</f>
        <v>火</v>
      </c>
      <c r="G28" s="114" cm="1">
        <f t="array" ref="G28">INDEX('融資計画書 '!$E$36:$O$211,MATCH($B$28&amp;$D28&amp;$E28,'融資計画書 '!$A$36:$A$211&amp;'融資計画書 '!$D$36:$D$211&amp;'融資計画書 '!$E$36:$E$211,0),T$26)</f>
        <v>45807</v>
      </c>
      <c r="H28" s="113" t="str" cm="1">
        <f t="array" ref="H28">INDEX('融資計画書 '!$E$36:$O$211,MATCH($B$28&amp;$D28&amp;$E28,'融資計画書 '!$A$36:$A$211&amp;'融資計画書 '!$D$36:$D$211&amp;'融資計画書 '!$E$36:$E$211,0),U$26)</f>
        <v>金</v>
      </c>
      <c r="I28" s="115" cm="1">
        <f t="array" ref="I28">INDEX('融資計画書 '!$E$35:$O$211,MATCH($E28&amp;$D28&amp;$B$28,'融資計画書 '!$E$35:$E$211&amp;'融資計画書 '!$D$35:$D$211&amp;'融資計画書 '!$A$35:$A$211,0),V$26)</f>
        <v>60</v>
      </c>
      <c r="J28" s="116" cm="1">
        <f t="array" ref="J28">INDEX('融資計画書 '!$E$35:$O$211,MATCH($E28&amp;$D28&amp;$B$28,'融資計画書 '!$E$35:$E$211&amp;'融資計画書 '!$D$35:$D$211&amp;'融資計画書 '!$A$35:$A$211,0),W$26)</f>
        <v>15800000000</v>
      </c>
      <c r="K28" s="116" cm="1">
        <f t="array" ref="K28">INDEX('融資計画書 '!$E$35:$O$211,MATCH($E28&amp;$D28&amp;$B$28,'融資計画書 '!$E$35:$E$211&amp;'融資計画書 '!$D$35:$D$211&amp;'融資計画書 '!$A$35:$A$211,0),X$26)</f>
        <v>1580000000</v>
      </c>
      <c r="L28" s="117" cm="1">
        <f t="array" ref="L28">INDEX('融資計画書 '!$E$35:$O$211,MATCH($E28&amp;$D28&amp;$B$28,'融資計画書 '!$E$35:$E$211&amp;'融資計画書 '!$D$35:$D$211&amp;'融資計画書 '!$A$35:$A$211,0),Y$26)</f>
        <v>3.0000000000000001E-3</v>
      </c>
      <c r="M28" s="118" cm="1">
        <f t="array" ref="M28">INDEX('融資計画書 '!$E$35:$O$211,MATCH($E28&amp;$D28&amp;$B$28,'融資計画書 '!$E$35:$E$211&amp;'融資計画書 '!$D$35:$D$211&amp;'融資計画書 '!$A$35:$A$211,0),Z$26)</f>
        <v>779178</v>
      </c>
      <c r="N28" s="119" cm="1">
        <f t="array" ref="N28">INDEX('融資計画書 '!$E$35:$O$211,MATCH($E28&amp;$D28&amp;$B$28,'融資計画書 '!$E$35:$E$211&amp;'融資計画書 '!$D$35:$D$211&amp;'融資計画書 '!$A$35:$A$211,0),AA$26)</f>
        <v>350000000</v>
      </c>
      <c r="O28" s="9" cm="1">
        <f t="array" ref="O28">INDEX('融資計画書 '!$E$35:$O$211,MATCH($E28&amp;$D28&amp;$B$28,'融資計画書 '!$E$35:$E$211&amp;'融資計画書 '!$D$35:$D$211&amp;'融資計画書 '!$A$35:$A$211,0),AB$26)</f>
        <v>35000000</v>
      </c>
      <c r="P28" s="107"/>
      <c r="Q28" s="14" t="str">
        <f>$C$28</f>
        <v>単位期間１</v>
      </c>
    </row>
    <row r="29" spans="1:29" s="14" customFormat="1" x14ac:dyDescent="0.4">
      <c r="A29" s="98">
        <f>B28</f>
        <v>2025</v>
      </c>
      <c r="B29" s="276"/>
      <c r="C29" s="279"/>
      <c r="D29" s="49" t="s">
        <v>7</v>
      </c>
      <c r="E29" s="120" cm="1">
        <f t="array" ref="E29">INDEX('融資計画書 '!$E$36:$O$211,MATCH('実績報告（据置期間以外）'!$B$28&amp;'実績報告（据置期間以外）'!D29,'融資計画書 '!$A$36:$A$211&amp;'融資計画書 '!$D$36:$D$211,0),'実績報告（据置期間以外）'!R$26)</f>
        <v>45808</v>
      </c>
      <c r="F29" s="113" t="str" cm="1">
        <f t="array" ref="F29">INDEX('融資計画書 '!$E$36:$O$211,MATCH($B$28&amp;$D29&amp;$E29,'融資計画書 '!$A$36:$A$211&amp;'融資計画書 '!$D$36:$D$211&amp;'融資計画書 '!$E$36:$E$211,0),S$26)</f>
        <v>土</v>
      </c>
      <c r="G29" s="120" cm="1">
        <f t="array" ref="G29">INDEX('融資計画書 '!$E$36:$O$211,MATCH($B$28&amp;$D29&amp;$E29,'融資計画書 '!$A$36:$A$211&amp;'融資計画書 '!$D$36:$D$211&amp;'融資計画書 '!$E$36:$E$211,0),T$26)</f>
        <v>45868</v>
      </c>
      <c r="H29" s="113" t="str" cm="1">
        <f t="array" ref="H29">INDEX('融資計画書 '!$E$36:$O$211,MATCH($B$28&amp;$D29&amp;$E29,'融資計画書 '!$A$36:$A$211&amp;'融資計画書 '!$D$36:$D$211&amp;'融資計画書 '!$E$36:$E$211,0),U$26)</f>
        <v>水</v>
      </c>
      <c r="I29" s="121" cm="1">
        <f t="array" ref="I29">INDEX('融資計画書 '!$E$35:$O$211,MATCH($E29&amp;$D29&amp;$B$28,'融資計画書 '!$E$35:$E$211&amp;'融資計画書 '!$D$35:$D$211&amp;'融資計画書 '!$A$35:$A$211,0),V$26)</f>
        <v>61</v>
      </c>
      <c r="J29" s="122" cm="1">
        <f t="array" ref="J29">INDEX('融資計画書 '!$E$35:$O$211,MATCH($E29&amp;$D29&amp;$B$28,'融資計画書 '!$E$35:$E$211&amp;'融資計画書 '!$D$35:$D$211&amp;'融資計画書 '!$A$35:$A$211,0),W$26)</f>
        <v>15450000000</v>
      </c>
      <c r="K29" s="122" cm="1">
        <f t="array" ref="K29">INDEX('融資計画書 '!$E$35:$O$211,MATCH($E29&amp;$D29&amp;$B$28,'融資計画書 '!$E$35:$E$211&amp;'融資計画書 '!$D$35:$D$211&amp;'融資計画書 '!$A$35:$A$211,0),X$26)</f>
        <v>1545000000</v>
      </c>
      <c r="L29" s="117" cm="1">
        <f t="array" ref="L29">INDEX('融資計画書 '!$E$35:$O$211,MATCH($E29&amp;$D29&amp;$B$28,'融資計画書 '!$E$35:$E$211&amp;'融資計画書 '!$D$35:$D$211&amp;'融資計画書 '!$A$35:$A$211,0),Y$26)</f>
        <v>3.0000000000000001E-3</v>
      </c>
      <c r="M29" s="118" cm="1">
        <f t="array" ref="M29">INDEX('融資計画書 '!$E$35:$O$211,MATCH($E29&amp;$D29&amp;$B$28,'融資計画書 '!$E$35:$E$211&amp;'融資計画書 '!$D$35:$D$211&amp;'融資計画書 '!$A$35:$A$211,0),Z$26)</f>
        <v>774616</v>
      </c>
      <c r="N29" s="123" cm="1">
        <f t="array" ref="N29">INDEX('融資計画書 '!$E$35:$O$211,MATCH($E29&amp;$D29&amp;$B$28,'融資計画書 '!$E$35:$E$211&amp;'融資計画書 '!$D$35:$D$211&amp;'融資計画書 '!$A$35:$A$211,0),AA$26)</f>
        <v>350000000</v>
      </c>
      <c r="O29" s="124" cm="1">
        <f t="array" ref="O29">INDEX('融資計画書 '!$E$35:$O$211,MATCH($E29&amp;$D29&amp;$B$28,'融資計画書 '!$E$35:$E$211&amp;'融資計画書 '!$D$35:$D$211&amp;'融資計画書 '!$A$35:$A$211,0),AB$26)</f>
        <v>35000000</v>
      </c>
      <c r="P29" s="107"/>
      <c r="Q29" s="14" t="str">
        <f>$C$35</f>
        <v>単位期間２</v>
      </c>
    </row>
    <row r="30" spans="1:29" s="14" customFormat="1" x14ac:dyDescent="0.4">
      <c r="A30" s="98">
        <f>B28</f>
        <v>2025</v>
      </c>
      <c r="B30" s="276"/>
      <c r="C30" s="279"/>
      <c r="D30" s="101" t="s">
        <v>34</v>
      </c>
      <c r="E30" s="100" cm="1">
        <f t="array" ref="E30">INDEX('融資計画書 '!$E$36:$O$211,MATCH('実績報告（据置期間以外）'!$B$28&amp;'実績報告（据置期間以外）'!D30,'融資計画書 '!$A$36:$A$211&amp;'融資計画書 '!$D$36:$D$211,0),'実績報告（据置期間以外）'!R$26)</f>
        <v>45869</v>
      </c>
      <c r="F30" s="125" t="str" cm="1">
        <f t="array" ref="F30">INDEX('融資計画書 '!$E$36:$O$211,MATCH($B$28&amp;$D30&amp;$E30,'融資計画書 '!$A$36:$A$211&amp;'融資計画書 '!$D$36:$D$211&amp;'融資計画書 '!$E$36:$E$211,0),S$26)</f>
        <v>木</v>
      </c>
      <c r="G30" s="120" cm="1">
        <f t="array" ref="G30">INDEX('融資計画書 '!$E$36:$O$211,MATCH($B$28&amp;$D30&amp;$E30,'融資計画書 '!$A$36:$A$211&amp;'融資計画書 '!$D$36:$D$211&amp;'融資計画書 '!$E$36:$E$211,0),T$26)</f>
        <v>45930</v>
      </c>
      <c r="H30" s="126" t="str" cm="1">
        <f t="array" ref="H30">INDEX('融資計画書 '!$E$36:$O$211,MATCH($B$28&amp;$D30&amp;$E30,'融資計画書 '!$A$36:$A$211&amp;'融資計画書 '!$D$36:$D$211&amp;'融資計画書 '!$E$36:$E$211,0),U$26)</f>
        <v>火</v>
      </c>
      <c r="I30" s="121" cm="1">
        <f t="array" ref="I30">INDEX('融資計画書 '!$E$35:$O$211,MATCH($E30&amp;$D30&amp;$B$28,'融資計画書 '!$E$35:$E$211&amp;'融資計画書 '!$D$35:$D$211&amp;'融資計画書 '!$A$35:$A$211,0),V$26)</f>
        <v>62</v>
      </c>
      <c r="J30" s="122" cm="1">
        <f t="array" ref="J30">INDEX('融資計画書 '!$E$35:$O$211,MATCH($E30&amp;$D30&amp;$B$28,'融資計画書 '!$E$35:$E$211&amp;'融資計画書 '!$D$35:$D$211&amp;'融資計画書 '!$A$35:$A$211,0),W$26)</f>
        <v>15100000000</v>
      </c>
      <c r="K30" s="122" cm="1">
        <f t="array" ref="K30">INDEX('融資計画書 '!$E$35:$O$211,MATCH($E30&amp;$D30&amp;$B$28,'融資計画書 '!$E$35:$E$211&amp;'融資計画書 '!$D$35:$D$211&amp;'融資計画書 '!$A$35:$A$211,0),X$26)</f>
        <v>1510000000</v>
      </c>
      <c r="L30" s="117" cm="1">
        <f t="array" ref="L30">INDEX('融資計画書 '!$E$35:$O$211,MATCH($E30&amp;$D30&amp;$B$28,'融資計画書 '!$E$35:$E$211&amp;'融資計画書 '!$D$35:$D$211&amp;'融資計画書 '!$A$35:$A$211,0),Y$26)</f>
        <v>3.0000000000000001E-3</v>
      </c>
      <c r="M30" s="118" cm="1">
        <f t="array" ref="M30">INDEX('融資計画書 '!$E$35:$O$211,MATCH($E30&amp;$D30&amp;$B$28,'融資計画書 '!$E$35:$E$211&amp;'融資計画書 '!$D$35:$D$211&amp;'融資計画書 '!$A$35:$A$211,0),Z$26)</f>
        <v>769479</v>
      </c>
      <c r="N30" s="123" cm="1">
        <f t="array" ref="N30">INDEX('融資計画書 '!$E$35:$O$211,MATCH($E30&amp;$D30&amp;$B$28,'融資計画書 '!$E$35:$E$211&amp;'融資計画書 '!$D$35:$D$211&amp;'融資計画書 '!$A$35:$A$211,0),AA$26)</f>
        <v>350000000</v>
      </c>
      <c r="O30" s="124" cm="1">
        <f t="array" ref="O30">INDEX('融資計画書 '!$E$35:$O$211,MATCH($E30&amp;$D30&amp;$B$28,'融資計画書 '!$E$35:$E$211&amp;'融資計画書 '!$D$35:$D$211&amp;'融資計画書 '!$A$35:$A$211,0),AB$26)</f>
        <v>35000000</v>
      </c>
      <c r="P30" s="107"/>
    </row>
    <row r="31" spans="1:29" s="14" customFormat="1" x14ac:dyDescent="0.4">
      <c r="A31" s="98">
        <f>B28</f>
        <v>2025</v>
      </c>
      <c r="B31" s="276"/>
      <c r="C31" s="279"/>
      <c r="D31" s="49" t="s">
        <v>35</v>
      </c>
      <c r="E31" s="76" t="str" cm="1">
        <f t="array" ref="E31">INDEX('融資計画書 '!$E$36:$O$211,MATCH('実績報告（据置期間以外）'!$B$28&amp;'実績報告（据置期間以外）'!D31,'融資計画書 '!$A$36:$A$211&amp;'融資計画書 '!$D$36:$D$211,0),'実績報告（据置期間以外）'!R$26)</f>
        <v/>
      </c>
      <c r="F31" s="113" t="str" cm="1">
        <f t="array" ref="F31">INDEX('融資計画書 '!$E$36:$O$211,MATCH($B$28&amp;$D31&amp;$E31,'融資計画書 '!$A$36:$A$211&amp;'融資計画書 '!$D$36:$D$211&amp;'融資計画書 '!$E$36:$E$211,0),S$26)</f>
        <v/>
      </c>
      <c r="G31" s="100" t="str" cm="1">
        <f t="array" ref="G31">INDEX('融資計画書 '!$E$36:$O$211,MATCH($B$28&amp;$D31&amp;$E31,'融資計画書 '!$A$36:$A$211&amp;'融資計画書 '!$D$36:$D$211&amp;'融資計画書 '!$E$36:$E$211,0),T$26)</f>
        <v/>
      </c>
      <c r="H31" s="113" t="str" cm="1">
        <f t="array" ref="H31">INDEX('融資計画書 '!$E$36:$O$211,MATCH($B$28&amp;$D31&amp;$E31,'融資計画書 '!$A$36:$A$211&amp;'融資計画書 '!$D$36:$D$211&amp;'融資計画書 '!$E$36:$E$211,0),U$26)</f>
        <v/>
      </c>
      <c r="I31" s="121" t="str" cm="1">
        <f t="array" ref="I31">INDEX('融資計画書 '!$E$35:$O$211,MATCH($E31&amp;$D31&amp;$B$28,'融資計画書 '!$E$35:$E$211&amp;'融資計画書 '!$D$35:$D$211&amp;'融資計画書 '!$A$35:$A$211,0),V$26)</f>
        <v/>
      </c>
      <c r="J31" s="122" t="str" cm="1">
        <f t="array" ref="J31">INDEX('融資計画書 '!$E$35:$O$211,MATCH($E31&amp;$D31&amp;$B$28,'融資計画書 '!$E$35:$E$211&amp;'融資計画書 '!$D$35:$D$211&amp;'融資計画書 '!$A$35:$A$211,0),W$26)</f>
        <v/>
      </c>
      <c r="K31" s="122" t="str" cm="1">
        <f t="array" ref="K31">INDEX('融資計画書 '!$E$35:$O$211,MATCH($E31&amp;$D31&amp;$B$28,'融資計画書 '!$E$35:$E$211&amp;'融資計画書 '!$D$35:$D$211&amp;'融資計画書 '!$A$35:$A$211,0),X$26)</f>
        <v/>
      </c>
      <c r="L31" s="117" t="str" cm="1">
        <f t="array" ref="L31">INDEX('融資計画書 '!$E$35:$O$211,MATCH($E31&amp;$D31&amp;$B$28,'融資計画書 '!$E$35:$E$211&amp;'融資計画書 '!$D$35:$D$211&amp;'融資計画書 '!$A$35:$A$211,0),Y$26)</f>
        <v/>
      </c>
      <c r="M31" s="118" t="str" cm="1">
        <f t="array" ref="M31">INDEX('融資計画書 '!$E$35:$O$211,MATCH($E31&amp;$D31&amp;$B$28,'融資計画書 '!$E$35:$E$211&amp;'融資計画書 '!$D$35:$D$211&amp;'融資計画書 '!$A$35:$A$211,0),Z$26)</f>
        <v/>
      </c>
      <c r="N31" s="123" t="str" cm="1">
        <f t="array" ref="N31">INDEX('融資計画書 '!$E$35:$O$211,MATCH($E31&amp;$D31&amp;$B$28,'融資計画書 '!$E$35:$E$211&amp;'融資計画書 '!$D$35:$D$211&amp;'融資計画書 '!$A$35:$A$211,0),AA$26)</f>
        <v/>
      </c>
      <c r="O31" s="124" t="str" cm="1">
        <f t="array" ref="O31">INDEX('融資計画書 '!$E$35:$O$211,MATCH($E31&amp;$D31&amp;$B$28,'融資計画書 '!$E$35:$E$211&amp;'融資計画書 '!$D$35:$D$211&amp;'融資計画書 '!$A$35:$A$211,0),AB$26)</f>
        <v/>
      </c>
      <c r="P31" s="107"/>
      <c r="Q31" s="14">
        <f>'融資計画書 '!B36</f>
        <v>2023</v>
      </c>
    </row>
    <row r="32" spans="1:29" s="14" customFormat="1" x14ac:dyDescent="0.4">
      <c r="A32" s="98">
        <f>B28</f>
        <v>2025</v>
      </c>
      <c r="B32" s="276"/>
      <c r="C32" s="279"/>
      <c r="D32" s="49" t="s">
        <v>36</v>
      </c>
      <c r="E32" s="100" t="str" cm="1">
        <f t="array" ref="E32">INDEX('融資計画書 '!$E$36:$O$211,MATCH('実績報告（据置期間以外）'!$B$28&amp;'実績報告（据置期間以外）'!D32,'融資計画書 '!$A$36:$A$211&amp;'融資計画書 '!$D$36:$D$211,0),'実績報告（据置期間以外）'!R$26)</f>
        <v/>
      </c>
      <c r="F32" s="113" t="str" cm="1">
        <f t="array" ref="F32">INDEX('融資計画書 '!$E$36:$O$211,MATCH($B$28&amp;$D32&amp;$E32,'融資計画書 '!$A$36:$A$211&amp;'融資計画書 '!$D$36:$D$211&amp;'融資計画書 '!$E$36:$E$211,0),S$26)</f>
        <v/>
      </c>
      <c r="G32" s="76" t="str" cm="1">
        <f t="array" ref="G32">INDEX('融資計画書 '!$E$36:$O$211,MATCH($B$28&amp;$D32&amp;$E32,'融資計画書 '!$A$36:$A$211&amp;'融資計画書 '!$D$36:$D$211&amp;'融資計画書 '!$E$36:$E$211,0),T$26)</f>
        <v/>
      </c>
      <c r="H32" s="113" t="str" cm="1">
        <f t="array" ref="H32">INDEX('融資計画書 '!$E$36:$O$211,MATCH($B$28&amp;$D32&amp;$E32,'融資計画書 '!$A$36:$A$211&amp;'融資計画書 '!$D$36:$D$211&amp;'融資計画書 '!$E$36:$E$211,0),U$26)</f>
        <v/>
      </c>
      <c r="I32" s="121" t="str" cm="1">
        <f t="array" ref="I32">INDEX('融資計画書 '!$E$35:$O$211,MATCH($E32&amp;$D32&amp;$B$28,'融資計画書 '!$E$35:$E$211&amp;'融資計画書 '!$D$35:$D$211&amp;'融資計画書 '!$A$35:$A$211,0),V$26)</f>
        <v/>
      </c>
      <c r="J32" s="122" t="str" cm="1">
        <f t="array" ref="J32">INDEX('融資計画書 '!$E$35:$O$211,MATCH($E32&amp;$D32&amp;$B$28,'融資計画書 '!$E$35:$E$211&amp;'融資計画書 '!$D$35:$D$211&amp;'融資計画書 '!$A$35:$A$211,0),W$26)</f>
        <v/>
      </c>
      <c r="K32" s="122" t="str" cm="1">
        <f t="array" ref="K32">INDEX('融資計画書 '!$E$35:$O$211,MATCH($E32&amp;$D32&amp;$B$28,'融資計画書 '!$E$35:$E$211&amp;'融資計画書 '!$D$35:$D$211&amp;'融資計画書 '!$A$35:$A$211,0),X$26)</f>
        <v/>
      </c>
      <c r="L32" s="117" t="str" cm="1">
        <f t="array" ref="L32">INDEX('融資計画書 '!$E$35:$O$211,MATCH($E32&amp;$D32&amp;$B$28,'融資計画書 '!$E$35:$E$211&amp;'融資計画書 '!$D$35:$D$211&amp;'融資計画書 '!$A$35:$A$211,0),Y$26)</f>
        <v/>
      </c>
      <c r="M32" s="118" t="str" cm="1">
        <f t="array" ref="M32">INDEX('融資計画書 '!$E$35:$O$211,MATCH($E32&amp;$D32&amp;$B$28,'融資計画書 '!$E$35:$E$211&amp;'融資計画書 '!$D$35:$D$211&amp;'融資計画書 '!$A$35:$A$211,0),Z$26)</f>
        <v/>
      </c>
      <c r="N32" s="123" t="str" cm="1">
        <f t="array" ref="N32">INDEX('融資計画書 '!$E$35:$O$211,MATCH($E32&amp;$D32&amp;$B$28,'融資計画書 '!$E$35:$E$211&amp;'融資計画書 '!$D$35:$D$211&amp;'融資計画書 '!$A$35:$A$211,0),AA$26)</f>
        <v/>
      </c>
      <c r="O32" s="124" t="str" cm="1">
        <f t="array" ref="O32">INDEX('融資計画書 '!$E$35:$O$211,MATCH($E32&amp;$D32&amp;$B$28,'融資計画書 '!$E$35:$E$211&amp;'融資計画書 '!$D$35:$D$211&amp;'融資計画書 '!$A$35:$A$211,0),AB$26)</f>
        <v/>
      </c>
      <c r="P32" s="107"/>
      <c r="Q32" s="14">
        <f>'融資計画書 '!B52</f>
        <v>2024</v>
      </c>
    </row>
    <row r="33" spans="1:17" s="14" customFormat="1" ht="19.5" thickBot="1" x14ac:dyDescent="0.45">
      <c r="A33" s="98">
        <f>B28</f>
        <v>2025</v>
      </c>
      <c r="B33" s="276"/>
      <c r="C33" s="279"/>
      <c r="D33" s="51" t="s">
        <v>40</v>
      </c>
      <c r="E33" s="100" t="str" cm="1">
        <f t="array" ref="E33">INDEX('融資計画書 '!$E$36:$O$211,MATCH('実績報告（据置期間以外）'!$B$28&amp;'実績報告（据置期間以外）'!D33,'融資計画書 '!$A$36:$A$211&amp;'融資計画書 '!$D$36:$D$211,0),'実績報告（据置期間以外）'!R$26)</f>
        <v/>
      </c>
      <c r="F33" s="113" t="str" cm="1">
        <f t="array" ref="F33">INDEX('融資計画書 '!$E$36:$O$211,MATCH($B$28&amp;$D33&amp;$E33,'融資計画書 '!$A$36:$A$211&amp;'融資計画書 '!$D$36:$D$211&amp;'融資計画書 '!$E$36:$E$211,0),S$26)</f>
        <v/>
      </c>
      <c r="G33" s="76" t="str" cm="1">
        <f t="array" ref="G33">INDEX('融資計画書 '!$E$36:$O$211,MATCH($B$28&amp;$D33&amp;$E33,'融資計画書 '!$A$36:$A$211&amp;'融資計画書 '!$D$36:$D$211&amp;'融資計画書 '!$E$36:$E$211,0),T$26)</f>
        <v/>
      </c>
      <c r="H33" s="127" t="str" cm="1">
        <f t="array" ref="H33">INDEX('融資計画書 '!$E$36:$O$211,MATCH($B$28&amp;$D33&amp;$E33,'融資計画書 '!$A$36:$A$211&amp;'融資計画書 '!$D$36:$D$211&amp;'融資計画書 '!$E$36:$E$211,0),U$26)</f>
        <v/>
      </c>
      <c r="I33" s="128" t="str" cm="1">
        <f t="array" ref="I33">INDEX('融資計画書 '!$E$35:$O$211,MATCH($E33&amp;$D33&amp;$B$28,'融資計画書 '!$E$35:$E$211&amp;'融資計画書 '!$D$35:$D$211&amp;'融資計画書 '!$A$35:$A$211,0),V$26)</f>
        <v/>
      </c>
      <c r="J33" s="122" t="str" cm="1">
        <f t="array" ref="J33">INDEX('融資計画書 '!$E$35:$O$211,MATCH($E33&amp;$D33&amp;$B$28,'融資計画書 '!$E$35:$E$211&amp;'融資計画書 '!$D$35:$D$211&amp;'融資計画書 '!$A$35:$A$211,0),W$26)</f>
        <v/>
      </c>
      <c r="K33" s="122" t="str" cm="1">
        <f t="array" ref="K33">INDEX('融資計画書 '!$E$35:$O$211,MATCH($E33&amp;$D33&amp;$B$28,'融資計画書 '!$E$35:$E$211&amp;'融資計画書 '!$D$35:$D$211&amp;'融資計画書 '!$A$35:$A$211,0),X$26)</f>
        <v/>
      </c>
      <c r="L33" s="117" t="str" cm="1">
        <f t="array" ref="L33">INDEX('融資計画書 '!$E$35:$O$211,MATCH($E33&amp;$D33&amp;$B$28,'融資計画書 '!$E$35:$E$211&amp;'融資計画書 '!$D$35:$D$211&amp;'融資計画書 '!$A$35:$A$211,0),Y$26)</f>
        <v/>
      </c>
      <c r="M33" s="129" t="str" cm="1">
        <f t="array" ref="M33">INDEX('融資計画書 '!$E$35:$O$211,MATCH($E33&amp;$D33&amp;$B$28,'融資計画書 '!$E$35:$E$211&amp;'融資計画書 '!$D$35:$D$211&amp;'融資計画書 '!$A$35:$A$211,0),Z$26)</f>
        <v/>
      </c>
      <c r="N33" s="130" t="str" cm="1">
        <f t="array" ref="N33">INDEX('融資計画書 '!$E$35:$O$211,MATCH($E33&amp;$D33&amp;$B$28,'融資計画書 '!$E$35:$E$211&amp;'融資計画書 '!$D$35:$D$211&amp;'融資計画書 '!$A$35:$A$211,0),AA$26)</f>
        <v/>
      </c>
      <c r="O33" s="124" t="str" cm="1">
        <f t="array" ref="O33">INDEX('融資計画書 '!$E$35:$O$211,MATCH($E33&amp;$D33&amp;$B$28,'融資計画書 '!$E$35:$E$211&amp;'融資計画書 '!$D$35:$D$211&amp;'融資計画書 '!$A$35:$A$211,0),AB$26)</f>
        <v/>
      </c>
      <c r="P33" s="107"/>
      <c r="Q33" s="14">
        <f>'融資計画書 '!B68</f>
        <v>2025</v>
      </c>
    </row>
    <row r="34" spans="1:17" s="14" customFormat="1" ht="19.5" thickBot="1" x14ac:dyDescent="0.45">
      <c r="A34" s="98">
        <f>B28</f>
        <v>2025</v>
      </c>
      <c r="B34" s="277"/>
      <c r="C34" s="57" t="s">
        <v>10</v>
      </c>
      <c r="D34" s="58"/>
      <c r="E34" s="75" cm="1">
        <f t="array" ref="E34">_xlfn.SINGLE(IF(E28:E33&lt;&gt;"",MIN(E28:E33),""))</f>
        <v>45748</v>
      </c>
      <c r="F34" s="59" t="str">
        <f t="shared" ref="F34:F41" si="0">IF(E34="","",TEXT(E34,"aaa"))</f>
        <v>火</v>
      </c>
      <c r="G34" s="75" cm="1">
        <f t="array" ref="G34">_xlfn.SINGLE(IF(G28:G33&lt;&gt;"",MAX(G28:G33),""))</f>
        <v>45930</v>
      </c>
      <c r="H34" s="59" t="str">
        <f t="shared" ref="H34" si="1">IF(G34="","",TEXT(G34,"aaa"))</f>
        <v>火</v>
      </c>
      <c r="I34" s="60">
        <f>SUM(I28:I33)</f>
        <v>183</v>
      </c>
      <c r="J34" s="58"/>
      <c r="K34" s="58"/>
      <c r="L34" s="84"/>
      <c r="M34" s="70">
        <f>SUM(M28:M33)</f>
        <v>2323273</v>
      </c>
      <c r="N34" s="71"/>
      <c r="O34" s="72"/>
      <c r="P34" s="107"/>
      <c r="Q34" s="14">
        <f>'融資計画書 '!B84</f>
        <v>2026</v>
      </c>
    </row>
    <row r="35" spans="1:17" s="14" customFormat="1" x14ac:dyDescent="0.4">
      <c r="A35" s="98">
        <f>B28</f>
        <v>2025</v>
      </c>
      <c r="B35" s="276"/>
      <c r="C35" s="280" t="s">
        <v>4</v>
      </c>
      <c r="D35" s="54" t="s">
        <v>9</v>
      </c>
      <c r="E35" s="100" cm="1">
        <f t="array" ref="E35">INDEX('融資計画書 '!$E$36:$O$211,MATCH('実績報告（据置期間以外）'!$B$28&amp;'実績報告（据置期間以外）'!D35,'融資計画書 '!$A$36:$A$211&amp;'融資計画書 '!$D$36:$D$211,0),'実績報告（据置期間以外）'!R$26)</f>
        <v>45931</v>
      </c>
      <c r="F35" s="113" t="str" cm="1">
        <f t="array" ref="F35">INDEX('融資計画書 '!$E$36:$O$211,MATCH($B$28&amp;$D35&amp;$E35,'融資計画書 '!$A$36:$A$211&amp;'融資計画書 '!$D$36:$D$211&amp;'融資計画書 '!$E$36:$E$211,0),S$26)</f>
        <v>水</v>
      </c>
      <c r="G35" s="76" cm="1">
        <f t="array" ref="G35">INDEX('融資計画書 '!$E$36:$O$211,MATCH($B$28&amp;$D35&amp;$E35,'融資計画書 '!$A$36:$A$211&amp;'融資計画書 '!$D$36:$D$211&amp;'融資計画書 '!$E$36:$E$211,0),T$26)</f>
        <v>45991</v>
      </c>
      <c r="H35" s="113" t="str" cm="1">
        <f t="array" ref="H35">INDEX('融資計画書 '!$E$36:$O$211,MATCH($B$28&amp;$D35&amp;$E35,'融資計画書 '!$A$36:$A$211&amp;'融資計画書 '!$D$36:$D$211&amp;'融資計画書 '!$E$36:$E$211,0),U$26)</f>
        <v>日</v>
      </c>
      <c r="I35" s="121" cm="1">
        <f t="array" ref="I35">INDEX('融資計画書 '!$E$35:$O$211,MATCH($E35&amp;$D35&amp;$B$28,'融資計画書 '!$E$35:$E$211&amp;'融資計画書 '!$D$35:$D$211&amp;'融資計画書 '!$A$35:$A$211,0),V$26)</f>
        <v>61</v>
      </c>
      <c r="J35" s="122" cm="1">
        <f t="array" ref="J35">INDEX('融資計画書 '!$E$35:$O$211,MATCH($E35&amp;$D35&amp;$B$28,'融資計画書 '!$E$35:$E$211&amp;'融資計画書 '!$D$35:$D$211&amp;'融資計画書 '!$A$35:$A$211,0),W$26)</f>
        <v>14750000000</v>
      </c>
      <c r="K35" s="122" cm="1">
        <f t="array" ref="K35">INDEX('融資計画書 '!$E$35:$O$211,MATCH($E35&amp;$D35&amp;$B$28,'融資計画書 '!$E$35:$E$211&amp;'融資計画書 '!$D$35:$D$211&amp;'融資計画書 '!$A$35:$A$211,0),X$26)</f>
        <v>1475000000</v>
      </c>
      <c r="L35" s="117" cm="1">
        <f t="array" ref="L35">INDEX('融資計画書 '!$E$35:$O$211,MATCH($E35&amp;$D35&amp;$B$28,'融資計画書 '!$E$35:$E$211&amp;'融資計画書 '!$D$35:$D$211&amp;'融資計画書 '!$A$35:$A$211,0),Y$26)</f>
        <v>3.0000000000000001E-3</v>
      </c>
      <c r="M35" s="118" cm="1">
        <f t="array" ref="M35">INDEX('融資計画書 '!$E$35:$O$211,MATCH($E35&amp;$D35&amp;$B$28,'融資計画書 '!$E$35:$E$211&amp;'融資計画書 '!$D$35:$D$211&amp;'融資計画書 '!$A$35:$A$211,0),Z$26)</f>
        <v>739520</v>
      </c>
      <c r="N35" s="119" cm="1">
        <f t="array" ref="N35">INDEX('融資計画書 '!$E$35:$O$211,MATCH($E35&amp;$D35&amp;$B$28,'融資計画書 '!$E$35:$E$211&amp;'融資計画書 '!$D$35:$D$211&amp;'融資計画書 '!$A$35:$A$211,0),AA$26)</f>
        <v>350000000</v>
      </c>
      <c r="O35" s="131" cm="1">
        <f t="array" ref="O35">INDEX('融資計画書 '!$E$35:$O$211,MATCH($E35&amp;$D35&amp;$B$28,'融資計画書 '!$E$35:$E$211&amp;'融資計画書 '!$D$35:$D$211&amp;'融資計画書 '!$A$35:$A$211,0),AB$26)</f>
        <v>35000000</v>
      </c>
      <c r="P35" s="107"/>
      <c r="Q35" s="14">
        <f>'融資計画書 '!B100</f>
        <v>2027</v>
      </c>
    </row>
    <row r="36" spans="1:17" s="14" customFormat="1" x14ac:dyDescent="0.4">
      <c r="A36" s="98">
        <f>B28</f>
        <v>2025</v>
      </c>
      <c r="B36" s="276"/>
      <c r="C36" s="279"/>
      <c r="D36" s="49" t="s">
        <v>8</v>
      </c>
      <c r="E36" s="100" cm="1">
        <f t="array" ref="E36">INDEX('融資計画書 '!$E$36:$O$211,MATCH('実績報告（据置期間以外）'!$B$28&amp;'実績報告（据置期間以外）'!D36,'融資計画書 '!$A$36:$A$211&amp;'融資計画書 '!$D$36:$D$211,0),'実績報告（据置期間以外）'!R$26)</f>
        <v>45992</v>
      </c>
      <c r="F36" s="113" t="str" cm="1">
        <f t="array" ref="F36">INDEX('融資計画書 '!$E$36:$O$211,MATCH($B$28&amp;$D36&amp;$E36,'融資計画書 '!$A$36:$A$211&amp;'融資計画書 '!$D$36:$D$211&amp;'融資計画書 '!$E$36:$E$211,0),S$26)</f>
        <v>月</v>
      </c>
      <c r="G36" s="76" cm="1">
        <f t="array" ref="G36">INDEX('融資計画書 '!$E$36:$O$211,MATCH($B$28&amp;$D36&amp;$E36,'融資計画書 '!$A$36:$A$211&amp;'融資計画書 '!$D$36:$D$211&amp;'融資計画書 '!$E$36:$E$211,0),T$26)</f>
        <v>46052</v>
      </c>
      <c r="H36" s="113" t="str" cm="1">
        <f t="array" ref="H36">INDEX('融資計画書 '!$E$36:$O$211,MATCH($B$28&amp;$D36&amp;$E36,'融資計画書 '!$A$36:$A$211&amp;'融資計画書 '!$D$36:$D$211&amp;'融資計画書 '!$E$36:$E$211,0),U$26)</f>
        <v>金</v>
      </c>
      <c r="I36" s="121" cm="1">
        <f t="array" ref="I36">INDEX('融資計画書 '!$E$35:$O$211,MATCH($E36&amp;$D36&amp;$B$28,'融資計画書 '!$E$35:$E$211&amp;'融資計画書 '!$D$35:$D$211&amp;'融資計画書 '!$A$35:$A$211,0),V$26)</f>
        <v>61</v>
      </c>
      <c r="J36" s="122" cm="1">
        <f t="array" ref="J36">INDEX('融資計画書 '!$E$35:$O$211,MATCH($E36&amp;$D36&amp;$B$28,'融資計画書 '!$E$35:$E$211&amp;'融資計画書 '!$D$35:$D$211&amp;'融資計画書 '!$A$35:$A$211,0),W$26)</f>
        <v>14400000000</v>
      </c>
      <c r="K36" s="122" cm="1">
        <f t="array" ref="K36">INDEX('融資計画書 '!$E$35:$O$211,MATCH($E36&amp;$D36&amp;$B$28,'融資計画書 '!$E$35:$E$211&amp;'融資計画書 '!$D$35:$D$211&amp;'融資計画書 '!$A$35:$A$211,0),X$26)</f>
        <v>1440000000</v>
      </c>
      <c r="L36" s="117" cm="1">
        <f t="array" ref="L36">INDEX('融資計画書 '!$E$35:$O$211,MATCH($E36&amp;$D36&amp;$B$28,'融資計画書 '!$E$35:$E$211&amp;'融資計画書 '!$D$35:$D$211&amp;'融資計画書 '!$A$35:$A$211,0),Y$26)</f>
        <v>3.0000000000000001E-3</v>
      </c>
      <c r="M36" s="118" cm="1">
        <f t="array" ref="M36">INDEX('融資計画書 '!$E$35:$O$211,MATCH($E36&amp;$D36&amp;$B$28,'融資計画書 '!$E$35:$E$211&amp;'融資計画書 '!$D$35:$D$211&amp;'融資計画書 '!$A$35:$A$211,0),Z$26)</f>
        <v>721972</v>
      </c>
      <c r="N36" s="123" cm="1">
        <f t="array" ref="N36">INDEX('融資計画書 '!$E$35:$O$211,MATCH($E36&amp;$D36&amp;$B$28,'融資計画書 '!$E$35:$E$211&amp;'融資計画書 '!$D$35:$D$211&amp;'融資計画書 '!$A$35:$A$211,0),AA$26)</f>
        <v>350000000</v>
      </c>
      <c r="O36" s="124" cm="1">
        <f t="array" ref="O36">INDEX('融資計画書 '!$E$35:$O$211,MATCH($E36&amp;$D36&amp;$B$28,'融資計画書 '!$E$35:$E$211&amp;'融資計画書 '!$D$35:$D$211&amp;'融資計画書 '!$A$35:$A$211,0),AB$26)</f>
        <v>35000000</v>
      </c>
      <c r="P36" s="107"/>
      <c r="Q36" s="14">
        <f>'融資計画書 '!B116</f>
        <v>2028</v>
      </c>
    </row>
    <row r="37" spans="1:17" s="14" customFormat="1" x14ac:dyDescent="0.4">
      <c r="A37" s="98">
        <f>B28</f>
        <v>2025</v>
      </c>
      <c r="B37" s="276"/>
      <c r="C37" s="279"/>
      <c r="D37" s="49" t="s">
        <v>37</v>
      </c>
      <c r="E37" s="100" cm="1">
        <f t="array" ref="E37">INDEX('融資計画書 '!$E$36:$O$211,MATCH('実績報告（据置期間以外）'!$B$28&amp;'実績報告（据置期間以外）'!D37,'融資計画書 '!$A$36:$A$211&amp;'融資計画書 '!$D$36:$D$211,0),'実績報告（据置期間以外）'!R$26)</f>
        <v>46053</v>
      </c>
      <c r="F37" s="113" t="str" cm="1">
        <f t="array" ref="F37">INDEX('融資計画書 '!$E$36:$O$211,MATCH($B$28&amp;$D37&amp;$E37,'融資計画書 '!$A$36:$A$211&amp;'融資計画書 '!$D$36:$D$211&amp;'融資計画書 '!$E$36:$E$211,0),S$26)</f>
        <v>土</v>
      </c>
      <c r="G37" s="76" cm="1">
        <f t="array" ref="G37">INDEX('融資計画書 '!$E$36:$O$211,MATCH($B$28&amp;$D37&amp;$E37,'融資計画書 '!$A$36:$A$211&amp;'融資計画書 '!$D$36:$D$211&amp;'融資計画書 '!$E$36:$E$211,0),T$26)</f>
        <v>46111</v>
      </c>
      <c r="H37" s="113" t="str" cm="1">
        <f t="array" ref="H37">INDEX('融資計画書 '!$E$36:$O$211,MATCH($B$28&amp;$D37&amp;$E37,'融資計画書 '!$A$36:$A$211&amp;'融資計画書 '!$D$36:$D$211&amp;'融資計画書 '!$E$36:$E$211,0),U$26)</f>
        <v>月</v>
      </c>
      <c r="I37" s="121" cm="1">
        <f t="array" ref="I37">INDEX('融資計画書 '!$E$35:$O$211,MATCH($E37&amp;$D37&amp;$B$28,'融資計画書 '!$E$35:$E$211&amp;'融資計画書 '!$D$35:$D$211&amp;'融資計画書 '!$A$35:$A$211,0),V$26)</f>
        <v>59</v>
      </c>
      <c r="J37" s="122" cm="1">
        <f t="array" ref="J37">INDEX('融資計画書 '!$E$35:$O$211,MATCH($E37&amp;$D37&amp;$B$28,'融資計画書 '!$E$35:$E$211&amp;'融資計画書 '!$D$35:$D$211&amp;'融資計画書 '!$A$35:$A$211,0),W$26)</f>
        <v>14050000000</v>
      </c>
      <c r="K37" s="122" cm="1">
        <f t="array" ref="K37">INDEX('融資計画書 '!$E$35:$O$211,MATCH($E37&amp;$D37&amp;$B$28,'融資計画書 '!$E$35:$E$211&amp;'融資計画書 '!$D$35:$D$211&amp;'融資計画書 '!$A$35:$A$211,0),X$26)</f>
        <v>1405000000</v>
      </c>
      <c r="L37" s="117" cm="1">
        <f t="array" ref="L37">INDEX('融資計画書 '!$E$35:$O$211,MATCH($E37&amp;$D37&amp;$B$28,'融資計画書 '!$E$35:$E$211&amp;'融資計画書 '!$D$35:$D$211&amp;'融資計画書 '!$A$35:$A$211,0),Y$26)</f>
        <v>3.0000000000000001E-3</v>
      </c>
      <c r="M37" s="118" cm="1">
        <f t="array" ref="M37">INDEX('融資計画書 '!$E$35:$O$211,MATCH($E37&amp;$D37&amp;$B$28,'融資計画書 '!$E$35:$E$211&amp;'融資計画書 '!$D$35:$D$211&amp;'融資計画書 '!$A$35:$A$211,0),Z$26)</f>
        <v>681328</v>
      </c>
      <c r="N37" s="123" cm="1">
        <f t="array" ref="N37">INDEX('融資計画書 '!$E$35:$O$211,MATCH($E37&amp;$D37&amp;$B$28,'融資計画書 '!$E$35:$E$211&amp;'融資計画書 '!$D$35:$D$211&amp;'融資計画書 '!$A$35:$A$211,0),AA$26)</f>
        <v>350000000</v>
      </c>
      <c r="O37" s="124" cm="1">
        <f t="array" ref="O37">INDEX('融資計画書 '!$E$35:$O$211,MATCH($E37&amp;$D37&amp;$B$28,'融資計画書 '!$E$35:$E$211&amp;'融資計画書 '!$D$35:$D$211&amp;'融資計画書 '!$A$35:$A$211,0),AB$26)</f>
        <v>35000000</v>
      </c>
      <c r="P37" s="107"/>
      <c r="Q37" s="14">
        <f>'融資計画書 '!B132</f>
        <v>2029</v>
      </c>
    </row>
    <row r="38" spans="1:17" s="14" customFormat="1" x14ac:dyDescent="0.4">
      <c r="A38" s="98">
        <f>B28</f>
        <v>2025</v>
      </c>
      <c r="B38" s="276"/>
      <c r="C38" s="279"/>
      <c r="D38" s="49" t="s">
        <v>38</v>
      </c>
      <c r="E38" s="100" cm="1">
        <f t="array" ref="E38">INDEX('融資計画書 '!$E$36:$O$211,MATCH('実績報告（据置期間以外）'!$B$28&amp;'実績報告（据置期間以外）'!D38,'融資計画書 '!$A$36:$A$211&amp;'融資計画書 '!$D$36:$D$211,0),'実績報告（据置期間以外）'!R$26)</f>
        <v>46112</v>
      </c>
      <c r="F38" s="113" t="str" cm="1">
        <f t="array" ref="F38">INDEX('融資計画書 '!$E$36:$O$211,MATCH($B$28&amp;$D38&amp;$E38,'融資計画書 '!$A$36:$A$211&amp;'融資計画書 '!$D$36:$D$211&amp;'融資計画書 '!$E$36:$E$211,0),S$26)</f>
        <v>火</v>
      </c>
      <c r="G38" s="76" cm="1">
        <f t="array" ref="G38">INDEX('融資計画書 '!$E$36:$O$211,MATCH($B$28&amp;$D38&amp;$E38,'融資計画書 '!$A$36:$A$211&amp;'融資計画書 '!$D$36:$D$211&amp;'融資計画書 '!$E$36:$E$211,0),T$26)</f>
        <v>46112</v>
      </c>
      <c r="H38" s="113" t="str" cm="1">
        <f t="array" ref="H38">INDEX('融資計画書 '!$E$36:$O$211,MATCH($B$28&amp;$D38&amp;$E38,'融資計画書 '!$A$36:$A$211&amp;'融資計画書 '!$D$36:$D$211&amp;'融資計画書 '!$E$36:$E$211,0),U$26)</f>
        <v>火</v>
      </c>
      <c r="I38" s="121" cm="1">
        <f t="array" ref="I38">INDEX('融資計画書 '!$E$35:$O$211,MATCH($E38&amp;$D38&amp;$B$28,'融資計画書 '!$E$35:$E$211&amp;'融資計画書 '!$D$35:$D$211&amp;'融資計画書 '!$A$35:$A$211,0),V$26)</f>
        <v>1</v>
      </c>
      <c r="J38" s="122" cm="1">
        <f t="array" ref="J38">INDEX('融資計画書 '!$E$35:$O$211,MATCH($E38&amp;$D38&amp;$B$28,'融資計画書 '!$E$35:$E$211&amp;'融資計画書 '!$D$35:$D$211&amp;'融資計画書 '!$A$35:$A$211,0),W$26)</f>
        <v>13700000000</v>
      </c>
      <c r="K38" s="122" cm="1">
        <f t="array" ref="K38">INDEX('融資計画書 '!$E$35:$O$211,MATCH($E38&amp;$D38&amp;$B$28,'融資計画書 '!$E$35:$E$211&amp;'融資計画書 '!$D$35:$D$211&amp;'融資計画書 '!$A$35:$A$211,0),X$26)</f>
        <v>1370000000</v>
      </c>
      <c r="L38" s="117" cm="1">
        <f t="array" ref="L38">INDEX('融資計画書 '!$E$35:$O$211,MATCH($E38&amp;$D38&amp;$B$28,'融資計画書 '!$E$35:$E$211&amp;'融資計画書 '!$D$35:$D$211&amp;'融資計画書 '!$A$35:$A$211,0),Y$26)</f>
        <v>3.0000000000000001E-3</v>
      </c>
      <c r="M38" s="118" cm="1">
        <f t="array" ref="M38">INDEX('融資計画書 '!$E$35:$O$211,MATCH($E38&amp;$D38&amp;$B$28,'融資計画書 '!$E$35:$E$211&amp;'融資計画書 '!$D$35:$D$211&amp;'融資計画書 '!$A$35:$A$211,0),Z$26)</f>
        <v>11260</v>
      </c>
      <c r="N38" s="123" t="str" cm="1">
        <f t="array" ref="N38">INDEX('融資計画書 '!$E$35:$O$211,MATCH($E38&amp;$D38&amp;$B$28,'融資計画書 '!$E$35:$E$211&amp;'融資計画書 '!$D$35:$D$211&amp;'融資計画書 '!$A$35:$A$211,0),AA$26)</f>
        <v/>
      </c>
      <c r="O38" s="124" t="str" cm="1">
        <f t="array" ref="O38">INDEX('融資計画書 '!$E$35:$O$211,MATCH($E38&amp;$D38&amp;$B$28,'融資計画書 '!$E$35:$E$211&amp;'融資計画書 '!$D$35:$D$211&amp;'融資計画書 '!$A$35:$A$211,0),AB$26)</f>
        <v/>
      </c>
      <c r="P38" s="107"/>
      <c r="Q38" s="14">
        <f>'融資計画書 '!B148</f>
        <v>2030</v>
      </c>
    </row>
    <row r="39" spans="1:17" s="14" customFormat="1" x14ac:dyDescent="0.4">
      <c r="A39" s="98">
        <f>B28</f>
        <v>2025</v>
      </c>
      <c r="B39" s="276"/>
      <c r="C39" s="279"/>
      <c r="D39" s="49" t="s">
        <v>39</v>
      </c>
      <c r="E39" s="100" t="str" cm="1">
        <f t="array" ref="E39">INDEX('融資計画書 '!$E$36:$O$211,MATCH('実績報告（据置期間以外）'!$B$28&amp;'実績報告（据置期間以外）'!D39,'融資計画書 '!$A$36:$A$211&amp;'融資計画書 '!$D$36:$D$211,0),'実績報告（据置期間以外）'!R$26)</f>
        <v/>
      </c>
      <c r="F39" s="113" t="str" cm="1">
        <f t="array" ref="F39">INDEX('融資計画書 '!$E$36:$O$211,MATCH($B$28&amp;$D39&amp;$E39,'融資計画書 '!$A$36:$A$211&amp;'融資計画書 '!$D$36:$D$211&amp;'融資計画書 '!$E$36:$E$211,0),S$26)</f>
        <v/>
      </c>
      <c r="G39" s="76" t="str" cm="1">
        <f t="array" ref="G39">INDEX('融資計画書 '!$E$36:$O$211,MATCH($B$28&amp;$D39&amp;$E39,'融資計画書 '!$A$36:$A$211&amp;'融資計画書 '!$D$36:$D$211&amp;'融資計画書 '!$E$36:$E$211,0),T$26)</f>
        <v/>
      </c>
      <c r="H39" s="113" t="str" cm="1">
        <f t="array" ref="H39">INDEX('融資計画書 '!$E$36:$O$211,MATCH($B$28&amp;$D39&amp;$E39,'融資計画書 '!$A$36:$A$211&amp;'融資計画書 '!$D$36:$D$211&amp;'融資計画書 '!$E$36:$E$211,0),U$26)</f>
        <v/>
      </c>
      <c r="I39" s="121" t="str" cm="1">
        <f t="array" ref="I39">INDEX('融資計画書 '!$E$35:$O$211,MATCH($E39&amp;$D39&amp;$B$28,'融資計画書 '!$E$35:$E$211&amp;'融資計画書 '!$D$35:$D$211&amp;'融資計画書 '!$A$35:$A$211,0),V$26)</f>
        <v/>
      </c>
      <c r="J39" s="122" t="str" cm="1">
        <f t="array" ref="J39">INDEX('融資計画書 '!$E$35:$O$211,MATCH($E39&amp;$D39&amp;$B$28,'融資計画書 '!$E$35:$E$211&amp;'融資計画書 '!$D$35:$D$211&amp;'融資計画書 '!$A$35:$A$211,0),W$26)</f>
        <v/>
      </c>
      <c r="K39" s="122" t="str" cm="1">
        <f t="array" ref="K39">INDEX('融資計画書 '!$E$35:$O$211,MATCH($E39&amp;$D39&amp;$B$28,'融資計画書 '!$E$35:$E$211&amp;'融資計画書 '!$D$35:$D$211&amp;'融資計画書 '!$A$35:$A$211,0),X$26)</f>
        <v/>
      </c>
      <c r="L39" s="117" t="str" cm="1">
        <f t="array" ref="L39">INDEX('融資計画書 '!$E$35:$O$211,MATCH($E39&amp;$D39&amp;$B$28,'融資計画書 '!$E$35:$E$211&amp;'融資計画書 '!$D$35:$D$211&amp;'融資計画書 '!$A$35:$A$211,0),Y$26)</f>
        <v/>
      </c>
      <c r="M39" s="118" t="str" cm="1">
        <f t="array" ref="M39">INDEX('融資計画書 '!$E$35:$O$211,MATCH($E39&amp;$D39&amp;$B$28,'融資計画書 '!$E$35:$E$211&amp;'融資計画書 '!$D$35:$D$211&amp;'融資計画書 '!$A$35:$A$211,0),Z$26)</f>
        <v/>
      </c>
      <c r="N39" s="123" t="str" cm="1">
        <f t="array" ref="N39">INDEX('融資計画書 '!$E$35:$O$211,MATCH($E39&amp;$D39&amp;$B$28,'融資計画書 '!$E$35:$E$211&amp;'融資計画書 '!$D$35:$D$211&amp;'融資計画書 '!$A$35:$A$211,0),AA$26)</f>
        <v/>
      </c>
      <c r="O39" s="124" t="str" cm="1">
        <f t="array" ref="O39">INDEX('融資計画書 '!$E$35:$O$211,MATCH($E39&amp;$D39&amp;$B$28,'融資計画書 '!$E$35:$E$211&amp;'融資計画書 '!$D$35:$D$211&amp;'融資計画書 '!$A$35:$A$211,0),AB$26)</f>
        <v/>
      </c>
      <c r="P39" s="107"/>
      <c r="Q39" s="14">
        <f>'融資計画書 '!B164</f>
        <v>2031</v>
      </c>
    </row>
    <row r="40" spans="1:17" s="14" customFormat="1" ht="19.5" thickBot="1" x14ac:dyDescent="0.45">
      <c r="A40" s="98">
        <f>B28</f>
        <v>2025</v>
      </c>
      <c r="B40" s="276"/>
      <c r="C40" s="279"/>
      <c r="D40" s="51" t="s">
        <v>41</v>
      </c>
      <c r="E40" s="100" t="str" cm="1">
        <f t="array" ref="E40">INDEX('融資計画書 '!$E$36:$O$211,MATCH('実績報告（据置期間以外）'!$B$28&amp;'実績報告（据置期間以外）'!D40,'融資計画書 '!$A$36:$A$211&amp;'融資計画書 '!$D$36:$D$211,0),'実績報告（据置期間以外）'!R$26)</f>
        <v/>
      </c>
      <c r="F40" s="113" t="str" cm="1">
        <f t="array" ref="F40">INDEX('融資計画書 '!$E$36:$O$211,MATCH($B$28&amp;$D40&amp;$E40,'融資計画書 '!$A$36:$A$211&amp;'融資計画書 '!$D$36:$D$211&amp;'融資計画書 '!$E$36:$E$211,0),S$26)</f>
        <v/>
      </c>
      <c r="G40" s="76" t="str" cm="1">
        <f t="array" ref="G40">INDEX('融資計画書 '!$E$36:$O$211,MATCH($B$28&amp;$D40&amp;$E40,'融資計画書 '!$A$36:$A$211&amp;'融資計画書 '!$D$36:$D$211&amp;'融資計画書 '!$E$36:$E$211,0),T$26)</f>
        <v/>
      </c>
      <c r="H40" s="127" t="str" cm="1">
        <f t="array" ref="H40">INDEX('融資計画書 '!$E$36:$O$211,MATCH($B$28&amp;$D40&amp;$E40,'融資計画書 '!$A$36:$A$211&amp;'融資計画書 '!$D$36:$D$211&amp;'融資計画書 '!$E$36:$E$211,0),U$26)</f>
        <v/>
      </c>
      <c r="I40" s="128" t="str" cm="1">
        <f t="array" ref="I40">INDEX('融資計画書 '!$E$35:$O$211,MATCH($E40&amp;$D40&amp;$B$28,'融資計画書 '!$E$35:$E$211&amp;'融資計画書 '!$D$35:$D$211&amp;'融資計画書 '!$A$35:$A$211,0),V$26)</f>
        <v/>
      </c>
      <c r="J40" s="122" t="str" cm="1">
        <f t="array" ref="J40">INDEX('融資計画書 '!$E$35:$O$211,MATCH($E40&amp;$D40&amp;$B$28,'融資計画書 '!$E$35:$E$211&amp;'融資計画書 '!$D$35:$D$211&amp;'融資計画書 '!$A$35:$A$211,0),W$26)</f>
        <v/>
      </c>
      <c r="K40" s="132" t="str" cm="1">
        <f t="array" ref="K40">INDEX('融資計画書 '!$E$35:$O$211,MATCH($E40&amp;$D40&amp;$B$28,'融資計画書 '!$E$35:$E$211&amp;'融資計画書 '!$D$35:$D$211&amp;'融資計画書 '!$A$35:$A$211,0),X$26)</f>
        <v/>
      </c>
      <c r="L40" s="117" t="str" cm="1">
        <f t="array" ref="L40">INDEX('融資計画書 '!$E$35:$O$211,MATCH($E40&amp;$D40&amp;$B$28,'融資計画書 '!$E$35:$E$211&amp;'融資計画書 '!$D$35:$D$211&amp;'融資計画書 '!$A$35:$A$211,0),Y$26)</f>
        <v/>
      </c>
      <c r="M40" s="129" t="str" cm="1">
        <f t="array" ref="M40">INDEX('融資計画書 '!$E$35:$O$211,MATCH($E40&amp;$D40&amp;$B$28,'融資計画書 '!$E$35:$E$211&amp;'融資計画書 '!$D$35:$D$211&amp;'融資計画書 '!$A$35:$A$211,0),Z$26)</f>
        <v/>
      </c>
      <c r="N40" s="130" t="str" cm="1">
        <f t="array" ref="N40">INDEX('融資計画書 '!$E$35:$O$211,MATCH($E40&amp;$D40&amp;$B$28,'融資計画書 '!$E$35:$E$211&amp;'融資計画書 '!$D$35:$D$211&amp;'融資計画書 '!$A$35:$A$211,0),AA$26)</f>
        <v/>
      </c>
      <c r="O40" s="133" t="str" cm="1">
        <f t="array" ref="O40">INDEX('融資計画書 '!$E$35:$O$211,MATCH($E40&amp;$D40&amp;$B$28,'融資計画書 '!$E$35:$E$211&amp;'融資計画書 '!$D$35:$D$211&amp;'融資計画書 '!$A$35:$A$211,0),AB$26)</f>
        <v/>
      </c>
      <c r="P40" s="107"/>
      <c r="Q40" s="14">
        <f>'融資計画書 '!B180</f>
        <v>2032</v>
      </c>
    </row>
    <row r="41" spans="1:17" s="14" customFormat="1" ht="19.5" thickBot="1" x14ac:dyDescent="0.45">
      <c r="A41" s="99">
        <f>B28</f>
        <v>2025</v>
      </c>
      <c r="B41" s="278"/>
      <c r="C41" s="57" t="s">
        <v>10</v>
      </c>
      <c r="D41" s="58"/>
      <c r="E41" s="75" cm="1">
        <f t="array" ref="E41">_xlfn.SINGLE(IF(E35:E40&lt;&gt;"",MIN(E35:E40),""))</f>
        <v>45931</v>
      </c>
      <c r="F41" s="59" t="str">
        <f t="shared" si="0"/>
        <v>水</v>
      </c>
      <c r="G41" s="75" cm="1">
        <f t="array" ref="G41">_xlfn.SINGLE(IF(G35:G40&lt;&gt;"",MAX(G35:G40),""))</f>
        <v>46112</v>
      </c>
      <c r="H41" s="59" t="str">
        <f t="shared" ref="F41:H51" si="2">IF(G41="","",TEXT(G41,"aaa"))</f>
        <v>火</v>
      </c>
      <c r="I41" s="60">
        <f>SUM(I35:I40)</f>
        <v>182</v>
      </c>
      <c r="J41" s="58"/>
      <c r="K41" s="58"/>
      <c r="L41" s="84"/>
      <c r="M41" s="70">
        <f>SUM(M35:M40)</f>
        <v>2154080</v>
      </c>
      <c r="N41" s="71"/>
      <c r="O41" s="72"/>
      <c r="P41" s="106"/>
      <c r="Q41" s="14">
        <f>'融資計画書 '!B196</f>
        <v>2033</v>
      </c>
    </row>
    <row r="42" spans="1:17" s="14" customFormat="1" hidden="1" x14ac:dyDescent="0.4">
      <c r="B42" s="262">
        <f>B28+1</f>
        <v>2026</v>
      </c>
      <c r="C42" s="266" t="s">
        <v>3</v>
      </c>
      <c r="D42" s="45" t="s">
        <v>6</v>
      </c>
      <c r="E42" s="73" t="e">
        <f t="shared" ref="E42:E47" si="3">IF(G41="","",IF(G42="","",IF(G41+1&gt;DATE($B$42+1,3,31),"",G41+1)))</f>
        <v>#REF!</v>
      </c>
      <c r="F42" s="46" t="e">
        <f t="shared" si="2"/>
        <v>#REF!</v>
      </c>
      <c r="G42" s="102" t="e">
        <f>IF(G41="","",IF(G41+1&gt;DATE($B$42,9,30),"",IF(OR($C$21="",$C$22=""),"",IF($C$21="月末",IF(EOMONTH(G41,VLOOKUP($C$22,#REF!,2,FALSE))&gt;DATE($B$42,9,30),"",EOMONTH(G41,VLOOKUP($C$22,#REF!,2,FALSE))),IF(EOMONTH(G41,VLOOKUP($C$22,#REF!,2,FALSE)-1)+$C$21&gt;DATE(B42,9,30),"",EOMONTH(G41,VLOOKUP($C$22,#REF!,2,FALSE)-1)+$C$21)))))</f>
        <v>#REF!</v>
      </c>
      <c r="H42" s="46" t="e">
        <f t="shared" si="2"/>
        <v>#REF!</v>
      </c>
      <c r="I42" s="47" t="e">
        <f>IF(G42="","",DATEDIF(E42,G42,"D")+1)</f>
        <v>#REF!</v>
      </c>
      <c r="J42" s="50" t="e" cm="1">
        <f t="array" ref="J42">_xlfn.SINGLE(IF(G42&lt;&gt;"",IF($C$7="","",IF(J35:J40&lt;&gt;"",IF(MIN(J35:J40)&lt;=0,"",IF(MIN(J35:J40)=$C$9,MIN(J35:J40)-$C$9,MIN(J35:J40)-$C$8)),"")),""))</f>
        <v>#REF!</v>
      </c>
      <c r="K42" s="50" cm="1">
        <f t="array" ref="K42">_xlfn.SINGLE(IF($C$14="","",IF(K35:K40&lt;&gt;"",IF(MIN(K35:K40)&lt;=0,"",IF(MIN(K35:K40)=$C$16,MIN(K35:K40)-$C$16,MIN(K35:K40)-$C$15)),"")))</f>
        <v>1335000000</v>
      </c>
      <c r="L42" s="82" t="e" cm="1">
        <f t="array" ref="L42">IF(AND(OR(J42=0,J42=""),OR(K42=0,K42="")),"",_xlfn.IFS($C$23&gt;=0.0035,0.003,$C$23&lt;0.0005,0,$C$23&lt;0.0035,$C$23-0.0005))</f>
        <v>#REF!</v>
      </c>
      <c r="M42" s="64" t="e">
        <f t="shared" ref="M42" si="4">IF(G42="","",IF(OR(K42="",K42=0),"",ROUNDDOWN(K42*(I42/365)*L42,0)))</f>
        <v>#REF!</v>
      </c>
      <c r="N42" s="62" t="e">
        <f>IF(OR(K42="",K42=0),"",IF(G42="","",$C$8))</f>
        <v>#REF!</v>
      </c>
      <c r="O42" s="63" t="e">
        <f t="shared" ref="O42:O47" si="5">IF(OR(K42="",K42=0),"",IF(G42="","",$C$15))</f>
        <v>#REF!</v>
      </c>
      <c r="P42" s="106"/>
    </row>
    <row r="43" spans="1:17" s="14" customFormat="1" hidden="1" x14ac:dyDescent="0.4">
      <c r="B43" s="263"/>
      <c r="C43" s="266"/>
      <c r="D43" s="49" t="s">
        <v>7</v>
      </c>
      <c r="E43" s="73" t="e">
        <f t="shared" si="3"/>
        <v>#REF!</v>
      </c>
      <c r="F43" s="46" t="e">
        <f t="shared" si="2"/>
        <v>#REF!</v>
      </c>
      <c r="G43" s="102" t="e">
        <f>IF(G42="","",IF(G42+1&gt;DATE($B$42,9,30),"",IF(OR($C$21="",$C$22=""),"",IF($C$21="月末",IF(EOMONTH(G42,VLOOKUP($C$22,#REF!,2,FALSE))&gt;DATE($B$42,9,30),"",EOMONTH(G42,VLOOKUP($C$22,#REF!,2,FALSE))),IF(EOMONTH(G42,VLOOKUP($C$22,#REF!,2,FALSE)-1)+$C$21&gt;DATE($B$42,9,30),"",EOMONTH(G42,VLOOKUP($C$22,#REF!,2,FALSE)-1)+$C$21)))))</f>
        <v>#REF!</v>
      </c>
      <c r="H43" s="46" t="e">
        <f t="shared" si="2"/>
        <v>#REF!</v>
      </c>
      <c r="I43" s="47" t="e">
        <f>IF(G43="","",DATEDIF(E43,G43,"D")+1)</f>
        <v>#REF!</v>
      </c>
      <c r="J43" s="50" t="e">
        <f t="shared" ref="J43:J47" si="6">IF(G43&lt;&gt;"",IF($C$7="","",IF(J42="","",IF(J42&lt;=0,"",IF(J42=$C$9,J42-$C$9,J42-$C$8)))),"")</f>
        <v>#REF!</v>
      </c>
      <c r="K43" s="50" t="e">
        <f>IF(G43&lt;&gt;"",IF($C$14="","",IF(K42="","",IF(K42&lt;=0,"",IF(K42=$C$16,K42-$C$16,K42-$C$15)))),"")</f>
        <v>#REF!</v>
      </c>
      <c r="L43" s="82" t="e" cm="1">
        <f t="array" ref="L43">IF(AND(OR(J43=0,J43=""),OR(K43=0,K43="")),"",_xlfn.IFS($C$23&gt;=0.0035,0.003,$C$23&lt;0.0005,0,$C$23&lt;0.0035,$C$23-0.0005))</f>
        <v>#REF!</v>
      </c>
      <c r="M43" s="64" t="e">
        <f t="shared" ref="M43" si="7">IF(G43="","",IF(K43="","",ROUNDDOWN(K43*(I43/365)*L43,0)))</f>
        <v>#REF!</v>
      </c>
      <c r="N43" s="65" t="e">
        <f t="shared" ref="N43:N47" si="8">IF(OR(K43="",K43=0),"",IF(G43="","",$C$8))</f>
        <v>#REF!</v>
      </c>
      <c r="O43" s="66" t="e">
        <f t="shared" si="5"/>
        <v>#REF!</v>
      </c>
      <c r="P43" s="106"/>
    </row>
    <row r="44" spans="1:17" s="14" customFormat="1" hidden="1" x14ac:dyDescent="0.4">
      <c r="B44" s="263"/>
      <c r="C44" s="266"/>
      <c r="D44" s="49" t="s">
        <v>34</v>
      </c>
      <c r="E44" s="73" t="e">
        <f t="shared" si="3"/>
        <v>#REF!</v>
      </c>
      <c r="F44" s="46" t="e">
        <f t="shared" si="2"/>
        <v>#REF!</v>
      </c>
      <c r="G44" s="102" t="e">
        <f>IF(G43="","",IF(G43+1&gt;DATE($B$42,9,30),"",IF(OR($C$21="",$C$22=""),"",IF($C$21="月末",IF(EOMONTH(G43,VLOOKUP($C$22,#REF!,2,FALSE))&gt;DATE($B$42,9,30),"",EOMONTH(G43,VLOOKUP($C$22,#REF!,2,FALSE))),IF(EOMONTH(G43,VLOOKUP($C$22,#REF!,2,FALSE)-1)+$C$21&gt;DATE($B$42,9,30),"",EOMONTH(G43,VLOOKUP($C$22,#REF!,2,FALSE)-1)+$C$21)))))</f>
        <v>#REF!</v>
      </c>
      <c r="H44" s="46" t="e">
        <f t="shared" si="2"/>
        <v>#REF!</v>
      </c>
      <c r="I44" s="47" t="e">
        <f t="shared" ref="I44:I46" si="9">IF(G44="","",DATEDIF(E44,G44,"D")+1)</f>
        <v>#REF!</v>
      </c>
      <c r="J44" s="50" t="e">
        <f t="shared" si="6"/>
        <v>#REF!</v>
      </c>
      <c r="K44" s="50" t="e">
        <f>IF(G44&lt;&gt;"",IF($C$14="","",IF(K43="","",IF(K43&lt;=0,"",IF(K43=$C$16,K43-$C$16,K43-$C$15)))),"")</f>
        <v>#REF!</v>
      </c>
      <c r="L44" s="82" t="e" cm="1">
        <f t="array" ref="L44">IF(AND(OR(J44=0,J44=""),OR(K44=0,K44="")),"",_xlfn.IFS($C$23&gt;=0.0035,0.003,$C$23&lt;0.0005,0,$C$23&lt;0.0035,$C$23-0.0005))</f>
        <v>#REF!</v>
      </c>
      <c r="M44" s="64" t="e">
        <f>IF(G44="","",IF(K44="","",ROUNDDOWN(K44*(I44/365)*L44,0)))</f>
        <v>#REF!</v>
      </c>
      <c r="N44" s="65" t="e">
        <f t="shared" si="8"/>
        <v>#REF!</v>
      </c>
      <c r="O44" s="66" t="e">
        <f t="shared" si="5"/>
        <v>#REF!</v>
      </c>
      <c r="P44" s="106"/>
    </row>
    <row r="45" spans="1:17" s="14" customFormat="1" hidden="1" x14ac:dyDescent="0.4">
      <c r="B45" s="263"/>
      <c r="C45" s="266"/>
      <c r="D45" s="49" t="s">
        <v>35</v>
      </c>
      <c r="E45" s="73" t="e">
        <f t="shared" si="3"/>
        <v>#REF!</v>
      </c>
      <c r="F45" s="46" t="e">
        <f t="shared" si="2"/>
        <v>#REF!</v>
      </c>
      <c r="G45" s="102" t="e">
        <f>IF(G44="","",IF(G44+1&gt;DATE($B$42,9,30),"",IF(OR($C$21="",$C$22=""),"",IF($C$21="月末",IF(EOMONTH(G44,VLOOKUP($C$22,#REF!,2,FALSE))&gt;DATE($B$42,9,30),"",EOMONTH(G44,VLOOKUP($C$22,#REF!,2,FALSE))),IF(EOMONTH(G44,VLOOKUP($C$22,#REF!,2,FALSE)-1)+$C$21&gt;DATE($B$42,9,30),"",EOMONTH(G44,VLOOKUP($C$22,#REF!,2,FALSE)-1)+$C$21)))))</f>
        <v>#REF!</v>
      </c>
      <c r="H45" s="46" t="e">
        <f t="shared" si="2"/>
        <v>#REF!</v>
      </c>
      <c r="I45" s="47" t="e">
        <f t="shared" si="9"/>
        <v>#REF!</v>
      </c>
      <c r="J45" s="50" t="e">
        <f t="shared" si="6"/>
        <v>#REF!</v>
      </c>
      <c r="K45" s="50" t="e">
        <f>IF(G45&lt;&gt;"",IF($C$14="","",IF(K44="","",IF(K44&lt;=0,"",IF(K44=$C$16,K44-$C$16,K44-$C$15)))),"")</f>
        <v>#REF!</v>
      </c>
      <c r="L45" s="82" t="e" cm="1">
        <f t="array" ref="L45">IF(AND(OR(J45=0,J45=""),OR(K45=0,K45="")),"",_xlfn.IFS($C$23&gt;=0.0035,0.003,$C$23&lt;0.0005,0,$C$23&lt;0.0035,$C$23-0.0005))</f>
        <v>#REF!</v>
      </c>
      <c r="M45" s="64" t="e">
        <f t="shared" ref="M45:M47" si="10">IF(G45="","",IF(K45="","",ROUNDDOWN(K45*(I45/365)*L45,0)))</f>
        <v>#REF!</v>
      </c>
      <c r="N45" s="65" t="e">
        <f t="shared" si="8"/>
        <v>#REF!</v>
      </c>
      <c r="O45" s="66" t="e">
        <f t="shared" si="5"/>
        <v>#REF!</v>
      </c>
      <c r="P45" s="106"/>
    </row>
    <row r="46" spans="1:17" s="14" customFormat="1" hidden="1" x14ac:dyDescent="0.4">
      <c r="B46" s="263"/>
      <c r="C46" s="266"/>
      <c r="D46" s="49" t="s">
        <v>36</v>
      </c>
      <c r="E46" s="73" t="e">
        <f t="shared" si="3"/>
        <v>#REF!</v>
      </c>
      <c r="F46" s="46" t="e">
        <f t="shared" si="2"/>
        <v>#REF!</v>
      </c>
      <c r="G46" s="102" t="e">
        <f>IF(G45="","",IF(G45+1&gt;DATE($B$42,9,30),"",IF(OR($C$21="",$C$22=""),"",IF($C$21="月末",IF(EOMONTH(G45,VLOOKUP($C$22,#REF!,2,FALSE))&gt;DATE($B$42,9,30),"",EOMONTH(G45,VLOOKUP($C$22,#REF!,2,FALSE))),IF(EOMONTH(G45,VLOOKUP($C$22,#REF!,2,FALSE)-1)+$C$21&gt;DATE($B$42,9,30),"",EOMONTH(G45,VLOOKUP($C$22,#REF!,2,FALSE)-1)+$C$21)))))</f>
        <v>#REF!</v>
      </c>
      <c r="H46" s="46" t="e">
        <f t="shared" si="2"/>
        <v>#REF!</v>
      </c>
      <c r="I46" s="47" t="e">
        <f t="shared" si="9"/>
        <v>#REF!</v>
      </c>
      <c r="J46" s="50" t="e">
        <f t="shared" si="6"/>
        <v>#REF!</v>
      </c>
      <c r="K46" s="50" t="e">
        <f>IF(G46&lt;&gt;"",IF($C$14="","",IF(K45="","",IF(K45&lt;=0,"",IF(K45=$C$16,K45-$C$16,K45-$C$15)))),"")</f>
        <v>#REF!</v>
      </c>
      <c r="L46" s="82" t="e" cm="1">
        <f t="array" ref="L46">IF(AND(OR(J46=0,J46=""),OR(K46=0,K46="")),"",_xlfn.IFS($C$23&gt;=0.0035,0.003,$C$23&lt;0.0005,0,$C$23&lt;0.0035,$C$23-0.0005))</f>
        <v>#REF!</v>
      </c>
      <c r="M46" s="64" t="e">
        <f t="shared" si="10"/>
        <v>#REF!</v>
      </c>
      <c r="N46" s="65" t="e">
        <f t="shared" si="8"/>
        <v>#REF!</v>
      </c>
      <c r="O46" s="66" t="e">
        <f t="shared" si="5"/>
        <v>#REF!</v>
      </c>
      <c r="P46" s="106"/>
    </row>
    <row r="47" spans="1:17" s="14" customFormat="1" ht="19.5" hidden="1" thickBot="1" x14ac:dyDescent="0.45">
      <c r="B47" s="263"/>
      <c r="C47" s="266"/>
      <c r="D47" s="51" t="s">
        <v>40</v>
      </c>
      <c r="E47" s="74" t="e">
        <f t="shared" si="3"/>
        <v>#REF!</v>
      </c>
      <c r="F47" s="52" t="e">
        <f t="shared" si="2"/>
        <v>#REF!</v>
      </c>
      <c r="G47" s="102" t="e">
        <f>IF(G46="","",IF(G46+1&gt;DATE($B$42,9,30),"",IF(OR($C$21="",$C$22=""),"",IF($C$21="月末",IF(EOMONTH(G46,VLOOKUP($C$22,#REF!,2,FALSE))&gt;DATE($B$42,9,30),"",EOMONTH(G46,VLOOKUP($C$22,#REF!,2,FALSE))),IF(EOMONTH(G46,VLOOKUP($C$22,#REF!,2,FALSE)-1)+$C$21&gt;DATE($B$42,9,30),"",EOMONTH(G46,VLOOKUP($C$22,#REF!,2,FALSE)-1)+$C$21)))))</f>
        <v>#REF!</v>
      </c>
      <c r="H47" s="52" t="e">
        <f t="shared" si="2"/>
        <v>#REF!</v>
      </c>
      <c r="I47" s="53" t="e">
        <f>IF(G47="","",DATEDIF(E47,G47,"D")+1)</f>
        <v>#REF!</v>
      </c>
      <c r="J47" s="50" t="e">
        <f t="shared" si="6"/>
        <v>#REF!</v>
      </c>
      <c r="K47" s="50" t="e">
        <f>IF(G47&lt;&gt;"",IF($C$14="","",IF(K46="","",IF(K46&lt;=0,"",IF(K46=$C$16,K46-$C$16,K46-$C$15)))),"")</f>
        <v>#REF!</v>
      </c>
      <c r="L47" s="82" t="e" cm="1">
        <f t="array" ref="L47">IF(AND(OR(J47=0,J47=""),OR(K47=0,K47="")),"",_xlfn.IFS($C$23&gt;=0.0035,0.003,$C$23&lt;0.0005,0,$C$23&lt;0.0035,$C$23-0.0005))</f>
        <v>#REF!</v>
      </c>
      <c r="M47" s="67" t="e">
        <f t="shared" si="10"/>
        <v>#REF!</v>
      </c>
      <c r="N47" s="68" t="e">
        <f t="shared" si="8"/>
        <v>#REF!</v>
      </c>
      <c r="O47" s="69" t="e">
        <f t="shared" si="5"/>
        <v>#REF!</v>
      </c>
      <c r="P47" s="106"/>
    </row>
    <row r="48" spans="1:17" s="14" customFormat="1" ht="19.5" hidden="1" thickBot="1" x14ac:dyDescent="0.45">
      <c r="B48" s="264"/>
      <c r="C48" s="57" t="s">
        <v>10</v>
      </c>
      <c r="D48" s="58"/>
      <c r="E48" s="75" t="e" cm="1">
        <f t="array" ref="E48">_xlfn.SINGLE(IF(E42:E47&lt;&gt;"",MIN(E42:E47),""))</f>
        <v>#REF!</v>
      </c>
      <c r="F48" s="59" t="e">
        <f t="shared" si="2"/>
        <v>#REF!</v>
      </c>
      <c r="G48" s="75" t="e" cm="1">
        <f t="array" ref="G48">_xlfn.SINGLE(IF(G42:G47&lt;&gt;"",MAX(G42:G47),""))</f>
        <v>#REF!</v>
      </c>
      <c r="H48" s="59" t="e">
        <f t="shared" si="2"/>
        <v>#REF!</v>
      </c>
      <c r="I48" s="60" t="e">
        <f>SUM(I42:I47)</f>
        <v>#REF!</v>
      </c>
      <c r="J48" s="58"/>
      <c r="K48" s="58"/>
      <c r="L48" s="84"/>
      <c r="M48" s="70" t="e">
        <f>SUM(M42:M47)</f>
        <v>#REF!</v>
      </c>
      <c r="N48" s="71"/>
      <c r="O48" s="72"/>
      <c r="P48" s="106"/>
    </row>
    <row r="49" spans="2:16" s="14" customFormat="1" hidden="1" x14ac:dyDescent="0.4">
      <c r="B49" s="263"/>
      <c r="C49" s="267" t="s">
        <v>4</v>
      </c>
      <c r="D49" s="54" t="s">
        <v>9</v>
      </c>
      <c r="E49" s="73" t="e">
        <f t="shared" ref="E49:E54" si="11">IF(G48="","",IF(G49="","",IF(G48+1&gt;DATE($B$42+1,3,31),"",G48+1)))</f>
        <v>#REF!</v>
      </c>
      <c r="F49" s="46" t="e">
        <f t="shared" si="2"/>
        <v>#REF!</v>
      </c>
      <c r="G49" s="102" t="e">
        <f>IF(G48="","",IF(G48+1&gt;DATE($B$42+1,3,31),"",IF(OR($C$21="",$C$22=""),"",IF($C$21="月末",IF(EOMONTH(G48,VLOOKUP($C$22,#REF!,2,FALSE))&gt;DATE($B$42+1,3,31),"",EOMONTH(G48,VLOOKUP($C$22,#REF!,2,FALSE))),IF(EOMONTH(G48,VLOOKUP($C$22,#REF!,2,FALSE)-1)+$C$21&gt;DATE($B$42+1,3,31),"",EOMONTH(G48,VLOOKUP($C$22,#REF!,2,FALSE)-1)+$C$21)))))</f>
        <v>#REF!</v>
      </c>
      <c r="H49" s="46" t="e">
        <f>IF(G49="","",TEXT(G49,"aaa"))</f>
        <v>#REF!</v>
      </c>
      <c r="I49" s="47" t="e">
        <f>IF(G49="","",DATEDIF(E49,G49,"D")+1)</f>
        <v>#REF!</v>
      </c>
      <c r="J49" s="50" t="e" cm="1">
        <f t="array" ref="J49">_xlfn.SINGLE(IF(G49&lt;&gt;"",IF($C$7="","",IF(J42:J47&lt;&gt;"",IF(MIN(J42:J47)&lt;=0,"",IF(MIN(J42:J47)=$C$9,MIN(J42:J47)-$C$9,MIN(J42:J47)-$C$8)),"")),""))</f>
        <v>#REF!</v>
      </c>
      <c r="K49" s="55" t="e" cm="1">
        <f t="array" ref="K49">_xlfn.SINGLE(IF($C$14="","",IF(K42:K47&lt;&gt;"",IF(MIN(K42:K47)&lt;=0,"",IF(MIN(K42:K47)=$C$16,MIN(K42:K47)-$C$16,MIN(K42:K47)-$C$15)),"")))</f>
        <v>#REF!</v>
      </c>
      <c r="L49" s="82" t="e" cm="1">
        <f t="array" ref="L49">IF(AND(OR(J49=0,J49=""),OR(K49=0,K49="")),"",_xlfn.IFS($C$23&gt;=0.0035,0.003,$C$23&lt;0.0005,0,$C$23&lt;0.0035,$C$23-0.0005))</f>
        <v>#REF!</v>
      </c>
      <c r="M49" s="64" t="e">
        <f t="shared" ref="M49" si="12">IF(G49="","",IF(OR(K49="",K49=0),"",ROUNDDOWN(K49*(I49/365)*L49,0)))</f>
        <v>#REF!</v>
      </c>
      <c r="N49" s="62" t="e">
        <f>IF(OR(K49="",K49=0),"",IF(G49="","",$C$8))</f>
        <v>#REF!</v>
      </c>
      <c r="O49" s="63" t="e">
        <f t="shared" ref="O49:O54" si="13">IF(OR(K49="",K49=0),"",IF(G49="","",$C$15))</f>
        <v>#REF!</v>
      </c>
      <c r="P49" s="106"/>
    </row>
    <row r="50" spans="2:16" s="14" customFormat="1" hidden="1" x14ac:dyDescent="0.4">
      <c r="B50" s="263"/>
      <c r="C50" s="266"/>
      <c r="D50" s="49" t="s">
        <v>8</v>
      </c>
      <c r="E50" s="73" t="e">
        <f t="shared" si="11"/>
        <v>#REF!</v>
      </c>
      <c r="F50" s="46" t="e">
        <f t="shared" si="2"/>
        <v>#REF!</v>
      </c>
      <c r="G50" s="102" t="e">
        <f>IF(G49="","",IF(G49+1&gt;DATE($B$42+1,3,31),"",IF(OR($C$21="",$C$22=""),"",IF($C$21="月末",IF(EOMONTH(G49,VLOOKUP($C$22,#REF!,2,FALSE))&gt;DATE($B$42+1,3,31),"",EOMONTH(G49,VLOOKUP($C$22,#REF!,2,FALSE))),IF(EOMONTH(G49,VLOOKUP($C$22,#REF!,2,FALSE)-1)+$C$21&gt;DATE($B$42+1,3,31),"",EOMONTH(G49,VLOOKUP($C$22,#REF!,2,FALSE)-1)+$C$21)))))</f>
        <v>#REF!</v>
      </c>
      <c r="H50" s="46" t="e">
        <f t="shared" ref="H50:H62" si="14">IF(G50="","",TEXT(G50,"aaa"))</f>
        <v>#REF!</v>
      </c>
      <c r="I50" s="47" t="e">
        <f>IF(G50="","",DATEDIF(E50,G50,"D")+1)</f>
        <v>#REF!</v>
      </c>
      <c r="J50" s="50" t="e">
        <f t="shared" ref="J50:J54" si="15">IF(G50&lt;&gt;"",IF($C$7="","",IF(J49="","",IF(J49&lt;=0,"",IF(J49=$C$9,J49-$C$9,J49-$C$8)))),"")</f>
        <v>#REF!</v>
      </c>
      <c r="K50" s="50" t="e">
        <f>IF(G50&lt;&gt;"",IF($C$14="","",IF(K49="","",IF(K49&lt;=0,"",IF(K49=$C$16,K49-$C$16,K49-$C$15)))),"")</f>
        <v>#REF!</v>
      </c>
      <c r="L50" s="82" t="e" cm="1">
        <f t="array" ref="L50">IF(AND(OR(J50=0,J50=""),OR(K50=0,K50="")),"",_xlfn.IFS($C$23&gt;=0.0035,0.003,$C$23&lt;0.0005,0,$C$23&lt;0.0035,$C$23-0.0005))</f>
        <v>#REF!</v>
      </c>
      <c r="M50" s="64" t="e">
        <f t="shared" ref="M50" si="16">IF(G50="","",IF(K50="","",ROUNDDOWN(K50*(I50/365)*L50,0)))</f>
        <v>#REF!</v>
      </c>
      <c r="N50" s="65" t="e">
        <f t="shared" ref="N50:N54" si="17">IF(OR(K50="",K50=0),"",IF(G50="","",$C$8))</f>
        <v>#REF!</v>
      </c>
      <c r="O50" s="66" t="e">
        <f t="shared" si="13"/>
        <v>#REF!</v>
      </c>
      <c r="P50" s="106"/>
    </row>
    <row r="51" spans="2:16" s="14" customFormat="1" hidden="1" x14ac:dyDescent="0.4">
      <c r="B51" s="263"/>
      <c r="C51" s="266"/>
      <c r="D51" s="49" t="s">
        <v>37</v>
      </c>
      <c r="E51" s="73" t="e">
        <f t="shared" si="11"/>
        <v>#REF!</v>
      </c>
      <c r="F51" s="46" t="e">
        <f t="shared" si="2"/>
        <v>#REF!</v>
      </c>
      <c r="G51" s="102" t="e">
        <f>IF(G50="","",IF(G50+1&gt;DATE($B$42+1,3,31),"",IF(OR($C$21="",$C$22=""),"",IF($C$21="月末",IF(EOMONTH(G50,VLOOKUP($C$22,#REF!,2,FALSE))&gt;DATE($B$42+1,3,31),"",EOMONTH(G50,VLOOKUP($C$22,#REF!,2,FALSE))),IF(EOMONTH(G50,VLOOKUP($C$22,#REF!,2,FALSE)-1)+$C$21&gt;DATE($B$42+1,3,31),"",EOMONTH(G50,VLOOKUP($C$22,#REF!,2,FALSE)-1)+$C$21)))))</f>
        <v>#REF!</v>
      </c>
      <c r="H51" s="46" t="e">
        <f t="shared" si="14"/>
        <v>#REF!</v>
      </c>
      <c r="I51" s="47" t="e">
        <f t="shared" ref="I51:I53" si="18">IF(G51="","",DATEDIF(E51,G51,"D")+1)</f>
        <v>#REF!</v>
      </c>
      <c r="J51" s="50" t="e">
        <f t="shared" si="15"/>
        <v>#REF!</v>
      </c>
      <c r="K51" s="50" t="e">
        <f>IF(G51&lt;&gt;"",IF($C$14="","",IF(K50="","",IF(K50&lt;=0,"",IF(K50=$C$16,K50-$C$16,K50-$C$15)))),"")</f>
        <v>#REF!</v>
      </c>
      <c r="L51" s="82" t="e" cm="1">
        <f t="array" ref="L51">IF(AND(OR(J51=0,J51=""),OR(K51=0,K51="")),"",_xlfn.IFS($C$23&gt;=0.0035,0.003,$C$23&lt;0.0005,0,$C$23&lt;0.0035,$C$23-0.0005))</f>
        <v>#REF!</v>
      </c>
      <c r="M51" s="64" t="e">
        <f>IF(G51="","",IF(K51="","",ROUNDDOWN(K51*(I51/365)*L51,0)))</f>
        <v>#REF!</v>
      </c>
      <c r="N51" s="65" t="e">
        <f t="shared" si="17"/>
        <v>#REF!</v>
      </c>
      <c r="O51" s="66" t="e">
        <f t="shared" si="13"/>
        <v>#REF!</v>
      </c>
      <c r="P51" s="106"/>
    </row>
    <row r="52" spans="2:16" s="14" customFormat="1" hidden="1" x14ac:dyDescent="0.4">
      <c r="B52" s="263"/>
      <c r="C52" s="266"/>
      <c r="D52" s="49" t="s">
        <v>38</v>
      </c>
      <c r="E52" s="73" t="e">
        <f t="shared" si="11"/>
        <v>#REF!</v>
      </c>
      <c r="F52" s="46" t="e">
        <f t="shared" ref="F52:F115" si="19">IF(E52="","",TEXT(E52,"aaa"))</f>
        <v>#REF!</v>
      </c>
      <c r="G52" s="102" t="e">
        <f>IF(G51="","",IF(G51+1&gt;DATE($B$42+1,3,31),"",IF(OR($C$21="",$C$22=""),"",IF($C$21="月末",IF(EOMONTH(G51,VLOOKUP($C$22,#REF!,2,FALSE))&gt;DATE($B$42+1,3,31),"",EOMONTH(G51,VLOOKUP($C$22,#REF!,2,FALSE))),IF(EOMONTH(G51,VLOOKUP($C$22,#REF!,2,FALSE)-1)+$C$21&gt;DATE($B$42+1,3,31),"",EOMONTH(G51,VLOOKUP($C$22,#REF!,2,FALSE)-1)+$C$21)))))</f>
        <v>#REF!</v>
      </c>
      <c r="H52" s="46" t="e">
        <f t="shared" si="14"/>
        <v>#REF!</v>
      </c>
      <c r="I52" s="47" t="e">
        <f t="shared" si="18"/>
        <v>#REF!</v>
      </c>
      <c r="J52" s="50" t="e">
        <f t="shared" si="15"/>
        <v>#REF!</v>
      </c>
      <c r="K52" s="50" t="e">
        <f>IF(G52&lt;&gt;"",IF($C$14="","",IF(K51="","",IF(K51&lt;=0,"",IF(K51=$C$16,K51-$C$16,K51-$C$15)))),"")</f>
        <v>#REF!</v>
      </c>
      <c r="L52" s="82" t="e" cm="1">
        <f t="array" ref="L52">IF(AND(OR(J52=0,J52=""),OR(K52=0,K52="")),"",_xlfn.IFS($C$23&gt;=0.0035,0.003,$C$23&lt;0.0005,0,$C$23&lt;0.0035,$C$23-0.0005))</f>
        <v>#REF!</v>
      </c>
      <c r="M52" s="64" t="e">
        <f t="shared" ref="M52:M54" si="20">IF(G52="","",IF(K52="","",ROUNDDOWN(K52*(I52/365)*L52,0)))</f>
        <v>#REF!</v>
      </c>
      <c r="N52" s="65" t="e">
        <f t="shared" si="17"/>
        <v>#REF!</v>
      </c>
      <c r="O52" s="66" t="e">
        <f t="shared" si="13"/>
        <v>#REF!</v>
      </c>
      <c r="P52" s="106"/>
    </row>
    <row r="53" spans="2:16" s="14" customFormat="1" hidden="1" x14ac:dyDescent="0.4">
      <c r="B53" s="263"/>
      <c r="C53" s="266"/>
      <c r="D53" s="49" t="s">
        <v>39</v>
      </c>
      <c r="E53" s="73" t="e">
        <f t="shared" si="11"/>
        <v>#REF!</v>
      </c>
      <c r="F53" s="46" t="e">
        <f t="shared" si="19"/>
        <v>#REF!</v>
      </c>
      <c r="G53" s="102" t="e">
        <f>IF(G52="","",IF(G52+1&gt;DATE($B$42+1,3,31),"",IF(OR($C$21="",$C$22=""),"",IF($C$21="月末",IF(EOMONTH(G52,VLOOKUP($C$22,#REF!,2,FALSE))&gt;DATE($B$42+1,3,31),"",EOMONTH(G52,VLOOKUP($C$22,#REF!,2,FALSE))),IF(EOMONTH(G52,VLOOKUP($C$22,#REF!,2,FALSE)-1)+$C$21&gt;DATE($B$42+1,3,31),"",EOMONTH(G52,VLOOKUP($C$22,#REF!,2,FALSE)-1)+$C$21)))))</f>
        <v>#REF!</v>
      </c>
      <c r="H53" s="46" t="e">
        <f t="shared" si="14"/>
        <v>#REF!</v>
      </c>
      <c r="I53" s="47" t="e">
        <f t="shared" si="18"/>
        <v>#REF!</v>
      </c>
      <c r="J53" s="50" t="e">
        <f t="shared" si="15"/>
        <v>#REF!</v>
      </c>
      <c r="K53" s="50" t="e">
        <f>IF(G53&lt;&gt;"",IF($C$14="","",IF(K52="","",IF(K52&lt;=0,"",IF(K52=$C$16,K52-$C$16,K52-$C$15)))),"")</f>
        <v>#REF!</v>
      </c>
      <c r="L53" s="82" t="e" cm="1">
        <f t="array" ref="L53">IF(AND(OR(J53=0,J53=""),OR(K53=0,K53="")),"",_xlfn.IFS($C$23&gt;=0.0035,0.003,$C$23&lt;0.0005,0,$C$23&lt;0.0035,$C$23-0.0005))</f>
        <v>#REF!</v>
      </c>
      <c r="M53" s="64" t="e">
        <f t="shared" si="20"/>
        <v>#REF!</v>
      </c>
      <c r="N53" s="65" t="e">
        <f t="shared" si="17"/>
        <v>#REF!</v>
      </c>
      <c r="O53" s="66" t="e">
        <f t="shared" si="13"/>
        <v>#REF!</v>
      </c>
      <c r="P53" s="106"/>
    </row>
    <row r="54" spans="2:16" s="14" customFormat="1" ht="19.5" hidden="1" thickBot="1" x14ac:dyDescent="0.45">
      <c r="B54" s="263"/>
      <c r="C54" s="266"/>
      <c r="D54" s="51" t="s">
        <v>41</v>
      </c>
      <c r="E54" s="74" t="e">
        <f t="shared" si="11"/>
        <v>#REF!</v>
      </c>
      <c r="F54" s="52" t="e">
        <f t="shared" si="19"/>
        <v>#REF!</v>
      </c>
      <c r="G54" s="102" t="e">
        <f>IF(G53="","",IF(G53+1&gt;DATE($B$42+1,3,31),"",IF(OR($C$21="",$C$22=""),"",IF($C$21="月末",IF(EOMONTH(G53,VLOOKUP($C$22,#REF!,2,FALSE))&gt;DATE($B$42+1,3,31),"",EOMONTH(G53,VLOOKUP($C$22,#REF!,2,FALSE))),IF(EOMONTH(G53,VLOOKUP($C$22,#REF!,2,FALSE)-1)+$C$21&gt;DATE($B$42+1,3,31),"",EOMONTH(G53,VLOOKUP($C$22,#REF!,2,FALSE)-1)+$C$21)))))</f>
        <v>#REF!</v>
      </c>
      <c r="H54" s="52" t="e">
        <f t="shared" si="14"/>
        <v>#REF!</v>
      </c>
      <c r="I54" s="53" t="e">
        <f>IF(G54="","",DATEDIF(E54,G54,"D")+1)</f>
        <v>#REF!</v>
      </c>
      <c r="J54" s="50" t="e">
        <f t="shared" si="15"/>
        <v>#REF!</v>
      </c>
      <c r="K54" s="56" t="e">
        <f>IF(G54&lt;&gt;"",IF($C$14="","",IF(K53="","",IF(K53&lt;=0,"",IF(K53=$C$16,K53-$C$16,K53-$C$15)))),"")</f>
        <v>#REF!</v>
      </c>
      <c r="L54" s="82" t="e" cm="1">
        <f t="array" ref="L54">IF(AND(OR(J54=0,J54=""),OR(K54=0,K54="")),"",_xlfn.IFS($C$23&gt;=0.0035,0.003,$C$23&lt;0.0005,0,$C$23&lt;0.0035,$C$23-0.0005))</f>
        <v>#REF!</v>
      </c>
      <c r="M54" s="67" t="e">
        <f t="shared" si="20"/>
        <v>#REF!</v>
      </c>
      <c r="N54" s="68" t="e">
        <f t="shared" si="17"/>
        <v>#REF!</v>
      </c>
      <c r="O54" s="69" t="e">
        <f t="shared" si="13"/>
        <v>#REF!</v>
      </c>
      <c r="P54" s="106"/>
    </row>
    <row r="55" spans="2:16" s="14" customFormat="1" ht="19.5" hidden="1" thickBot="1" x14ac:dyDescent="0.45">
      <c r="B55" s="265"/>
      <c r="C55" s="57" t="s">
        <v>10</v>
      </c>
      <c r="D55" s="58"/>
      <c r="E55" s="75" t="e" cm="1">
        <f t="array" ref="E55">_xlfn.SINGLE(IF(E49:E54&lt;&gt;"",MIN(E49:E54),""))</f>
        <v>#REF!</v>
      </c>
      <c r="F55" s="59" t="e">
        <f t="shared" si="19"/>
        <v>#REF!</v>
      </c>
      <c r="G55" s="75" t="e" cm="1">
        <f t="array" ref="G55">_xlfn.SINGLE(IF(G49:G54&lt;&gt;"",MAX(G49:G54),""))</f>
        <v>#REF!</v>
      </c>
      <c r="H55" s="59" t="e">
        <f t="shared" si="14"/>
        <v>#REF!</v>
      </c>
      <c r="I55" s="60" t="e">
        <f>SUM(I49:I54)</f>
        <v>#REF!</v>
      </c>
      <c r="J55" s="58"/>
      <c r="K55" s="58"/>
      <c r="L55" s="84"/>
      <c r="M55" s="70" t="e">
        <f>SUM(M49:M54)</f>
        <v>#REF!</v>
      </c>
      <c r="N55" s="71"/>
      <c r="O55" s="72"/>
      <c r="P55" s="106"/>
    </row>
    <row r="56" spans="2:16" s="14" customFormat="1" hidden="1" x14ac:dyDescent="0.4">
      <c r="B56" s="262">
        <f t="shared" ref="B56" si="21">B42+1</f>
        <v>2027</v>
      </c>
      <c r="C56" s="266" t="s">
        <v>3</v>
      </c>
      <c r="D56" s="45" t="s">
        <v>6</v>
      </c>
      <c r="E56" s="73" t="e">
        <f t="shared" ref="E56:E61" si="22">IF(G55="","",IF(G56="","",IF(G55+1&gt;DATE($B$56+1,3,31),"",G55+1)))</f>
        <v>#REF!</v>
      </c>
      <c r="F56" s="46" t="e">
        <f t="shared" si="19"/>
        <v>#REF!</v>
      </c>
      <c r="G56" s="102" t="e">
        <f>IF(G55="","",IF(G55+1&gt;DATE($B$56,9,30),"",IF(OR($C$21="",$C$22=""),"",IF($C$21="月末",IF(EOMONTH(G55,VLOOKUP($C$22,#REF!,2,FALSE))&gt;DATE($B$56,9,30),"",EOMONTH(G55,VLOOKUP($C$22,#REF!,2,FALSE))),IF(EOMONTH(G55,VLOOKUP($C$22,#REF!,2,FALSE)-1)+$C$21&gt;DATE($B$56,9,30),"",EOMONTH(G55,VLOOKUP($C$22,#REF!,2,FALSE)-1)+$C$21)))))</f>
        <v>#REF!</v>
      </c>
      <c r="H56" s="46" t="e">
        <f t="shared" si="14"/>
        <v>#REF!</v>
      </c>
      <c r="I56" s="47" t="e">
        <f>IF(G56="","",DATEDIF(E56,G56,"D")+1)</f>
        <v>#REF!</v>
      </c>
      <c r="J56" s="50" t="e" cm="1">
        <f t="array" ref="J56">_xlfn.SINGLE(IF(G56&lt;&gt;"",IF($C$7="","",IF(J49:J54&lt;&gt;"",IF(MIN(J49:J54)&lt;=0,"",IF(MIN(J49:J54)=$C$9,MIN(J49:J54)-$C$9,MIN(J49:J54)-$C$8)),"")),""))</f>
        <v>#REF!</v>
      </c>
      <c r="K56" s="55" t="e" cm="1">
        <f t="array" ref="K56">_xlfn.SINGLE(IF($C$14="","",IF(K49:K54&lt;&gt;"",IF(MIN(K49:K54)&lt;=0,"",IF(MIN(K49:K54)=$C$16,MIN(K49:K54)-$C$16,MIN(K49:K54)-$C$15)),"")))</f>
        <v>#REF!</v>
      </c>
      <c r="L56" s="82" t="e" cm="1">
        <f t="array" ref="L56">IF(AND(OR(J56=0,J56=""),OR(K56=0,K56="")),"",_xlfn.IFS($C$23&gt;=0.0035,0.003,$C$23&lt;0.0005,0,$C$23&lt;0.0035,$C$23-0.0005))</f>
        <v>#REF!</v>
      </c>
      <c r="M56" s="64" t="e">
        <f t="shared" ref="M56:M57" si="23">IF(G56="","",IF(OR(K56="",K56=0),"",ROUNDDOWN(K56*(I56/365)*L56,0)))</f>
        <v>#REF!</v>
      </c>
      <c r="N56" s="62" t="e">
        <f>IF(OR(K56="",K56=0),"",IF(G56="","",$C$8))</f>
        <v>#REF!</v>
      </c>
      <c r="O56" s="63" t="e">
        <f t="shared" ref="O56:O61" si="24">IF(OR(K56="",K56=0),"",IF(G56="","",$C$15))</f>
        <v>#REF!</v>
      </c>
      <c r="P56" s="106"/>
    </row>
    <row r="57" spans="2:16" s="14" customFormat="1" hidden="1" x14ac:dyDescent="0.4">
      <c r="B57" s="263"/>
      <c r="C57" s="266"/>
      <c r="D57" s="49" t="s">
        <v>7</v>
      </c>
      <c r="E57" s="73" t="e">
        <f t="shared" si="22"/>
        <v>#REF!</v>
      </c>
      <c r="F57" s="46" t="e">
        <f t="shared" si="19"/>
        <v>#REF!</v>
      </c>
      <c r="G57" s="102" t="e">
        <f>IF(G56="","",IF(G56+1&gt;DATE($B$56,9,30),"",IF(OR($C$21="",$C$22=""),"",IF($C$21="月末",IF(EOMONTH(G56,VLOOKUP($C$22,#REF!,2,FALSE))&gt;DATE($B$56,9,30),"",EOMONTH(G56,VLOOKUP($C$22,#REF!,2,FALSE))),IF(EOMONTH(G56,VLOOKUP($C$22,#REF!,2,FALSE)-1)+$C$21&gt;DATE($B$56,9,30),"",EOMONTH(G56,VLOOKUP($C$22,#REF!,2,FALSE)-1)+$C$21)))))</f>
        <v>#REF!</v>
      </c>
      <c r="H57" s="46" t="e">
        <f t="shared" si="14"/>
        <v>#REF!</v>
      </c>
      <c r="I57" s="47" t="e">
        <f>IF(G57="","",DATEDIF(E57,G57,"D")+1)</f>
        <v>#REF!</v>
      </c>
      <c r="J57" s="50" t="e">
        <f t="shared" ref="J57:J61" si="25">IF(G57&lt;&gt;"",IF($C$7="","",IF(J56="","",IF(J56&lt;=0,"",IF(J56=$C$9,J56-$C$9,J56-$C$8)))),"")</f>
        <v>#REF!</v>
      </c>
      <c r="K57" s="50" t="e">
        <f>IF(G57&lt;&gt;"",IF($C$14="","",IF(K56="","",IF(K56&lt;=0,"",IF(K56=$C$16,K56-$C$16,K56-$C$15)))),"")</f>
        <v>#REF!</v>
      </c>
      <c r="L57" s="82" t="e" cm="1">
        <f t="array" ref="L57">IF(AND(OR(J57=0,J57=""),OR(K57=0,K57="")),"",_xlfn.IFS($C$23&gt;=0.0035,0.003,$C$23&lt;0.0005,0,$C$23&lt;0.0035,$C$23-0.0005))</f>
        <v>#REF!</v>
      </c>
      <c r="M57" s="64" t="e">
        <f t="shared" si="23"/>
        <v>#REF!</v>
      </c>
      <c r="N57" s="65" t="e">
        <f t="shared" ref="N57:N61" si="26">IF(OR(K57="",K57=0),"",IF(G57="","",$C$8))</f>
        <v>#REF!</v>
      </c>
      <c r="O57" s="66" t="e">
        <f t="shared" si="24"/>
        <v>#REF!</v>
      </c>
      <c r="P57" s="106"/>
    </row>
    <row r="58" spans="2:16" s="14" customFormat="1" hidden="1" x14ac:dyDescent="0.4">
      <c r="B58" s="263"/>
      <c r="C58" s="266"/>
      <c r="D58" s="49" t="s">
        <v>34</v>
      </c>
      <c r="E58" s="73" t="e">
        <f t="shared" si="22"/>
        <v>#REF!</v>
      </c>
      <c r="F58" s="46" t="e">
        <f t="shared" si="19"/>
        <v>#REF!</v>
      </c>
      <c r="G58" s="102" t="e">
        <f>IF(G57="","",IF(G57+1&gt;DATE($B$56,9,30),"",IF(OR($C$21="",$C$22=""),"",IF($C$21="月末",IF(EOMONTH(G57,VLOOKUP($C$22,#REF!,2,FALSE))&gt;DATE($B$56,9,30),"",EOMONTH(G57,VLOOKUP($C$22,#REF!,2,FALSE))),IF(EOMONTH(G57,VLOOKUP($C$22,#REF!,2,FALSE)-1)+$C$21&gt;DATE($B$56,9,30),"",EOMONTH(G57,VLOOKUP($C$22,#REF!,2,FALSE)-1)+$C$21)))))</f>
        <v>#REF!</v>
      </c>
      <c r="H58" s="46" t="e">
        <f t="shared" si="14"/>
        <v>#REF!</v>
      </c>
      <c r="I58" s="47" t="e">
        <f t="shared" ref="I58:I60" si="27">IF(G58="","",DATEDIF(E58,G58,"D")+1)</f>
        <v>#REF!</v>
      </c>
      <c r="J58" s="50" t="e">
        <f t="shared" si="25"/>
        <v>#REF!</v>
      </c>
      <c r="K58" s="50" t="e">
        <f>IF(G58&lt;&gt;"",IF($C$14="","",IF(K57="","",IF(K57&lt;=0,"",IF(K57=$C$16,K57-$C$16,K57-$C$15)))),"")</f>
        <v>#REF!</v>
      </c>
      <c r="L58" s="82" t="e" cm="1">
        <f t="array" ref="L58">IF(AND(OR(J58=0,J58=""),OR(K58=0,K58="")),"",_xlfn.IFS($C$23&gt;=0.0035,0.003,$C$23&lt;0.0005,0,$C$23&lt;0.0035,$C$23-0.0005))</f>
        <v>#REF!</v>
      </c>
      <c r="M58" s="64" t="e">
        <f>IF(G58="","",IF(OR(K58="",K58=0),"",ROUNDDOWN(K58*(I58/365)*L58,0)))</f>
        <v>#REF!</v>
      </c>
      <c r="N58" s="65" t="e">
        <f t="shared" si="26"/>
        <v>#REF!</v>
      </c>
      <c r="O58" s="66" t="e">
        <f t="shared" si="24"/>
        <v>#REF!</v>
      </c>
      <c r="P58" s="106"/>
    </row>
    <row r="59" spans="2:16" s="14" customFormat="1" hidden="1" x14ac:dyDescent="0.4">
      <c r="B59" s="263"/>
      <c r="C59" s="266"/>
      <c r="D59" s="49" t="s">
        <v>35</v>
      </c>
      <c r="E59" s="73" t="e">
        <f t="shared" si="22"/>
        <v>#REF!</v>
      </c>
      <c r="F59" s="46" t="e">
        <f t="shared" si="19"/>
        <v>#REF!</v>
      </c>
      <c r="G59" s="102" t="e">
        <f>IF(G58="","",IF(G58+1&gt;DATE($B$56,9,30),"",IF(OR($C$21="",$C$22=""),"",IF($C$21="月末",IF(EOMONTH(G58,VLOOKUP($C$22,#REF!,2,FALSE))&gt;DATE($B$56,9,30),"",EOMONTH(G58,VLOOKUP($C$22,#REF!,2,FALSE))),IF(EOMONTH(G58,VLOOKUP($C$22,#REF!,2,FALSE)-1)+$C$21&gt;DATE($B$56,9,30),"",EOMONTH(G58,VLOOKUP($C$22,#REF!,2,FALSE)-1)+$C$21)))))</f>
        <v>#REF!</v>
      </c>
      <c r="H59" s="46" t="e">
        <f t="shared" si="14"/>
        <v>#REF!</v>
      </c>
      <c r="I59" s="47" t="e">
        <f t="shared" si="27"/>
        <v>#REF!</v>
      </c>
      <c r="J59" s="50" t="e">
        <f t="shared" si="25"/>
        <v>#REF!</v>
      </c>
      <c r="K59" s="50" t="e">
        <f>IF(G59&lt;&gt;"",IF($C$14="","",IF(K58="","",IF(K58&lt;=0,"",IF(K58=$C$16,K58-$C$16,K58-$C$15)))),"")</f>
        <v>#REF!</v>
      </c>
      <c r="L59" s="82" t="e" cm="1">
        <f t="array" ref="L59">IF(AND(OR(J59=0,J59=""),OR(K59=0,K59="")),"",_xlfn.IFS($C$23&gt;=0.0035,0.003,$C$23&lt;0.0005,0,$C$23&lt;0.0035,$C$23-0.0005))</f>
        <v>#REF!</v>
      </c>
      <c r="M59" s="64" t="e">
        <f t="shared" ref="M59:M60" si="28">IF(G59="","",IF(OR(K59="",K59=0),"",ROUNDDOWN(K59*(I59/365)*L59,0)))</f>
        <v>#REF!</v>
      </c>
      <c r="N59" s="65" t="e">
        <f t="shared" si="26"/>
        <v>#REF!</v>
      </c>
      <c r="O59" s="66" t="e">
        <f t="shared" si="24"/>
        <v>#REF!</v>
      </c>
      <c r="P59" s="106"/>
    </row>
    <row r="60" spans="2:16" s="14" customFormat="1" hidden="1" x14ac:dyDescent="0.4">
      <c r="B60" s="263"/>
      <c r="C60" s="266"/>
      <c r="D60" s="49" t="s">
        <v>36</v>
      </c>
      <c r="E60" s="73" t="e">
        <f t="shared" si="22"/>
        <v>#REF!</v>
      </c>
      <c r="F60" s="46" t="e">
        <f t="shared" si="19"/>
        <v>#REF!</v>
      </c>
      <c r="G60" s="102" t="e">
        <f>IF(G59="","",IF(G59+1&gt;DATE($B$56,9,30),"",IF(OR($C$21="",$C$22=""),"",IF($C$21="月末",IF(EOMONTH(G59,VLOOKUP($C$22,#REF!,2,FALSE))&gt;DATE($B$56,9,30),"",EOMONTH(G59,VLOOKUP($C$22,#REF!,2,FALSE))),IF(EOMONTH(G59,VLOOKUP($C$22,#REF!,2,FALSE)-1)+$C$21&gt;DATE($B$56,9,30),"",EOMONTH(G59,VLOOKUP($C$22,#REF!,2,FALSE)-1)+$C$21)))))</f>
        <v>#REF!</v>
      </c>
      <c r="H60" s="46" t="e">
        <f t="shared" si="14"/>
        <v>#REF!</v>
      </c>
      <c r="I60" s="47" t="e">
        <f t="shared" si="27"/>
        <v>#REF!</v>
      </c>
      <c r="J60" s="50" t="e">
        <f t="shared" si="25"/>
        <v>#REF!</v>
      </c>
      <c r="K60" s="50" t="e">
        <f>IF(G60&lt;&gt;"",IF($C$14="","",IF(K59="","",IF(K59&lt;=0,"",IF(K59=$C$16,K59-$C$16,K59-$C$15)))),"")</f>
        <v>#REF!</v>
      </c>
      <c r="L60" s="82" t="e" cm="1">
        <f t="array" ref="L60">IF(AND(OR(J60=0,J60=""),OR(K60=0,K60="")),"",_xlfn.IFS($C$23&gt;=0.0035,0.003,$C$23&lt;0.0005,0,$C$23&lt;0.0035,$C$23-0.0005))</f>
        <v>#REF!</v>
      </c>
      <c r="M60" s="64" t="e">
        <f t="shared" si="28"/>
        <v>#REF!</v>
      </c>
      <c r="N60" s="65" t="e">
        <f t="shared" si="26"/>
        <v>#REF!</v>
      </c>
      <c r="O60" s="66" t="e">
        <f t="shared" si="24"/>
        <v>#REF!</v>
      </c>
      <c r="P60" s="106"/>
    </row>
    <row r="61" spans="2:16" s="14" customFormat="1" ht="19.5" hidden="1" thickBot="1" x14ac:dyDescent="0.45">
      <c r="B61" s="263"/>
      <c r="C61" s="266"/>
      <c r="D61" s="51" t="s">
        <v>40</v>
      </c>
      <c r="E61" s="74" t="e">
        <f t="shared" si="22"/>
        <v>#REF!</v>
      </c>
      <c r="F61" s="52" t="e">
        <f t="shared" si="19"/>
        <v>#REF!</v>
      </c>
      <c r="G61" s="102" t="e">
        <f>IF(G60="","",IF(G60+1&gt;DATE($B$56,9,30),"",IF(OR($C$21="",$C$22=""),"",IF($C$21="月末",IF(EOMONTH(G60,VLOOKUP($C$22,#REF!,2,FALSE))&gt;DATE($B$56,9,30),"",EOMONTH(G60,VLOOKUP($C$22,#REF!,2,FALSE))),IF(EOMONTH(G60,VLOOKUP($C$22,#REF!,2,FALSE)-1)+$C$21&gt;DATE($B$56,9,30),"",EOMONTH(G60,VLOOKUP($C$22,#REF!,2,FALSE)-1)+$C$21)))))</f>
        <v>#REF!</v>
      </c>
      <c r="H61" s="52" t="e">
        <f t="shared" si="14"/>
        <v>#REF!</v>
      </c>
      <c r="I61" s="53" t="e">
        <f>IF(G61="","",DATEDIF(E61,G61,"D")+1)</f>
        <v>#REF!</v>
      </c>
      <c r="J61" s="50" t="e">
        <f t="shared" si="25"/>
        <v>#REF!</v>
      </c>
      <c r="K61" s="56" t="e">
        <f>IF(G61&lt;&gt;"",IF($C$14="","",IF(K60="","",IF(K60&lt;=0,"",IF(K60=$C$16,K60-$C$16,K60-$C$15)))),"")</f>
        <v>#REF!</v>
      </c>
      <c r="L61" s="82" t="e" cm="1">
        <f t="array" ref="L61">IF(AND(OR(J61=0,J61=""),OR(K61=0,K61="")),"",_xlfn.IFS($C$23&gt;=0.0035,0.003,$C$23&lt;0.0005,0,$C$23&lt;0.0035,$C$23-0.0005))</f>
        <v>#REF!</v>
      </c>
      <c r="M61" s="67" t="e">
        <f t="shared" ref="M61" si="29">IF(G61="","",IF(K61="","",ROUNDDOWN(K61*(I61/365)*L61,0)))</f>
        <v>#REF!</v>
      </c>
      <c r="N61" s="68" t="e">
        <f t="shared" si="26"/>
        <v>#REF!</v>
      </c>
      <c r="O61" s="69" t="e">
        <f t="shared" si="24"/>
        <v>#REF!</v>
      </c>
      <c r="P61" s="106"/>
    </row>
    <row r="62" spans="2:16" s="14" customFormat="1" ht="19.5" hidden="1" thickBot="1" x14ac:dyDescent="0.45">
      <c r="B62" s="264"/>
      <c r="C62" s="57" t="s">
        <v>10</v>
      </c>
      <c r="D62" s="58"/>
      <c r="E62" s="75" t="e" cm="1">
        <f t="array" ref="E62">_xlfn.SINGLE(IF(E56:E61&lt;&gt;"",MIN(E56:E61),""))</f>
        <v>#REF!</v>
      </c>
      <c r="F62" s="59" t="e">
        <f t="shared" si="19"/>
        <v>#REF!</v>
      </c>
      <c r="G62" s="75" t="e" cm="1">
        <f t="array" ref="G62">_xlfn.SINGLE(IF(G56:G61&lt;&gt;"",MAX(G56:G61),""))</f>
        <v>#REF!</v>
      </c>
      <c r="H62" s="59" t="e">
        <f t="shared" si="14"/>
        <v>#REF!</v>
      </c>
      <c r="I62" s="60" t="e">
        <f>SUM(I56:I61)</f>
        <v>#REF!</v>
      </c>
      <c r="J62" s="58"/>
      <c r="K62" s="58"/>
      <c r="L62" s="84"/>
      <c r="M62" s="70" t="e">
        <f>SUM(M56:M61)</f>
        <v>#REF!</v>
      </c>
      <c r="N62" s="71"/>
      <c r="O62" s="72"/>
      <c r="P62" s="106"/>
    </row>
    <row r="63" spans="2:16" s="14" customFormat="1" hidden="1" x14ac:dyDescent="0.4">
      <c r="B63" s="263"/>
      <c r="C63" s="267" t="s">
        <v>4</v>
      </c>
      <c r="D63" s="54" t="s">
        <v>9</v>
      </c>
      <c r="E63" s="73" t="e">
        <f t="shared" ref="E63:E68" si="30">IF(G62="","",IF(G63="","",IF(G62+1&gt;DATE($B$56+1,3,31),"",G62+1)))</f>
        <v>#REF!</v>
      </c>
      <c r="F63" s="46" t="e">
        <f t="shared" si="19"/>
        <v>#REF!</v>
      </c>
      <c r="G63" s="102" t="e">
        <f>IF(G62="","",IF(G62+1&gt;DATE($B$56+1,3,31),"",IF(OR($C$21="",$C$22=""),"",IF($C$21="月末",IF(EOMONTH(G62,VLOOKUP($C$22,#REF!,2,FALSE))&gt;DATE($B$56+1,3,31),"",EOMONTH(G62,VLOOKUP($C$22,#REF!,2,FALSE))),IF(EOMONTH(G62,VLOOKUP($C$22,#REF!,2,FALSE)-1)+$C$21&gt;DATE($B$56+1,3,31),"",EOMONTH(G62,VLOOKUP($C$22,#REF!,2,FALSE)-1)+$C$21)))))</f>
        <v>#REF!</v>
      </c>
      <c r="H63" s="46" t="e">
        <f>IF(G63="","",TEXT(G63,"aaa"))</f>
        <v>#REF!</v>
      </c>
      <c r="I63" s="47" t="e">
        <f>IF(G63="","",DATEDIF(E63,G63,"D")+1)</f>
        <v>#REF!</v>
      </c>
      <c r="J63" s="50" t="e" cm="1">
        <f t="array" ref="J63">_xlfn.SINGLE(IF(G63&lt;&gt;"",IF($C$7="","",IF(J56:J61&lt;&gt;"",IF(MIN(J56:J61)&lt;=0,"",IF(MIN(J56:J61)=$C$9,MIN(J56:J61)-$C$9,MIN(J56:J61)-$C$8)),"")),""))</f>
        <v>#REF!</v>
      </c>
      <c r="K63" s="50" t="e" cm="1">
        <f t="array" ref="K63">_xlfn.SINGLE(IF($C$14="","",IF(K56:K61&lt;&gt;"",IF(MIN(K56:K61)&lt;=0,"",IF(MIN(K56:K61)=$C$16,MIN(K56:K61)-$C$16,MIN(K56:K61)-$C$15)),"")))</f>
        <v>#REF!</v>
      </c>
      <c r="L63" s="85" t="e" cm="1">
        <f t="array" ref="L63">IF(AND(OR(J63=0,J63=""),OR(K63=0,K63="")),"",_xlfn.IFS($C$23&gt;=0.0035,0.003,$C$23&lt;0.0005,0,$C$23&lt;0.0035,$C$23-0.0005))</f>
        <v>#REF!</v>
      </c>
      <c r="M63" s="61" t="e">
        <f t="shared" ref="M63:M64" si="31">IF(G63="","",IF(OR(K63="",K63=0),"",ROUNDDOWN(K63*(I63/365)*L63,0)))</f>
        <v>#REF!</v>
      </c>
      <c r="N63" s="62" t="e">
        <f>IF(OR(K63="",K63=0),"",IF(G63="","",$C$8))</f>
        <v>#REF!</v>
      </c>
      <c r="O63" s="63" t="e">
        <f t="shared" ref="O63:O68" si="32">IF(OR(K63="",K63=0),"",IF(G63="","",$C$15))</f>
        <v>#REF!</v>
      </c>
      <c r="P63" s="106"/>
    </row>
    <row r="64" spans="2:16" s="14" customFormat="1" hidden="1" x14ac:dyDescent="0.4">
      <c r="B64" s="263"/>
      <c r="C64" s="266"/>
      <c r="D64" s="49" t="s">
        <v>8</v>
      </c>
      <c r="E64" s="73" t="e">
        <f t="shared" si="30"/>
        <v>#REF!</v>
      </c>
      <c r="F64" s="46" t="e">
        <f t="shared" si="19"/>
        <v>#REF!</v>
      </c>
      <c r="G64" s="102" t="e">
        <f>IF(G63="","",IF(G63+1&gt;DATE($B$56+1,3,31),"",IF(OR($C$21="",$C$22=""),"",IF($C$21="月末",IF(EOMONTH(G63,VLOOKUP($C$22,#REF!,2,FALSE))&gt;DATE($B$56+1,3,31),"",EOMONTH(G63,VLOOKUP($C$22,#REF!,2,FALSE))),IF(EOMONTH(G63,VLOOKUP($C$22,#REF!,2,FALSE)-1)+$C$21&gt;DATE($B$56+1,3,31),"",EOMONTH(G63,VLOOKUP($C$22,#REF!,2,FALSE)-1)+$C$21)))))</f>
        <v>#REF!</v>
      </c>
      <c r="H64" s="46" t="e">
        <f t="shared" ref="H64:H76" si="33">IF(G64="","",TEXT(G64,"aaa"))</f>
        <v>#REF!</v>
      </c>
      <c r="I64" s="47" t="e">
        <f>IF(G64="","",DATEDIF(E64,G64,"D")+1)</f>
        <v>#REF!</v>
      </c>
      <c r="J64" s="50" t="e">
        <f t="shared" ref="J64:J68" si="34">IF(G64&lt;&gt;"",IF($C$7="","",IF(J63="","",IF(J63&lt;=0,"",IF(J63=$C$9,J63-$C$9,J63-$C$8)))),"")</f>
        <v>#REF!</v>
      </c>
      <c r="K64" s="50" t="e">
        <f>IF(G64&lt;&gt;"",IF($C$14="","",IF(K63="","",IF(K63&lt;=0,"",IF(K63=$C$16,K63-$C$16,K63-$C$15)))),"")</f>
        <v>#REF!</v>
      </c>
      <c r="L64" s="82" t="e" cm="1">
        <f t="array" ref="L64">IF(AND(OR(J64=0,J64=""),OR(K64=0,K64="")),"",_xlfn.IFS($C$23&gt;=0.0035,0.003,$C$23&lt;0.0005,0,$C$23&lt;0.0035,$C$23-0.0005))</f>
        <v>#REF!</v>
      </c>
      <c r="M64" s="64" t="e">
        <f t="shared" si="31"/>
        <v>#REF!</v>
      </c>
      <c r="N64" s="65" t="e">
        <f t="shared" ref="N64:N68" si="35">IF(OR(K64="",K64=0),"",IF(G64="","",$C$8))</f>
        <v>#REF!</v>
      </c>
      <c r="O64" s="66" t="e">
        <f t="shared" si="32"/>
        <v>#REF!</v>
      </c>
      <c r="P64" s="106"/>
    </row>
    <row r="65" spans="2:16" s="14" customFormat="1" hidden="1" x14ac:dyDescent="0.4">
      <c r="B65" s="263"/>
      <c r="C65" s="266"/>
      <c r="D65" s="49" t="s">
        <v>37</v>
      </c>
      <c r="E65" s="73" t="e">
        <f t="shared" si="30"/>
        <v>#REF!</v>
      </c>
      <c r="F65" s="46" t="e">
        <f t="shared" si="19"/>
        <v>#REF!</v>
      </c>
      <c r="G65" s="102" t="e">
        <f>IF(G64="","",IF(G64+1&gt;DATE($B$56+1,3,31),"",IF(OR($C$21="",$C$22=""),"",IF($C$21="月末",IF(EOMONTH(G64,VLOOKUP($C$22,#REF!,2,FALSE))&gt;DATE($B$56+1,3,31),"",EOMONTH(G64,VLOOKUP($C$22,#REF!,2,FALSE))),IF(EOMONTH(G64,VLOOKUP($C$22,#REF!,2,FALSE)-1)+$C$21&gt;DATE($B$56+1,3,31),"",EOMONTH(G64,VLOOKUP($C$22,#REF!,2,FALSE)-1)+$C$21)))))</f>
        <v>#REF!</v>
      </c>
      <c r="H65" s="46" t="e">
        <f t="shared" si="33"/>
        <v>#REF!</v>
      </c>
      <c r="I65" s="47" t="e">
        <f t="shared" ref="I65:I67" si="36">IF(G65="","",DATEDIF(E65,G65,"D")+1)</f>
        <v>#REF!</v>
      </c>
      <c r="J65" s="50" t="e">
        <f t="shared" si="34"/>
        <v>#REF!</v>
      </c>
      <c r="K65" s="50" t="e">
        <f>IF(G65&lt;&gt;"",IF($C$14="","",IF(K64="","",IF(K64&lt;=0,"",IF(K64=$C$16,K64-$C$16,K64-$C$15)))),"")</f>
        <v>#REF!</v>
      </c>
      <c r="L65" s="82" t="e" cm="1">
        <f t="array" ref="L65">IF(AND(OR(J65=0,J65=""),OR(K65=0,K65="")),"",_xlfn.IFS($C$23&gt;=0.0035,0.003,$C$23&lt;0.0005,0,$C$23&lt;0.0035,$C$23-0.0005))</f>
        <v>#REF!</v>
      </c>
      <c r="M65" s="64" t="e">
        <f>IF(G65="","",IF(OR(K65="",K65=0),"",ROUNDDOWN(K65*(I65/365)*L65,0)))</f>
        <v>#REF!</v>
      </c>
      <c r="N65" s="65" t="e">
        <f t="shared" si="35"/>
        <v>#REF!</v>
      </c>
      <c r="O65" s="66" t="e">
        <f t="shared" si="32"/>
        <v>#REF!</v>
      </c>
      <c r="P65" s="106"/>
    </row>
    <row r="66" spans="2:16" s="14" customFormat="1" hidden="1" x14ac:dyDescent="0.4">
      <c r="B66" s="263"/>
      <c r="C66" s="266"/>
      <c r="D66" s="49" t="s">
        <v>38</v>
      </c>
      <c r="E66" s="73" t="e">
        <f t="shared" si="30"/>
        <v>#REF!</v>
      </c>
      <c r="F66" s="46" t="e">
        <f t="shared" si="19"/>
        <v>#REF!</v>
      </c>
      <c r="G66" s="102" t="e">
        <f>IF(G65="","",IF(G65+1&gt;DATE($B$56+1,3,31),"",IF(OR($C$21="",$C$22=""),"",IF($C$21="月末",IF(EOMONTH(G65,VLOOKUP($C$22,#REF!,2,FALSE))&gt;DATE($B$56+1,3,31),"",EOMONTH(G65,VLOOKUP($C$22,#REF!,2,FALSE))),IF(EOMONTH(G65,VLOOKUP($C$22,#REF!,2,FALSE)-1)+$C$21&gt;DATE($B$56+1,3,31),"",EOMONTH(G65,VLOOKUP($C$22,#REF!,2,FALSE)-1)+$C$21)))))</f>
        <v>#REF!</v>
      </c>
      <c r="H66" s="46" t="e">
        <f t="shared" si="33"/>
        <v>#REF!</v>
      </c>
      <c r="I66" s="47" t="e">
        <f t="shared" si="36"/>
        <v>#REF!</v>
      </c>
      <c r="J66" s="50" t="e">
        <f t="shared" si="34"/>
        <v>#REF!</v>
      </c>
      <c r="K66" s="50" t="e">
        <f>IF(G66&lt;&gt;"",IF($C$14="","",IF(K65="","",IF(K65&lt;=0,"",IF(K65=$C$16,K65-$C$16,K65-$C$15)))),"")</f>
        <v>#REF!</v>
      </c>
      <c r="L66" s="82" t="e" cm="1">
        <f t="array" ref="L66">IF(AND(OR(J66=0,J66=""),OR(K66=0,K66="")),"",_xlfn.IFS($C$23&gt;=0.0035,0.003,$C$23&lt;0.0005,0,$C$23&lt;0.0035,$C$23-0.0005))</f>
        <v>#REF!</v>
      </c>
      <c r="M66" s="64" t="e">
        <f t="shared" ref="M66:M67" si="37">IF(G66="","",IF(OR(K66="",K66=0),"",ROUNDDOWN(K66*(I66/365)*L66,0)))</f>
        <v>#REF!</v>
      </c>
      <c r="N66" s="65" t="e">
        <f t="shared" si="35"/>
        <v>#REF!</v>
      </c>
      <c r="O66" s="66" t="e">
        <f t="shared" si="32"/>
        <v>#REF!</v>
      </c>
      <c r="P66" s="106"/>
    </row>
    <row r="67" spans="2:16" s="14" customFormat="1" hidden="1" x14ac:dyDescent="0.4">
      <c r="B67" s="263"/>
      <c r="C67" s="266"/>
      <c r="D67" s="49" t="s">
        <v>39</v>
      </c>
      <c r="E67" s="73" t="e">
        <f t="shared" si="30"/>
        <v>#REF!</v>
      </c>
      <c r="F67" s="46" t="e">
        <f t="shared" si="19"/>
        <v>#REF!</v>
      </c>
      <c r="G67" s="102" t="e">
        <f>IF(G66="","",IF(G66+1&gt;DATE($B$56+1,3,31),"",IF(OR($C$21="",$C$22=""),"",IF($C$21="月末",IF(EOMONTH(G66,VLOOKUP($C$22,#REF!,2,FALSE))&gt;DATE($B$56+1,3,31),"",EOMONTH(G66,VLOOKUP($C$22,#REF!,2,FALSE))),IF(EOMONTH(G66,VLOOKUP($C$22,#REF!,2,FALSE)-1)+$C$21&gt;DATE($B$56+1,3,31),"",EOMONTH(G66,VLOOKUP($C$22,#REF!,2,FALSE)-1)+$C$21)))))</f>
        <v>#REF!</v>
      </c>
      <c r="H67" s="46" t="e">
        <f t="shared" si="33"/>
        <v>#REF!</v>
      </c>
      <c r="I67" s="47" t="e">
        <f t="shared" si="36"/>
        <v>#REF!</v>
      </c>
      <c r="J67" s="50" t="e">
        <f t="shared" si="34"/>
        <v>#REF!</v>
      </c>
      <c r="K67" s="50" t="e">
        <f>IF(G67&lt;&gt;"",IF($C$14="","",IF(K66="","",IF(K66&lt;=0,"",IF(K66=$C$16,K66-$C$16,K66-$C$15)))),"")</f>
        <v>#REF!</v>
      </c>
      <c r="L67" s="82" t="e" cm="1">
        <f t="array" ref="L67">IF(AND(OR(J67=0,J67=""),OR(K67=0,K67="")),"",_xlfn.IFS($C$23&gt;=0.0035,0.003,$C$23&lt;0.0005,0,$C$23&lt;0.0035,$C$23-0.0005))</f>
        <v>#REF!</v>
      </c>
      <c r="M67" s="64" t="e">
        <f t="shared" si="37"/>
        <v>#REF!</v>
      </c>
      <c r="N67" s="65" t="e">
        <f t="shared" si="35"/>
        <v>#REF!</v>
      </c>
      <c r="O67" s="66" t="e">
        <f t="shared" si="32"/>
        <v>#REF!</v>
      </c>
      <c r="P67" s="106"/>
    </row>
    <row r="68" spans="2:16" s="14" customFormat="1" ht="19.5" hidden="1" thickBot="1" x14ac:dyDescent="0.45">
      <c r="B68" s="263"/>
      <c r="C68" s="266"/>
      <c r="D68" s="51" t="s">
        <v>41</v>
      </c>
      <c r="E68" s="74" t="e">
        <f t="shared" si="30"/>
        <v>#REF!</v>
      </c>
      <c r="F68" s="52" t="e">
        <f t="shared" si="19"/>
        <v>#REF!</v>
      </c>
      <c r="G68" s="102" t="e">
        <f>IF(G67="","",IF(G67+1&gt;DATE($B$56+1,3,31),"",IF(OR($C$21="",$C$22=""),"",IF($C$21="月末",IF(EOMONTH(G67,VLOOKUP($C$22,#REF!,2,FALSE))&gt;DATE($B$56+1,3,31),"",EOMONTH(G67,VLOOKUP($C$22,#REF!,2,FALSE))),IF(EOMONTH(G67,VLOOKUP($C$22,#REF!,2,FALSE)-1)+$C$21&gt;DATE($B$56+1,3,31),"",EOMONTH(G67,VLOOKUP($C$22,#REF!,2,FALSE)-1)+$C$21)))))</f>
        <v>#REF!</v>
      </c>
      <c r="H68" s="52" t="e">
        <f t="shared" si="33"/>
        <v>#REF!</v>
      </c>
      <c r="I68" s="53" t="e">
        <f>IF(G68="","",DATEDIF(E68,G68,"D")+1)</f>
        <v>#REF!</v>
      </c>
      <c r="J68" s="50" t="e">
        <f t="shared" si="34"/>
        <v>#REF!</v>
      </c>
      <c r="K68" s="50" t="e">
        <f>IF(G68&lt;&gt;"",IF($C$14="","",IF(K67="","",IF(K67&lt;=0,"",IF(K67=$C$16,K67-$C$16,K67-$C$15)))),"")</f>
        <v>#REF!</v>
      </c>
      <c r="L68" s="83" t="e" cm="1">
        <f t="array" ref="L68">IF(AND(OR(J68=0,J68=""),OR(K68=0,K68="")),"",_xlfn.IFS($C$23&gt;=0.0035,0.003,$C$23&lt;0.0005,0,$C$23&lt;0.0035,$C$23-0.0005))</f>
        <v>#REF!</v>
      </c>
      <c r="M68" s="67" t="e">
        <f t="shared" ref="M68" si="38">IF(G68="","",IF(K68="","",ROUNDDOWN(K68*(I68/365)*L68,0)))</f>
        <v>#REF!</v>
      </c>
      <c r="N68" s="68" t="e">
        <f t="shared" si="35"/>
        <v>#REF!</v>
      </c>
      <c r="O68" s="69" t="e">
        <f t="shared" si="32"/>
        <v>#REF!</v>
      </c>
      <c r="P68" s="106"/>
    </row>
    <row r="69" spans="2:16" s="14" customFormat="1" ht="19.5" hidden="1" thickBot="1" x14ac:dyDescent="0.45">
      <c r="B69" s="265"/>
      <c r="C69" s="57" t="s">
        <v>10</v>
      </c>
      <c r="D69" s="58"/>
      <c r="E69" s="75" t="e" cm="1">
        <f t="array" ref="E69">_xlfn.SINGLE(IF(E63:E68&lt;&gt;"",MIN(E63:E68),""))</f>
        <v>#REF!</v>
      </c>
      <c r="F69" s="59" t="e">
        <f t="shared" si="19"/>
        <v>#REF!</v>
      </c>
      <c r="G69" s="75" t="e" cm="1">
        <f t="array" ref="G69">_xlfn.SINGLE(IF(G63:G68&lt;&gt;"",MAX(G63:G68),""))</f>
        <v>#REF!</v>
      </c>
      <c r="H69" s="59" t="e">
        <f t="shared" si="33"/>
        <v>#REF!</v>
      </c>
      <c r="I69" s="60" t="e">
        <f>SUM(I63:I68)</f>
        <v>#REF!</v>
      </c>
      <c r="J69" s="58"/>
      <c r="K69" s="58"/>
      <c r="L69" s="84"/>
      <c r="M69" s="70" t="e">
        <f>SUM(M63:M68)</f>
        <v>#REF!</v>
      </c>
      <c r="N69" s="71"/>
      <c r="O69" s="72"/>
      <c r="P69" s="106"/>
    </row>
    <row r="70" spans="2:16" s="14" customFormat="1" hidden="1" x14ac:dyDescent="0.4">
      <c r="B70" s="262">
        <f t="shared" ref="B70" si="39">B56+1</f>
        <v>2028</v>
      </c>
      <c r="C70" s="266" t="s">
        <v>3</v>
      </c>
      <c r="D70" s="45" t="s">
        <v>6</v>
      </c>
      <c r="E70" s="73" t="e">
        <f t="shared" ref="E70:E75" si="40">IF(G69="","",IF(G70="","",IF(G69+1&gt;DATE($B$70+1,3,31),"",G69+1)))</f>
        <v>#REF!</v>
      </c>
      <c r="F70" s="46" t="e">
        <f t="shared" si="19"/>
        <v>#REF!</v>
      </c>
      <c r="G70" s="102" t="e">
        <f>IF(G69="","",IF(G69+1&gt;DATE($B$70,9,30),"",IF(OR($C$21="",$C$22=""),"",IF($C$21="月末",IF(EOMONTH(G69,VLOOKUP($C$22,#REF!,2,FALSE))&gt;DATE($B$70,9,30),"",EOMONTH(G69,VLOOKUP($C$22,#REF!,2,FALSE))),IF(EOMONTH(G69,VLOOKUP($C$22,#REF!,2,FALSE)-1)+$C$21&gt;DATE($B$70,9,30),"",EOMONTH(G69,VLOOKUP($C$22,#REF!,2,FALSE)-1)+$C$21)))))</f>
        <v>#REF!</v>
      </c>
      <c r="H70" s="46" t="e">
        <f t="shared" si="33"/>
        <v>#REF!</v>
      </c>
      <c r="I70" s="47" t="e">
        <f>IF(G70="","",DATEDIF(E70,G70,"D")+1)</f>
        <v>#REF!</v>
      </c>
      <c r="J70" s="50" t="e" cm="1">
        <f t="array" ref="J70">_xlfn.SINGLE(IF(G70&lt;&gt;"",IF($C$7="","",IF(J63:J68&lt;&gt;"",IF(MIN(J63:J68)&lt;=0,"",IF(MIN(J63:J68)=$C$9,MIN(J63:J68)-$C$9,MIN(J63:J68)-$C$8)),"")),""))</f>
        <v>#REF!</v>
      </c>
      <c r="K70" s="50" t="e" cm="1">
        <f t="array" ref="K70">_xlfn.SINGLE(IF($C$14="","",IF(K63:K68&lt;&gt;"",IF(MIN(K63:K68)&lt;=0,"",IF(MIN(K63:K68)=$C$16,MIN(K63:K68)-$C$16,MIN(K63:K68)-$C$15)),"")))</f>
        <v>#REF!</v>
      </c>
      <c r="L70" s="82" t="e" cm="1">
        <f t="array" ref="L70">IF(AND(OR(J70=0,J70=""),OR(K70=0,K70="")),"",_xlfn.IFS($C$23&gt;=0.0035,0.003,$C$23&lt;0.0005,0,$C$23&lt;0.0035,$C$23-0.0005))</f>
        <v>#REF!</v>
      </c>
      <c r="M70" s="61" t="e">
        <f t="shared" ref="M70:M71" si="41">IF(G70="","",IF(OR(K70="",K70=0),"",ROUNDDOWN(K70*(I70/365)*L70,0)))</f>
        <v>#REF!</v>
      </c>
      <c r="N70" s="62" t="e">
        <f>IF(OR(K70="",K70=0),"",IF(G70="","",$C$8))</f>
        <v>#REF!</v>
      </c>
      <c r="O70" s="63" t="e">
        <f t="shared" ref="O70:O75" si="42">IF(OR(K70="",K70=0),"",IF(G70="","",$C$15))</f>
        <v>#REF!</v>
      </c>
      <c r="P70" s="106"/>
    </row>
    <row r="71" spans="2:16" s="14" customFormat="1" hidden="1" x14ac:dyDescent="0.4">
      <c r="B71" s="263"/>
      <c r="C71" s="266"/>
      <c r="D71" s="49" t="s">
        <v>7</v>
      </c>
      <c r="E71" s="73" t="e">
        <f t="shared" si="40"/>
        <v>#REF!</v>
      </c>
      <c r="F71" s="46" t="e">
        <f t="shared" si="19"/>
        <v>#REF!</v>
      </c>
      <c r="G71" s="102" t="e">
        <f>IF(G70="","",IF(G70+1&gt;DATE($B$70,9,30),"",IF(OR($C$21="",$C$22=""),"",IF($C$21="月末",IF(EOMONTH(G70,VLOOKUP($C$22,#REF!,2,FALSE))&gt;DATE($B$70,9,30),"",EOMONTH(G70,VLOOKUP($C$22,#REF!,2,FALSE))),IF(EOMONTH(G70,VLOOKUP($C$22,#REF!,2,FALSE)-1)+$C$21&gt;DATE($B$70,9,30),"",EOMONTH(G70,VLOOKUP($C$22,#REF!,2,FALSE)-1)+$C$21)))))</f>
        <v>#REF!</v>
      </c>
      <c r="H71" s="46" t="e">
        <f t="shared" si="33"/>
        <v>#REF!</v>
      </c>
      <c r="I71" s="47" t="e">
        <f>IF(G71="","",DATEDIF(E71,G71,"D")+1)</f>
        <v>#REF!</v>
      </c>
      <c r="J71" s="50" t="e">
        <f t="shared" ref="J71:J75" si="43">IF(G71&lt;&gt;"",IF($C$7="","",IF(J70="","",IF(J70&lt;=0,"",IF(J70=$C$9,J70-$C$9,J70-$C$8)))),"")</f>
        <v>#REF!</v>
      </c>
      <c r="K71" s="50" t="e">
        <f>IF(G71&lt;&gt;"",IF($C$14="","",IF(K70="","",IF(K70&lt;=0,"",IF(K70=$C$16,K70-$C$16,K70-$C$15)))),"")</f>
        <v>#REF!</v>
      </c>
      <c r="L71" s="82" t="e" cm="1">
        <f t="array" ref="L71">IF(AND(OR(J71=0,J71=""),OR(K71=0,K71="")),"",_xlfn.IFS($C$23&gt;=0.0035,0.003,$C$23&lt;0.0005,0,$C$23&lt;0.0035,$C$23-0.0005))</f>
        <v>#REF!</v>
      </c>
      <c r="M71" s="64" t="e">
        <f t="shared" si="41"/>
        <v>#REF!</v>
      </c>
      <c r="N71" s="65" t="e">
        <f t="shared" ref="N71:N75" si="44">IF(OR(K71="",K71=0),"",IF(G71="","",$C$8))</f>
        <v>#REF!</v>
      </c>
      <c r="O71" s="66" t="e">
        <f t="shared" si="42"/>
        <v>#REF!</v>
      </c>
      <c r="P71" s="106"/>
    </row>
    <row r="72" spans="2:16" s="14" customFormat="1" hidden="1" x14ac:dyDescent="0.4">
      <c r="B72" s="263"/>
      <c r="C72" s="266"/>
      <c r="D72" s="49" t="s">
        <v>34</v>
      </c>
      <c r="E72" s="73" t="e">
        <f t="shared" si="40"/>
        <v>#REF!</v>
      </c>
      <c r="F72" s="46" t="e">
        <f t="shared" si="19"/>
        <v>#REF!</v>
      </c>
      <c r="G72" s="102" t="e">
        <f>IF(G71="","",IF(G71+1&gt;DATE($B$70,9,30),"",IF(OR($C$21="",$C$22=""),"",IF($C$21="月末",IF(EOMONTH(G71,VLOOKUP($C$22,#REF!,2,FALSE))&gt;DATE($B$70,9,30),"",EOMONTH(G71,VLOOKUP($C$22,#REF!,2,FALSE))),IF(EOMONTH(G71,VLOOKUP($C$22,#REF!,2,FALSE)-1)+$C$21&gt;DATE($B$70,9,30),"",EOMONTH(G71,VLOOKUP($C$22,#REF!,2,FALSE)-1)+$C$21)))))</f>
        <v>#REF!</v>
      </c>
      <c r="H72" s="46" t="e">
        <f t="shared" si="33"/>
        <v>#REF!</v>
      </c>
      <c r="I72" s="47" t="e">
        <f t="shared" ref="I72:I74" si="45">IF(G72="","",DATEDIF(E72,G72,"D")+1)</f>
        <v>#REF!</v>
      </c>
      <c r="J72" s="50" t="e">
        <f t="shared" si="43"/>
        <v>#REF!</v>
      </c>
      <c r="K72" s="50" t="e">
        <f>IF(G72&lt;&gt;"",IF($C$14="","",IF(K71="","",IF(K71&lt;=0,"",IF(K71=$C$16,K71-$C$16,K71-$C$15)))),"")</f>
        <v>#REF!</v>
      </c>
      <c r="L72" s="82" t="e" cm="1">
        <f t="array" ref="L72">IF(AND(OR(J72=0,J72=""),OR(K72=0,K72="")),"",_xlfn.IFS($C$23&gt;=0.0035,0.003,$C$23&lt;0.0005,0,$C$23&lt;0.0035,$C$23-0.0005))</f>
        <v>#REF!</v>
      </c>
      <c r="M72" s="64" t="e">
        <f>IF(G72="","",IF(OR(K72="",K72=0),"",ROUNDDOWN(K72*(I72/365)*L72,0)))</f>
        <v>#REF!</v>
      </c>
      <c r="N72" s="65" t="e">
        <f t="shared" si="44"/>
        <v>#REF!</v>
      </c>
      <c r="O72" s="66" t="e">
        <f t="shared" si="42"/>
        <v>#REF!</v>
      </c>
      <c r="P72" s="106"/>
    </row>
    <row r="73" spans="2:16" s="14" customFormat="1" hidden="1" x14ac:dyDescent="0.4">
      <c r="B73" s="263"/>
      <c r="C73" s="266"/>
      <c r="D73" s="49" t="s">
        <v>35</v>
      </c>
      <c r="E73" s="73" t="e">
        <f t="shared" si="40"/>
        <v>#REF!</v>
      </c>
      <c r="F73" s="46" t="e">
        <f t="shared" si="19"/>
        <v>#REF!</v>
      </c>
      <c r="G73" s="102" t="e">
        <f>IF(G72="","",IF(G72+1&gt;DATE($B$70,9,30),"",IF(OR($C$21="",$C$22=""),"",IF($C$21="月末",IF(EOMONTH(G72,VLOOKUP($C$22,#REF!,2,FALSE))&gt;DATE($B$70,9,30),"",EOMONTH(G72,VLOOKUP($C$22,#REF!,2,FALSE))),IF(EOMONTH(G72,VLOOKUP($C$22,#REF!,2,FALSE)-1)+$C$21&gt;DATE($B$70,9,30),"",EOMONTH(G72,VLOOKUP($C$22,#REF!,2,FALSE)-1)+$C$21)))))</f>
        <v>#REF!</v>
      </c>
      <c r="H73" s="46" t="e">
        <f t="shared" si="33"/>
        <v>#REF!</v>
      </c>
      <c r="I73" s="47" t="e">
        <f t="shared" si="45"/>
        <v>#REF!</v>
      </c>
      <c r="J73" s="50" t="e">
        <f t="shared" si="43"/>
        <v>#REF!</v>
      </c>
      <c r="K73" s="50" t="e">
        <f>IF(G73&lt;&gt;"",IF($C$14="","",IF(K72="","",IF(K72&lt;=0,"",IF(K72=$C$16,K72-$C$16,K72-$C$15)))),"")</f>
        <v>#REF!</v>
      </c>
      <c r="L73" s="82" t="e" cm="1">
        <f t="array" ref="L73">IF(AND(OR(J73=0,J73=""),OR(K73=0,K73="")),"",_xlfn.IFS($C$23&gt;=0.0035,0.003,$C$23&lt;0.0005,0,$C$23&lt;0.0035,$C$23-0.0005))</f>
        <v>#REF!</v>
      </c>
      <c r="M73" s="64" t="e">
        <f t="shared" ref="M73:M74" si="46">IF(G73="","",IF(OR(K73="",K73=0),"",ROUNDDOWN(K73*(I73/365)*L73,0)))</f>
        <v>#REF!</v>
      </c>
      <c r="N73" s="65" t="e">
        <f t="shared" si="44"/>
        <v>#REF!</v>
      </c>
      <c r="O73" s="66" t="e">
        <f t="shared" si="42"/>
        <v>#REF!</v>
      </c>
      <c r="P73" s="106"/>
    </row>
    <row r="74" spans="2:16" s="14" customFormat="1" hidden="1" x14ac:dyDescent="0.4">
      <c r="B74" s="263"/>
      <c r="C74" s="266"/>
      <c r="D74" s="49" t="s">
        <v>36</v>
      </c>
      <c r="E74" s="73" t="e">
        <f t="shared" si="40"/>
        <v>#REF!</v>
      </c>
      <c r="F74" s="46" t="e">
        <f t="shared" si="19"/>
        <v>#REF!</v>
      </c>
      <c r="G74" s="102" t="e">
        <f>IF(G73="","",IF(G73+1&gt;DATE($B$70,9,30),"",IF(OR($C$21="",$C$22=""),"",IF($C$21="月末",IF(EOMONTH(G73,VLOOKUP($C$22,#REF!,2,FALSE))&gt;DATE($B$70,9,30),"",EOMONTH(G73,VLOOKUP($C$22,#REF!,2,FALSE))),IF(EOMONTH(G73,VLOOKUP($C$22,#REF!,2,FALSE)-1)+$C$21&gt;DATE($B$70,9,30),"",EOMONTH(G73,VLOOKUP($C$22,#REF!,2,FALSE)-1)+$C$21)))))</f>
        <v>#REF!</v>
      </c>
      <c r="H74" s="46" t="e">
        <f t="shared" si="33"/>
        <v>#REF!</v>
      </c>
      <c r="I74" s="47" t="e">
        <f t="shared" si="45"/>
        <v>#REF!</v>
      </c>
      <c r="J74" s="50" t="e">
        <f t="shared" si="43"/>
        <v>#REF!</v>
      </c>
      <c r="K74" s="50" t="e">
        <f>IF(G74&lt;&gt;"",IF($C$14="","",IF(K73="","",IF(K73&lt;=0,"",IF(K73=$C$16,K73-$C$16,K73-$C$15)))),"")</f>
        <v>#REF!</v>
      </c>
      <c r="L74" s="82" t="e" cm="1">
        <f t="array" ref="L74">IF(AND(OR(J74=0,J74=""),OR(K74=0,K74="")),"",_xlfn.IFS($C$23&gt;=0.0035,0.003,$C$23&lt;0.0005,0,$C$23&lt;0.0035,$C$23-0.0005))</f>
        <v>#REF!</v>
      </c>
      <c r="M74" s="64" t="e">
        <f t="shared" si="46"/>
        <v>#REF!</v>
      </c>
      <c r="N74" s="65" t="e">
        <f t="shared" si="44"/>
        <v>#REF!</v>
      </c>
      <c r="O74" s="66" t="e">
        <f t="shared" si="42"/>
        <v>#REF!</v>
      </c>
      <c r="P74" s="106"/>
    </row>
    <row r="75" spans="2:16" s="14" customFormat="1" ht="19.5" hidden="1" thickBot="1" x14ac:dyDescent="0.45">
      <c r="B75" s="263"/>
      <c r="C75" s="266"/>
      <c r="D75" s="51" t="s">
        <v>40</v>
      </c>
      <c r="E75" s="74" t="e">
        <f t="shared" si="40"/>
        <v>#REF!</v>
      </c>
      <c r="F75" s="52" t="e">
        <f t="shared" si="19"/>
        <v>#REF!</v>
      </c>
      <c r="G75" s="102" t="e">
        <f>IF(G74="","",IF(G74+1&gt;DATE($B$70,9,30),"",IF(OR($C$21="",$C$22=""),"",IF($C$21="月末",IF(EOMONTH(G74,VLOOKUP($C$22,#REF!,2,FALSE))&gt;DATE($B$70,9,30),"",EOMONTH(G74,VLOOKUP($C$22,#REF!,2,FALSE))),IF(EOMONTH(G74,VLOOKUP($C$22,#REF!,2,FALSE)-1)+$C$21&gt;DATE($B$70,9,30),"",EOMONTH(G74,VLOOKUP($C$22,#REF!,2,FALSE)-1)+$C$21)))))</f>
        <v>#REF!</v>
      </c>
      <c r="H75" s="52" t="e">
        <f t="shared" si="33"/>
        <v>#REF!</v>
      </c>
      <c r="I75" s="53" t="e">
        <f>IF(G75="","",DATEDIF(E75,G75,"D")+1)</f>
        <v>#REF!</v>
      </c>
      <c r="J75" s="50" t="e">
        <f t="shared" si="43"/>
        <v>#REF!</v>
      </c>
      <c r="K75" s="50" t="e">
        <f>IF(G75&lt;&gt;"",IF($C$14="","",IF(K74="","",IF(K74&lt;=0,"",IF(K74=$C$16,K74-$C$16,K74-$C$15)))),"")</f>
        <v>#REF!</v>
      </c>
      <c r="L75" s="83" t="e" cm="1">
        <f t="array" ref="L75">IF(AND(OR(J75=0,J75=""),OR(K75=0,K75="")),"",_xlfn.IFS($C$23&gt;=0.0035,0.003,$C$23&lt;0.0005,0,$C$23&lt;0.0035,$C$23-0.0005))</f>
        <v>#REF!</v>
      </c>
      <c r="M75" s="67" t="e">
        <f t="shared" ref="M75" si="47">IF(G75="","",IF(K75="","",ROUNDDOWN(K75*(I75/365)*L75,0)))</f>
        <v>#REF!</v>
      </c>
      <c r="N75" s="68" t="e">
        <f t="shared" si="44"/>
        <v>#REF!</v>
      </c>
      <c r="O75" s="69" t="e">
        <f t="shared" si="42"/>
        <v>#REF!</v>
      </c>
      <c r="P75" s="106"/>
    </row>
    <row r="76" spans="2:16" s="14" customFormat="1" ht="19.5" hidden="1" thickBot="1" x14ac:dyDescent="0.45">
      <c r="B76" s="264"/>
      <c r="C76" s="57" t="s">
        <v>10</v>
      </c>
      <c r="D76" s="58"/>
      <c r="E76" s="75" t="e" cm="1">
        <f t="array" ref="E76">_xlfn.SINGLE(IF(E70:E75&lt;&gt;"",MIN(E70:E75),""))</f>
        <v>#REF!</v>
      </c>
      <c r="F76" s="59" t="e">
        <f t="shared" si="19"/>
        <v>#REF!</v>
      </c>
      <c r="G76" s="75" t="e" cm="1">
        <f t="array" ref="G76">_xlfn.SINGLE(IF(G70:G75&lt;&gt;"",MAX(G70:G75),""))</f>
        <v>#REF!</v>
      </c>
      <c r="H76" s="59" t="e">
        <f t="shared" si="33"/>
        <v>#REF!</v>
      </c>
      <c r="I76" s="60" t="e">
        <f>SUM(I70:I75)</f>
        <v>#REF!</v>
      </c>
      <c r="J76" s="58"/>
      <c r="K76" s="58"/>
      <c r="L76" s="84"/>
      <c r="M76" s="70" t="e">
        <f>SUM(M70:M75)</f>
        <v>#REF!</v>
      </c>
      <c r="N76" s="71"/>
      <c r="O76" s="72"/>
      <c r="P76" s="106"/>
    </row>
    <row r="77" spans="2:16" s="14" customFormat="1" hidden="1" x14ac:dyDescent="0.4">
      <c r="B77" s="263"/>
      <c r="C77" s="267" t="s">
        <v>4</v>
      </c>
      <c r="D77" s="54" t="s">
        <v>9</v>
      </c>
      <c r="E77" s="73" t="e">
        <f t="shared" ref="E77:E82" si="48">IF(G76="","",IF(G77="","",IF(G76+1&gt;DATE($B$70+1,3,31),"",G76+1)))</f>
        <v>#REF!</v>
      </c>
      <c r="F77" s="46" t="e">
        <f t="shared" si="19"/>
        <v>#REF!</v>
      </c>
      <c r="G77" s="102" t="e">
        <f>IF(G76="","",IF(G76+1&gt;DATE($B$70+1,3,31),"",IF(OR($C$21="",$C$22=""),"",IF($C$21="月末",IF(EOMONTH(G76,VLOOKUP($C$22,#REF!,2,FALSE))&gt;DATE($B$70+1,3,31),"",EOMONTH(G76,VLOOKUP($C$22,#REF!,2,FALSE))),IF(EOMONTH(G76,VLOOKUP($C$22,#REF!,2,FALSE)-1)+$C$21&gt;DATE($B$70+1,3,31),"",EOMONTH(G76,VLOOKUP($C$22,#REF!,2,FALSE)-1)+$C$21)))))</f>
        <v>#REF!</v>
      </c>
      <c r="H77" s="46" t="e">
        <f>IF(G77="","",TEXT(G77,"aaa"))</f>
        <v>#REF!</v>
      </c>
      <c r="I77" s="47" t="e">
        <f>IF(G77="","",DATEDIF(E77,G77,"D")+1)</f>
        <v>#REF!</v>
      </c>
      <c r="J77" s="50" t="e" cm="1">
        <f t="array" ref="J77">_xlfn.SINGLE(IF(G77&lt;&gt;"",IF($C$7="","",IF(J70:J75&lt;&gt;"",IF(MIN(J70:J75)&lt;=0,"",IF(MIN(J70:J75)=$C$9,MIN(J70:J75)-$C$9,MIN(J70:J75)-$C$8)),"")),""))</f>
        <v>#REF!</v>
      </c>
      <c r="K77" s="50" t="e" cm="1">
        <f t="array" ref="K77">_xlfn.SINGLE(IF($C$14="","",IF(K70:K75&lt;&gt;"",IF(MIN(K70:K75)&lt;=0,"",IF(MIN(K70:K75)=$C$16,MIN(K70:K75)-$C$16,MIN(K70:K75)-$C$15)),"")))</f>
        <v>#REF!</v>
      </c>
      <c r="L77" s="85" t="e" cm="1">
        <f t="array" ref="L77">IF(AND(OR(J77=0,J77=""),OR(K77=0,K77="")),"",_xlfn.IFS($C$23&gt;=0.0035,0.003,$C$23&lt;0.0005,0,$C$23&lt;0.0035,$C$23-0.0005))</f>
        <v>#REF!</v>
      </c>
      <c r="M77" s="61" t="e">
        <f t="shared" ref="M77:M78" si="49">IF(G77="","",IF(OR(K77="",K77=0),"",ROUNDDOWN(K77*(I77/365)*L77,0)))</f>
        <v>#REF!</v>
      </c>
      <c r="N77" s="62" t="e">
        <f>IF(OR(K77="",K77=0),"",IF(G77="","",$C$8))</f>
        <v>#REF!</v>
      </c>
      <c r="O77" s="63" t="e">
        <f t="shared" ref="O77:O82" si="50">IF(OR(K77="",K77=0),"",IF(G77="","",$C$15))</f>
        <v>#REF!</v>
      </c>
      <c r="P77" s="106"/>
    </row>
    <row r="78" spans="2:16" s="14" customFormat="1" hidden="1" x14ac:dyDescent="0.4">
      <c r="B78" s="263"/>
      <c r="C78" s="266"/>
      <c r="D78" s="49" t="s">
        <v>8</v>
      </c>
      <c r="E78" s="73" t="e">
        <f t="shared" si="48"/>
        <v>#REF!</v>
      </c>
      <c r="F78" s="46" t="e">
        <f t="shared" si="19"/>
        <v>#REF!</v>
      </c>
      <c r="G78" s="102" t="e">
        <f>IF(G77="","",IF(G77+1&gt;DATE($B$70+1,3,31),"",IF(OR($C$21="",$C$22=""),"",IF($C$21="月末",IF(EOMONTH(G77,VLOOKUP($C$22,#REF!,2,FALSE))&gt;DATE($B$70+1,3,31),"",EOMONTH(G77,VLOOKUP($C$22,#REF!,2,FALSE))),IF(EOMONTH(G77,VLOOKUP($C$22,#REF!,2,FALSE)-1)+$C$21&gt;DATE($B$70+1,3,31),"",EOMONTH(G77,VLOOKUP($C$22,#REF!,2,FALSE)-1)+$C$21)))))</f>
        <v>#REF!</v>
      </c>
      <c r="H78" s="46" t="e">
        <f t="shared" ref="H78:H90" si="51">IF(G78="","",TEXT(G78,"aaa"))</f>
        <v>#REF!</v>
      </c>
      <c r="I78" s="47" t="e">
        <f>IF(G78="","",DATEDIF(E78,G78,"D")+1)</f>
        <v>#REF!</v>
      </c>
      <c r="J78" s="50" t="e">
        <f t="shared" ref="J78:J82" si="52">IF(G78&lt;&gt;"",IF($C$7="","",IF(J77="","",IF(J77&lt;=0,"",IF(J77=$C$9,J77-$C$9,J77-$C$8)))),"")</f>
        <v>#REF!</v>
      </c>
      <c r="K78" s="50" t="e">
        <f>IF(G78&lt;&gt;"",IF($C$14="","",IF(K77="","",IF(K77&lt;=0,"",IF(K77=$C$16,K77-$C$16,K77-$C$15)))),"")</f>
        <v>#REF!</v>
      </c>
      <c r="L78" s="82" t="e" cm="1">
        <f t="array" ref="L78">IF(AND(OR(J78=0,J78=""),OR(K78=0,K78="")),"",_xlfn.IFS($C$23&gt;=0.0035,0.003,$C$23&lt;0.0005,0,$C$23&lt;0.0035,$C$23-0.0005))</f>
        <v>#REF!</v>
      </c>
      <c r="M78" s="64" t="e">
        <f t="shared" si="49"/>
        <v>#REF!</v>
      </c>
      <c r="N78" s="65" t="e">
        <f t="shared" ref="N78:N82" si="53">IF(OR(K78="",K78=0),"",IF(G78="","",$C$8))</f>
        <v>#REF!</v>
      </c>
      <c r="O78" s="66" t="e">
        <f t="shared" si="50"/>
        <v>#REF!</v>
      </c>
      <c r="P78" s="106"/>
    </row>
    <row r="79" spans="2:16" s="14" customFormat="1" hidden="1" x14ac:dyDescent="0.4">
      <c r="B79" s="263"/>
      <c r="C79" s="266"/>
      <c r="D79" s="49" t="s">
        <v>37</v>
      </c>
      <c r="E79" s="73" t="e">
        <f t="shared" si="48"/>
        <v>#REF!</v>
      </c>
      <c r="F79" s="46" t="e">
        <f t="shared" si="19"/>
        <v>#REF!</v>
      </c>
      <c r="G79" s="102" t="e">
        <f>IF(G78="","",IF(G78+1&gt;DATE($B$70+1,3,31),"",IF(OR($C$21="",$C$22=""),"",IF($C$21="月末",IF(EOMONTH(G78,VLOOKUP($C$22,#REF!,2,FALSE))&gt;DATE($B$70+1,3,31),"",EOMONTH(G78,VLOOKUP($C$22,#REF!,2,FALSE))),IF(EOMONTH(G78,VLOOKUP($C$22,#REF!,2,FALSE)-1)+$C$21&gt;DATE($B$70+1,3,31),"",EOMONTH(G78,VLOOKUP($C$22,#REF!,2,FALSE)-1)+$C$21)))))</f>
        <v>#REF!</v>
      </c>
      <c r="H79" s="46" t="e">
        <f t="shared" si="51"/>
        <v>#REF!</v>
      </c>
      <c r="I79" s="47" t="e">
        <f t="shared" ref="I79:I81" si="54">IF(G79="","",DATEDIF(E79,G79,"D")+1)</f>
        <v>#REF!</v>
      </c>
      <c r="J79" s="50" t="e">
        <f t="shared" si="52"/>
        <v>#REF!</v>
      </c>
      <c r="K79" s="50" t="e">
        <f>IF(G79&lt;&gt;"",IF($C$14="","",IF(K78="","",IF(K78&lt;=0,"",IF(K78=$C$16,K78-$C$16,K78-$C$15)))),"")</f>
        <v>#REF!</v>
      </c>
      <c r="L79" s="82" t="e" cm="1">
        <f t="array" ref="L79">IF(AND(OR(J79=0,J79=""),OR(K79=0,K79="")),"",_xlfn.IFS($C$23&gt;=0.0035,0.003,$C$23&lt;0.0005,0,$C$23&lt;0.0035,$C$23-0.0005))</f>
        <v>#REF!</v>
      </c>
      <c r="M79" s="64" t="e">
        <f>IF(G79="","",IF(OR(K79="",K79=0),"",ROUNDDOWN(K79*(I79/365)*L79,0)))</f>
        <v>#REF!</v>
      </c>
      <c r="N79" s="65" t="e">
        <f t="shared" si="53"/>
        <v>#REF!</v>
      </c>
      <c r="O79" s="66" t="e">
        <f t="shared" si="50"/>
        <v>#REF!</v>
      </c>
      <c r="P79" s="106"/>
    </row>
    <row r="80" spans="2:16" s="14" customFormat="1" hidden="1" x14ac:dyDescent="0.4">
      <c r="B80" s="263"/>
      <c r="C80" s="266"/>
      <c r="D80" s="49" t="s">
        <v>38</v>
      </c>
      <c r="E80" s="73" t="e">
        <f t="shared" si="48"/>
        <v>#REF!</v>
      </c>
      <c r="F80" s="46" t="e">
        <f t="shared" si="19"/>
        <v>#REF!</v>
      </c>
      <c r="G80" s="102" t="e">
        <f>IF(G79="","",IF(G79+1&gt;DATE($B$70+1,3,31),"",IF(OR($C$21="",$C$22=""),"",IF($C$21="月末",IF(EOMONTH(G79,VLOOKUP($C$22,#REF!,2,FALSE))&gt;DATE($B$70+1,3,31),"",EOMONTH(G79,VLOOKUP($C$22,#REF!,2,FALSE))),IF(EOMONTH(G79,VLOOKUP($C$22,#REF!,2,FALSE)-1)+$C$21&gt;DATE($B$70+1,3,31),"",EOMONTH(G79,VLOOKUP($C$22,#REF!,2,FALSE)-1)+$C$21)))))</f>
        <v>#REF!</v>
      </c>
      <c r="H80" s="46" t="e">
        <f t="shared" si="51"/>
        <v>#REF!</v>
      </c>
      <c r="I80" s="47" t="e">
        <f t="shared" si="54"/>
        <v>#REF!</v>
      </c>
      <c r="J80" s="50" t="e">
        <f t="shared" si="52"/>
        <v>#REF!</v>
      </c>
      <c r="K80" s="50" t="e">
        <f>IF(G80&lt;&gt;"",IF($C$14="","",IF(K79="","",IF(K79&lt;=0,"",IF(K79=$C$16,K79-$C$16,K79-$C$15)))),"")</f>
        <v>#REF!</v>
      </c>
      <c r="L80" s="82" t="e" cm="1">
        <f t="array" ref="L80">IF(AND(OR(J80=0,J80=""),OR(K80=0,K80="")),"",_xlfn.IFS($C$23&gt;=0.0035,0.003,$C$23&lt;0.0005,0,$C$23&lt;0.0035,$C$23-0.0005))</f>
        <v>#REF!</v>
      </c>
      <c r="M80" s="64" t="e">
        <f t="shared" ref="M80:M81" si="55">IF(G80="","",IF(OR(K80="",K80=0),"",ROUNDDOWN(K80*(I80/365)*L80,0)))</f>
        <v>#REF!</v>
      </c>
      <c r="N80" s="65" t="e">
        <f t="shared" si="53"/>
        <v>#REF!</v>
      </c>
      <c r="O80" s="66" t="e">
        <f t="shared" si="50"/>
        <v>#REF!</v>
      </c>
      <c r="P80" s="106"/>
    </row>
    <row r="81" spans="2:16" s="14" customFormat="1" hidden="1" x14ac:dyDescent="0.4">
      <c r="B81" s="263"/>
      <c r="C81" s="266"/>
      <c r="D81" s="49" t="s">
        <v>39</v>
      </c>
      <c r="E81" s="73" t="e">
        <f t="shared" si="48"/>
        <v>#REF!</v>
      </c>
      <c r="F81" s="46" t="e">
        <f t="shared" si="19"/>
        <v>#REF!</v>
      </c>
      <c r="G81" s="102" t="e">
        <f>IF(G80="","",IF(G80+1&gt;DATE($B$70+1,3,31),"",IF(OR($C$21="",$C$22=""),"",IF($C$21="月末",IF(EOMONTH(G80,VLOOKUP($C$22,#REF!,2,FALSE))&gt;DATE($B$70+1,3,31),"",EOMONTH(G80,VLOOKUP($C$22,#REF!,2,FALSE))),IF(EOMONTH(G80,VLOOKUP($C$22,#REF!,2,FALSE)-1)+$C$21&gt;DATE($B$70+1,3,31),"",EOMONTH(G80,VLOOKUP($C$22,#REF!,2,FALSE)-1)+$C$21)))))</f>
        <v>#REF!</v>
      </c>
      <c r="H81" s="46" t="e">
        <f t="shared" si="51"/>
        <v>#REF!</v>
      </c>
      <c r="I81" s="47" t="e">
        <f t="shared" si="54"/>
        <v>#REF!</v>
      </c>
      <c r="J81" s="50" t="e">
        <f t="shared" si="52"/>
        <v>#REF!</v>
      </c>
      <c r="K81" s="50" t="e">
        <f>IF(G81&lt;&gt;"",IF($C$14="","",IF(K80="","",IF(K80&lt;=0,"",IF(K80=$C$16,K80-$C$16,K80-$C$15)))),"")</f>
        <v>#REF!</v>
      </c>
      <c r="L81" s="82" t="e" cm="1">
        <f t="array" ref="L81">IF(AND(OR(J81=0,J81=""),OR(K81=0,K81="")),"",_xlfn.IFS($C$23&gt;=0.0035,0.003,$C$23&lt;0.0005,0,$C$23&lt;0.0035,$C$23-0.0005))</f>
        <v>#REF!</v>
      </c>
      <c r="M81" s="64" t="e">
        <f t="shared" si="55"/>
        <v>#REF!</v>
      </c>
      <c r="N81" s="65" t="e">
        <f t="shared" si="53"/>
        <v>#REF!</v>
      </c>
      <c r="O81" s="66" t="e">
        <f t="shared" si="50"/>
        <v>#REF!</v>
      </c>
      <c r="P81" s="106"/>
    </row>
    <row r="82" spans="2:16" s="14" customFormat="1" ht="19.5" hidden="1" thickBot="1" x14ac:dyDescent="0.45">
      <c r="B82" s="263"/>
      <c r="C82" s="266"/>
      <c r="D82" s="51" t="s">
        <v>41</v>
      </c>
      <c r="E82" s="74" t="e">
        <f t="shared" si="48"/>
        <v>#REF!</v>
      </c>
      <c r="F82" s="52" t="e">
        <f t="shared" si="19"/>
        <v>#REF!</v>
      </c>
      <c r="G82" s="102" t="e">
        <f>IF(G81="","",IF(G81+1&gt;DATE($B$70+1,3,31),"",IF(OR($C$21="",$C$22=""),"",IF($C$21="月末",IF(EOMONTH(G81,VLOOKUP($C$22,#REF!,2,FALSE))&gt;DATE($B$70+1,3,31),"",EOMONTH(G81,VLOOKUP($C$22,#REF!,2,FALSE))),IF(EOMONTH(G81,VLOOKUP($C$22,#REF!,2,FALSE)-1)+$C$21&gt;DATE($B$70+1,3,31),"",EOMONTH(G81,VLOOKUP($C$22,#REF!,2,FALSE)-1)+$C$21)))))</f>
        <v>#REF!</v>
      </c>
      <c r="H82" s="52" t="e">
        <f t="shared" si="51"/>
        <v>#REF!</v>
      </c>
      <c r="I82" s="53" t="e">
        <f>IF(G82="","",DATEDIF(E82,G82,"D")+1)</f>
        <v>#REF!</v>
      </c>
      <c r="J82" s="50" t="e">
        <f t="shared" si="52"/>
        <v>#REF!</v>
      </c>
      <c r="K82" s="50" t="e">
        <f>IF(G82&lt;&gt;"",IF($C$14="","",IF(K81="","",IF(K81&lt;=0,"",IF(K81=$C$16,K81-$C$16,K81-$C$15)))),"")</f>
        <v>#REF!</v>
      </c>
      <c r="L82" s="83" t="e" cm="1">
        <f t="array" ref="L82">IF(AND(OR(J82=0,J82=""),OR(K82=0,K82="")),"",_xlfn.IFS($C$23&gt;=0.0035,0.003,$C$23&lt;0.0005,0,$C$23&lt;0.0035,$C$23-0.0005))</f>
        <v>#REF!</v>
      </c>
      <c r="M82" s="67" t="e">
        <f t="shared" ref="M82" si="56">IF(G82="","",IF(K82="","",ROUNDDOWN(K82*(I82/365)*L82,0)))</f>
        <v>#REF!</v>
      </c>
      <c r="N82" s="68" t="e">
        <f t="shared" si="53"/>
        <v>#REF!</v>
      </c>
      <c r="O82" s="69" t="e">
        <f t="shared" si="50"/>
        <v>#REF!</v>
      </c>
      <c r="P82" s="106"/>
    </row>
    <row r="83" spans="2:16" s="14" customFormat="1" ht="19.5" hidden="1" thickBot="1" x14ac:dyDescent="0.45">
      <c r="B83" s="265"/>
      <c r="C83" s="57" t="s">
        <v>10</v>
      </c>
      <c r="D83" s="58"/>
      <c r="E83" s="75" t="e" cm="1">
        <f t="array" ref="E83">_xlfn.SINGLE(IF(E77:E82&lt;&gt;"",MIN(E77:E82),""))</f>
        <v>#REF!</v>
      </c>
      <c r="F83" s="59" t="e">
        <f t="shared" si="19"/>
        <v>#REF!</v>
      </c>
      <c r="G83" s="75" t="e" cm="1">
        <f t="array" ref="G83">_xlfn.SINGLE(IF(G77:G82&lt;&gt;"",MAX(G77:G82),""))</f>
        <v>#REF!</v>
      </c>
      <c r="H83" s="59" t="e">
        <f t="shared" si="51"/>
        <v>#REF!</v>
      </c>
      <c r="I83" s="60" t="e">
        <f>SUM(I77:I82)</f>
        <v>#REF!</v>
      </c>
      <c r="J83" s="58"/>
      <c r="K83" s="58"/>
      <c r="L83" s="84"/>
      <c r="M83" s="70" t="e">
        <f>SUM(M77:M82)</f>
        <v>#REF!</v>
      </c>
      <c r="N83" s="71"/>
      <c r="O83" s="72"/>
      <c r="P83" s="106"/>
    </row>
    <row r="84" spans="2:16" s="14" customFormat="1" hidden="1" x14ac:dyDescent="0.4">
      <c r="B84" s="262">
        <f t="shared" ref="B84" si="57">B70+1</f>
        <v>2029</v>
      </c>
      <c r="C84" s="266" t="s">
        <v>3</v>
      </c>
      <c r="D84" s="45" t="s">
        <v>6</v>
      </c>
      <c r="E84" s="73" t="e">
        <f t="shared" ref="E84:E89" si="58">IF(G83="","",IF(G84="","",IF(G83+1&gt;DATE($B$84+1,3,31),"",G83+1)))</f>
        <v>#REF!</v>
      </c>
      <c r="F84" s="46" t="e">
        <f t="shared" si="19"/>
        <v>#REF!</v>
      </c>
      <c r="G84" s="102" t="e">
        <f>IF(G83="","",IF(G83+1&gt;DATE($B$84,9,30),"",IF(OR($C$21="",$C$22=""),"",IF($C$21="月末",IF(EOMONTH(G83,VLOOKUP($C$22,#REF!,2,FALSE))&gt;DATE($B$84,9,30),"",EOMONTH(G83,VLOOKUP($C$22,#REF!,2,FALSE))),IF(EOMONTH(G83,VLOOKUP($C$22,#REF!,2,FALSE)-1)+$C$21&gt;DATE($B$84,9,30),"",EOMONTH(G83,VLOOKUP($C$22,#REF!,2,FALSE)-1)+$C$21)))))</f>
        <v>#REF!</v>
      </c>
      <c r="H84" s="46" t="e">
        <f t="shared" si="51"/>
        <v>#REF!</v>
      </c>
      <c r="I84" s="47" t="e">
        <f>IF(G84="","",DATEDIF(E84,G84,"D")+1)</f>
        <v>#REF!</v>
      </c>
      <c r="J84" s="50" t="e" cm="1">
        <f t="array" ref="J84">_xlfn.SINGLE(IF(G84&lt;&gt;"",IF($C$7="","",IF(J77:J82&lt;&gt;"",IF(MIN(J77:J82)&lt;=0,"",IF(MIN(J77:J82)=$C$9,MIN(J77:J82)-$C$9,MIN(J77:J82)-$C$8)),"")),""))</f>
        <v>#REF!</v>
      </c>
      <c r="K84" s="50" t="e" cm="1">
        <f t="array" ref="K84">_xlfn.SINGLE(IF($C$14="","",IF(K77:K82&lt;&gt;"",IF(MIN(K77:K82)&lt;=0,"",IF(MIN(K77:K82)=$C$16,MIN(K77:K82)-$C$16,MIN(K77:K82)-$C$15)),"")))</f>
        <v>#REF!</v>
      </c>
      <c r="L84" s="82" t="e" cm="1">
        <f t="array" ref="L84">IF(AND(OR(J84=0,J84=""),OR(K84=0,K84="")),"",_xlfn.IFS($C$23&gt;=0.0035,0.003,$C$23&lt;0.0005,0,$C$23&lt;0.0035,$C$23-0.0005))</f>
        <v>#REF!</v>
      </c>
      <c r="M84" s="61" t="e">
        <f t="shared" ref="M84:M85" si="59">IF(G84="","",IF(OR(K84="",K84=0),"",ROUNDDOWN(K84*(I84/365)*L84,0)))</f>
        <v>#REF!</v>
      </c>
      <c r="N84" s="62" t="e">
        <f>IF(OR(K84="",K84=0),"",IF(G84="","",$C$8))</f>
        <v>#REF!</v>
      </c>
      <c r="O84" s="63" t="e">
        <f t="shared" ref="O84:O89" si="60">IF(OR(K84="",K84=0),"",IF(G84="","",$C$15))</f>
        <v>#REF!</v>
      </c>
      <c r="P84" s="106"/>
    </row>
    <row r="85" spans="2:16" s="14" customFormat="1" hidden="1" x14ac:dyDescent="0.4">
      <c r="B85" s="263"/>
      <c r="C85" s="266"/>
      <c r="D85" s="49" t="s">
        <v>7</v>
      </c>
      <c r="E85" s="73" t="e">
        <f t="shared" si="58"/>
        <v>#REF!</v>
      </c>
      <c r="F85" s="46" t="e">
        <f t="shared" si="19"/>
        <v>#REF!</v>
      </c>
      <c r="G85" s="102" t="e">
        <f>IF(G84="","",IF(G84+1&gt;DATE($B$84,9,30),"",IF(OR($C$21="",$C$22=""),"",IF($C$21="月末",IF(EOMONTH(G84,VLOOKUP($C$22,#REF!,2,FALSE))&gt;DATE($B$84,9,30),"",EOMONTH(G84,VLOOKUP($C$22,#REF!,2,FALSE))),IF(EOMONTH(G84,VLOOKUP($C$22,#REF!,2,FALSE)-1)+$C$21&gt;DATE($B$84,9,30),"",EOMONTH(G84,VLOOKUP($C$22,#REF!,2,FALSE)-1)+$C$21)))))</f>
        <v>#REF!</v>
      </c>
      <c r="H85" s="46" t="e">
        <f t="shared" si="51"/>
        <v>#REF!</v>
      </c>
      <c r="I85" s="47" t="e">
        <f>IF(G85="","",DATEDIF(E85,G85,"D")+1)</f>
        <v>#REF!</v>
      </c>
      <c r="J85" s="50" t="e">
        <f t="shared" ref="J85:J89" si="61">IF(G85&lt;&gt;"",IF($C$7="","",IF(J84="","",IF(J84&lt;=0,"",IF(J84=$C$9,J84-$C$9,J84-$C$8)))),"")</f>
        <v>#REF!</v>
      </c>
      <c r="K85" s="50" t="e">
        <f>IF(G85&lt;&gt;"",IF($C$14="","",IF(K84="","",IF(K84&lt;=0,"",IF(K84=$C$16,K84-$C$16,K84-$C$15)))),"")</f>
        <v>#REF!</v>
      </c>
      <c r="L85" s="82" t="e" cm="1">
        <f t="array" ref="L85">IF(AND(OR(J85=0,J85=""),OR(K85=0,K85="")),"",_xlfn.IFS($C$23&gt;=0.0035,0.003,$C$23&lt;0.0005,0,$C$23&lt;0.0035,$C$23-0.0005))</f>
        <v>#REF!</v>
      </c>
      <c r="M85" s="64" t="e">
        <f t="shared" si="59"/>
        <v>#REF!</v>
      </c>
      <c r="N85" s="65" t="e">
        <f t="shared" ref="N85:N89" si="62">IF(OR(K85="",K85=0),"",IF(G85="","",$C$8))</f>
        <v>#REF!</v>
      </c>
      <c r="O85" s="66" t="e">
        <f t="shared" si="60"/>
        <v>#REF!</v>
      </c>
      <c r="P85" s="106"/>
    </row>
    <row r="86" spans="2:16" s="14" customFormat="1" hidden="1" x14ac:dyDescent="0.4">
      <c r="B86" s="263"/>
      <c r="C86" s="266"/>
      <c r="D86" s="49" t="s">
        <v>34</v>
      </c>
      <c r="E86" s="73" t="e">
        <f t="shared" si="58"/>
        <v>#REF!</v>
      </c>
      <c r="F86" s="46" t="e">
        <f t="shared" si="19"/>
        <v>#REF!</v>
      </c>
      <c r="G86" s="102" t="e">
        <f>IF(G85="","",IF(G85+1&gt;DATE($B$84,9,30),"",IF(OR($C$21="",$C$22=""),"",IF($C$21="月末",IF(EOMONTH(G85,VLOOKUP($C$22,#REF!,2,FALSE))&gt;DATE($B$84,9,30),"",EOMONTH(G85,VLOOKUP($C$22,#REF!,2,FALSE))),IF(EOMONTH(G85,VLOOKUP($C$22,#REF!,2,FALSE)-1)+$C$21&gt;DATE($B$84,9,30),"",EOMONTH(G85,VLOOKUP($C$22,#REF!,2,FALSE)-1)+$C$21)))))</f>
        <v>#REF!</v>
      </c>
      <c r="H86" s="46" t="e">
        <f t="shared" si="51"/>
        <v>#REF!</v>
      </c>
      <c r="I86" s="47" t="e">
        <f t="shared" ref="I86:I88" si="63">IF(G86="","",DATEDIF(E86,G86,"D")+1)</f>
        <v>#REF!</v>
      </c>
      <c r="J86" s="50" t="e">
        <f t="shared" si="61"/>
        <v>#REF!</v>
      </c>
      <c r="K86" s="50" t="e">
        <f>IF(G86&lt;&gt;"",IF($C$14="","",IF(K85="","",IF(K85&lt;=0,"",IF(K85=$C$16,K85-$C$16,K85-$C$15)))),"")</f>
        <v>#REF!</v>
      </c>
      <c r="L86" s="82" t="e" cm="1">
        <f t="array" ref="L86">IF(AND(OR(J86=0,J86=""),OR(K86=0,K86="")),"",_xlfn.IFS($C$23&gt;=0.0035,0.003,$C$23&lt;0.0005,0,$C$23&lt;0.0035,$C$23-0.0005))</f>
        <v>#REF!</v>
      </c>
      <c r="M86" s="64" t="e">
        <f>IF(G86="","",IF(OR(K86="",K86=0),"",ROUNDDOWN(K86*(I86/365)*L86,0)))</f>
        <v>#REF!</v>
      </c>
      <c r="N86" s="65" t="e">
        <f t="shared" si="62"/>
        <v>#REF!</v>
      </c>
      <c r="O86" s="66" t="e">
        <f t="shared" si="60"/>
        <v>#REF!</v>
      </c>
      <c r="P86" s="106"/>
    </row>
    <row r="87" spans="2:16" s="14" customFormat="1" hidden="1" x14ac:dyDescent="0.4">
      <c r="B87" s="263"/>
      <c r="C87" s="266"/>
      <c r="D87" s="49" t="s">
        <v>35</v>
      </c>
      <c r="E87" s="73" t="e">
        <f t="shared" si="58"/>
        <v>#REF!</v>
      </c>
      <c r="F87" s="46" t="e">
        <f t="shared" si="19"/>
        <v>#REF!</v>
      </c>
      <c r="G87" s="102" t="e">
        <f>IF(G86="","",IF(G86+1&gt;DATE($B$84,9,30),"",IF(OR($C$21="",$C$22=""),"",IF($C$21="月末",IF(EOMONTH(G86,VLOOKUP($C$22,#REF!,2,FALSE))&gt;DATE($B$84,9,30),"",EOMONTH(G86,VLOOKUP($C$22,#REF!,2,FALSE))),IF(EOMONTH(G86,VLOOKUP($C$22,#REF!,2,FALSE)-1)+$C$21&gt;DATE($B$84,9,30),"",EOMONTH(G86,VLOOKUP($C$22,#REF!,2,FALSE)-1)+$C$21)))))</f>
        <v>#REF!</v>
      </c>
      <c r="H87" s="46" t="e">
        <f t="shared" si="51"/>
        <v>#REF!</v>
      </c>
      <c r="I87" s="47" t="e">
        <f t="shared" si="63"/>
        <v>#REF!</v>
      </c>
      <c r="J87" s="50" t="e">
        <f t="shared" si="61"/>
        <v>#REF!</v>
      </c>
      <c r="K87" s="50" t="e">
        <f>IF(G87&lt;&gt;"",IF($C$14="","",IF(K86="","",IF(K86&lt;=0,"",IF(K86=$C$16,K86-$C$16,K86-$C$15)))),"")</f>
        <v>#REF!</v>
      </c>
      <c r="L87" s="82" t="e" cm="1">
        <f t="array" ref="L87">IF(AND(OR(J87=0,J87=""),OR(K87=0,K87="")),"",_xlfn.IFS($C$23&gt;=0.0035,0.003,$C$23&lt;0.0005,0,$C$23&lt;0.0035,$C$23-0.0005))</f>
        <v>#REF!</v>
      </c>
      <c r="M87" s="64" t="e">
        <f t="shared" ref="M87:M88" si="64">IF(G87="","",IF(OR(K87="",K87=0),"",ROUNDDOWN(K87*(I87/365)*L87,0)))</f>
        <v>#REF!</v>
      </c>
      <c r="N87" s="65" t="e">
        <f t="shared" si="62"/>
        <v>#REF!</v>
      </c>
      <c r="O87" s="66" t="e">
        <f t="shared" si="60"/>
        <v>#REF!</v>
      </c>
      <c r="P87" s="106"/>
    </row>
    <row r="88" spans="2:16" s="14" customFormat="1" hidden="1" x14ac:dyDescent="0.4">
      <c r="B88" s="263"/>
      <c r="C88" s="266"/>
      <c r="D88" s="49" t="s">
        <v>36</v>
      </c>
      <c r="E88" s="73" t="e">
        <f t="shared" si="58"/>
        <v>#REF!</v>
      </c>
      <c r="F88" s="46" t="e">
        <f t="shared" si="19"/>
        <v>#REF!</v>
      </c>
      <c r="G88" s="102" t="e">
        <f>IF(G87="","",IF(G87+1&gt;DATE($B$84,9,30),"",IF(OR($C$21="",$C$22=""),"",IF($C$21="月末",IF(EOMONTH(G87,VLOOKUP($C$22,#REF!,2,FALSE))&gt;DATE($B$84,9,30),"",EOMONTH(G87,VLOOKUP($C$22,#REF!,2,FALSE))),IF(EOMONTH(G87,VLOOKUP($C$22,#REF!,2,FALSE)-1)+$C$21&gt;DATE($B$84,9,30),"",EOMONTH(G87,VLOOKUP($C$22,#REF!,2,FALSE)-1)+$C$21)))))</f>
        <v>#REF!</v>
      </c>
      <c r="H88" s="46" t="e">
        <f t="shared" si="51"/>
        <v>#REF!</v>
      </c>
      <c r="I88" s="47" t="e">
        <f t="shared" si="63"/>
        <v>#REF!</v>
      </c>
      <c r="J88" s="50" t="e">
        <f t="shared" si="61"/>
        <v>#REF!</v>
      </c>
      <c r="K88" s="50" t="e">
        <f>IF(G88&lt;&gt;"",IF($C$14="","",IF(K87="","",IF(K87&lt;=0,"",IF(K87=$C$16,K87-$C$16,K87-$C$15)))),"")</f>
        <v>#REF!</v>
      </c>
      <c r="L88" s="82" t="e" cm="1">
        <f t="array" ref="L88">IF(AND(OR(J88=0,J88=""),OR(K88=0,K88="")),"",_xlfn.IFS($C$23&gt;=0.0035,0.003,$C$23&lt;0.0005,0,$C$23&lt;0.0035,$C$23-0.0005))</f>
        <v>#REF!</v>
      </c>
      <c r="M88" s="64" t="e">
        <f t="shared" si="64"/>
        <v>#REF!</v>
      </c>
      <c r="N88" s="65" t="e">
        <f t="shared" si="62"/>
        <v>#REF!</v>
      </c>
      <c r="O88" s="66" t="e">
        <f t="shared" si="60"/>
        <v>#REF!</v>
      </c>
      <c r="P88" s="106"/>
    </row>
    <row r="89" spans="2:16" s="14" customFormat="1" ht="19.5" hidden="1" thickBot="1" x14ac:dyDescent="0.45">
      <c r="B89" s="263"/>
      <c r="C89" s="266"/>
      <c r="D89" s="51" t="s">
        <v>40</v>
      </c>
      <c r="E89" s="74" t="e">
        <f t="shared" si="58"/>
        <v>#REF!</v>
      </c>
      <c r="F89" s="52" t="e">
        <f t="shared" si="19"/>
        <v>#REF!</v>
      </c>
      <c r="G89" s="102" t="e">
        <f>IF(G88="","",IF(G88+1&gt;DATE($B$84,9,30),"",IF(OR($C$21="",$C$22=""),"",IF($C$21="月末",IF(EOMONTH(G88,VLOOKUP($C$22,#REF!,2,FALSE))&gt;DATE($B$84,9,30),"",EOMONTH(G88,VLOOKUP($C$22,#REF!,2,FALSE))),IF(EOMONTH(G88,VLOOKUP($C$22,#REF!,2,FALSE)-1)+$C$21&gt;DATE($B$84,9,30),"",EOMONTH(G88,VLOOKUP($C$22,#REF!,2,FALSE)-1)+$C$21)))))</f>
        <v>#REF!</v>
      </c>
      <c r="H89" s="52" t="e">
        <f t="shared" si="51"/>
        <v>#REF!</v>
      </c>
      <c r="I89" s="53" t="e">
        <f>IF(G89="","",DATEDIF(E89,G89,"D")+1)</f>
        <v>#REF!</v>
      </c>
      <c r="J89" s="50" t="e">
        <f t="shared" si="61"/>
        <v>#REF!</v>
      </c>
      <c r="K89" s="50" t="e">
        <f>IF(G89&lt;&gt;"",IF($C$14="","",IF(K88="","",IF(K88&lt;=0,"",IF(K88=$C$16,K88-$C$16,K88-$C$15)))),"")</f>
        <v>#REF!</v>
      </c>
      <c r="L89" s="83" t="e" cm="1">
        <f t="array" ref="L89">IF(AND(OR(J89=0,J89=""),OR(K89=0,K89="")),"",_xlfn.IFS($C$23&gt;=0.0035,0.003,$C$23&lt;0.0005,0,$C$23&lt;0.0035,$C$23-0.0005))</f>
        <v>#REF!</v>
      </c>
      <c r="M89" s="67" t="e">
        <f t="shared" ref="M89" si="65">IF(G89="","",IF(K89="","",ROUNDDOWN(K89*(I89/365)*L89,0)))</f>
        <v>#REF!</v>
      </c>
      <c r="N89" s="68" t="e">
        <f t="shared" si="62"/>
        <v>#REF!</v>
      </c>
      <c r="O89" s="69" t="e">
        <f t="shared" si="60"/>
        <v>#REF!</v>
      </c>
      <c r="P89" s="106"/>
    </row>
    <row r="90" spans="2:16" s="14" customFormat="1" ht="19.5" hidden="1" thickBot="1" x14ac:dyDescent="0.45">
      <c r="B90" s="264"/>
      <c r="C90" s="57" t="s">
        <v>10</v>
      </c>
      <c r="D90" s="58"/>
      <c r="E90" s="75" t="e" cm="1">
        <f t="array" ref="E90">_xlfn.SINGLE(IF(E84:E89&lt;&gt;"",MIN(E84:E89),""))</f>
        <v>#REF!</v>
      </c>
      <c r="F90" s="59" t="e">
        <f t="shared" si="19"/>
        <v>#REF!</v>
      </c>
      <c r="G90" s="75" t="e" cm="1">
        <f t="array" ref="G90">_xlfn.SINGLE(IF(G84:G89&lt;&gt;"",MAX(G84:G89),""))</f>
        <v>#REF!</v>
      </c>
      <c r="H90" s="59" t="e">
        <f t="shared" si="51"/>
        <v>#REF!</v>
      </c>
      <c r="I90" s="60" t="e">
        <f>SUM(I84:I89)</f>
        <v>#REF!</v>
      </c>
      <c r="J90" s="58"/>
      <c r="K90" s="58"/>
      <c r="L90" s="84"/>
      <c r="M90" s="70" t="e">
        <f>SUM(M84:M89)</f>
        <v>#REF!</v>
      </c>
      <c r="N90" s="71"/>
      <c r="O90" s="72"/>
      <c r="P90" s="106"/>
    </row>
    <row r="91" spans="2:16" s="14" customFormat="1" hidden="1" x14ac:dyDescent="0.4">
      <c r="B91" s="263"/>
      <c r="C91" s="267" t="s">
        <v>4</v>
      </c>
      <c r="D91" s="54" t="s">
        <v>9</v>
      </c>
      <c r="E91" s="73" t="e">
        <f t="shared" ref="E91:E96" si="66">IF(G90="","",IF(G91="","",IF(G90+1&gt;DATE($B$84+1,3,31),"",G90+1)))</f>
        <v>#REF!</v>
      </c>
      <c r="F91" s="46" t="e">
        <f t="shared" si="19"/>
        <v>#REF!</v>
      </c>
      <c r="G91" s="102" t="e">
        <f>IF(G90="","",IF(G90+1&gt;DATE($B$84+1,3,31),"",IF(OR($C$21="",$C$22=""),"",IF($C$21="月末",IF(EOMONTH(G90,VLOOKUP($C$22,#REF!,2,FALSE))&gt;DATE($B$84+1,3,31),"",EOMONTH(G90,VLOOKUP($C$22,#REF!,2,FALSE))),IF(EOMONTH(G90,VLOOKUP($C$22,#REF!,2,FALSE)-1)+$C$21&gt;DATE($B$84+1,3,31),"",EOMONTH(G90,VLOOKUP($C$22,#REF!,2,FALSE)-1)+$C$21)))))</f>
        <v>#REF!</v>
      </c>
      <c r="H91" s="46" t="e">
        <f>IF(G91="","",TEXT(G91,"aaa"))</f>
        <v>#REF!</v>
      </c>
      <c r="I91" s="47" t="e">
        <f>IF(G91="","",DATEDIF(E91,G91,"D")+1)</f>
        <v>#REF!</v>
      </c>
      <c r="J91" s="50" t="e" cm="1">
        <f t="array" ref="J91">_xlfn.SINGLE(IF(G91&lt;&gt;"",IF($C$7="","",IF(J84:J89&lt;&gt;"",IF(MIN(J84:J89)&lt;=0,"",IF(MIN(J84:J89)=$C$9,MIN(J84:J89)-$C$9,MIN(J84:J89)-$C$8)),"")),""))</f>
        <v>#REF!</v>
      </c>
      <c r="K91" s="50" t="e" cm="1">
        <f t="array" ref="K91">_xlfn.SINGLE(IF($C$14="","",IF(K84:K89&lt;&gt;"",IF(MIN(K84:K89)&lt;=0,"",IF(MIN(K84:K89)=$C$16,MIN(K84:K89)-$C$16,MIN(K84:K89)-$C$15)),"")))</f>
        <v>#REF!</v>
      </c>
      <c r="L91" s="85" t="e" cm="1">
        <f t="array" ref="L91">IF(AND(OR(J91=0,J91=""),OR(K91=0,K91="")),"",_xlfn.IFS($C$23&gt;=0.0035,0.003,$C$23&lt;0.0005,0,$C$23&lt;0.0035,$C$23-0.0005))</f>
        <v>#REF!</v>
      </c>
      <c r="M91" s="61" t="e">
        <f t="shared" ref="M91:M92" si="67">IF(G91="","",IF(OR(K91="",K91=0),"",ROUNDDOWN(K91*(I91/365)*L91,0)))</f>
        <v>#REF!</v>
      </c>
      <c r="N91" s="62" t="e">
        <f>IF(OR(K91="",K91=0),"",IF(G91="","",$C$8))</f>
        <v>#REF!</v>
      </c>
      <c r="O91" s="63" t="e">
        <f t="shared" ref="O91:O96" si="68">IF(OR(K91="",K91=0),"",IF(G91="","",$C$15))</f>
        <v>#REF!</v>
      </c>
      <c r="P91" s="106"/>
    </row>
    <row r="92" spans="2:16" s="14" customFormat="1" hidden="1" x14ac:dyDescent="0.4">
      <c r="B92" s="263"/>
      <c r="C92" s="266"/>
      <c r="D92" s="49" t="s">
        <v>8</v>
      </c>
      <c r="E92" s="73" t="e">
        <f t="shared" si="66"/>
        <v>#REF!</v>
      </c>
      <c r="F92" s="46" t="e">
        <f t="shared" si="19"/>
        <v>#REF!</v>
      </c>
      <c r="G92" s="102" t="e">
        <f>IF(G91="","",IF(G91+1&gt;DATE($B$84+1,3,31),"",IF(OR($C$21="",$C$22=""),"",IF($C$21="月末",IF(EOMONTH(G91,VLOOKUP($C$22,#REF!,2,FALSE))&gt;DATE($B$84+1,3,31),"",EOMONTH(G91,VLOOKUP($C$22,#REF!,2,FALSE))),IF(EOMONTH(G91,VLOOKUP($C$22,#REF!,2,FALSE)-1)+$C$21&gt;DATE($B$84+1,3,31),"",EOMONTH(G91,VLOOKUP($C$22,#REF!,2,FALSE)-1)+$C$21)))))</f>
        <v>#REF!</v>
      </c>
      <c r="H92" s="46" t="e">
        <f t="shared" ref="H92:H104" si="69">IF(G92="","",TEXT(G92,"aaa"))</f>
        <v>#REF!</v>
      </c>
      <c r="I92" s="47" t="e">
        <f>IF(G92="","",DATEDIF(E92,G92,"D")+1)</f>
        <v>#REF!</v>
      </c>
      <c r="J92" s="50" t="e">
        <f t="shared" ref="J92:J96" si="70">IF(G92&lt;&gt;"",IF($C$7="","",IF(J91="","",IF(J91&lt;=0,"",IF(J91=$C$9,J91-$C$9,J91-$C$8)))),"")</f>
        <v>#REF!</v>
      </c>
      <c r="K92" s="50" t="e">
        <f>IF(G92&lt;&gt;"",IF($C$14="","",IF(K91="","",IF(K91&lt;=0,"",IF(K91=$C$16,K91-$C$16,K91-$C$15)))),"")</f>
        <v>#REF!</v>
      </c>
      <c r="L92" s="82" t="e" cm="1">
        <f t="array" ref="L92">IF(AND(OR(J92=0,J92=""),OR(K92=0,K92="")),"",_xlfn.IFS($C$23&gt;=0.0035,0.003,$C$23&lt;0.0005,0,$C$23&lt;0.0035,$C$23-0.0005))</f>
        <v>#REF!</v>
      </c>
      <c r="M92" s="64" t="e">
        <f t="shared" si="67"/>
        <v>#REF!</v>
      </c>
      <c r="N92" s="65" t="e">
        <f t="shared" ref="N92:N96" si="71">IF(OR(K92="",K92=0),"",IF(G92="","",$C$8))</f>
        <v>#REF!</v>
      </c>
      <c r="O92" s="66" t="e">
        <f t="shared" si="68"/>
        <v>#REF!</v>
      </c>
      <c r="P92" s="106"/>
    </row>
    <row r="93" spans="2:16" s="14" customFormat="1" hidden="1" x14ac:dyDescent="0.4">
      <c r="B93" s="263"/>
      <c r="C93" s="266"/>
      <c r="D93" s="49" t="s">
        <v>37</v>
      </c>
      <c r="E93" s="73" t="e">
        <f t="shared" si="66"/>
        <v>#REF!</v>
      </c>
      <c r="F93" s="46" t="e">
        <f t="shared" si="19"/>
        <v>#REF!</v>
      </c>
      <c r="G93" s="102" t="e">
        <f>IF(G92="","",IF(G92+1&gt;DATE($B$84+1,3,31),"",IF(OR($C$21="",$C$22=""),"",IF($C$21="月末",IF(EOMONTH(G92,VLOOKUP($C$22,#REF!,2,FALSE))&gt;DATE($B$84+1,3,31),"",EOMONTH(G92,VLOOKUP($C$22,#REF!,2,FALSE))),IF(EOMONTH(G92,VLOOKUP($C$22,#REF!,2,FALSE)-1)+$C$21&gt;DATE($B$84+1,3,31),"",EOMONTH(G92,VLOOKUP($C$22,#REF!,2,FALSE)-1)+$C$21)))))</f>
        <v>#REF!</v>
      </c>
      <c r="H93" s="46" t="e">
        <f t="shared" si="69"/>
        <v>#REF!</v>
      </c>
      <c r="I93" s="47" t="e">
        <f t="shared" ref="I93:I95" si="72">IF(G93="","",DATEDIF(E93,G93,"D")+1)</f>
        <v>#REF!</v>
      </c>
      <c r="J93" s="50" t="e">
        <f t="shared" si="70"/>
        <v>#REF!</v>
      </c>
      <c r="K93" s="50" t="e">
        <f>IF(G93&lt;&gt;"",IF($C$14="","",IF(K92="","",IF(K92&lt;=0,"",IF(K92=$C$16,K92-$C$16,K92-$C$15)))),"")</f>
        <v>#REF!</v>
      </c>
      <c r="L93" s="82" t="e" cm="1">
        <f t="array" ref="L93">IF(AND(OR(J93=0,J93=""),OR(K93=0,K93="")),"",_xlfn.IFS($C$23&gt;=0.0035,0.003,$C$23&lt;0.0005,0,$C$23&lt;0.0035,$C$23-0.0005))</f>
        <v>#REF!</v>
      </c>
      <c r="M93" s="64" t="e">
        <f>IF(G93="","",IF(OR(K93="",K93=0),"",ROUNDDOWN(K93*(I93/365)*L93,0)))</f>
        <v>#REF!</v>
      </c>
      <c r="N93" s="65" t="e">
        <f t="shared" si="71"/>
        <v>#REF!</v>
      </c>
      <c r="O93" s="66" t="e">
        <f t="shared" si="68"/>
        <v>#REF!</v>
      </c>
      <c r="P93" s="106"/>
    </row>
    <row r="94" spans="2:16" s="14" customFormat="1" hidden="1" x14ac:dyDescent="0.4">
      <c r="B94" s="263"/>
      <c r="C94" s="266"/>
      <c r="D94" s="49" t="s">
        <v>38</v>
      </c>
      <c r="E94" s="73" t="e">
        <f t="shared" si="66"/>
        <v>#REF!</v>
      </c>
      <c r="F94" s="46" t="e">
        <f t="shared" si="19"/>
        <v>#REF!</v>
      </c>
      <c r="G94" s="102" t="e">
        <f>IF(G93="","",IF(G93+1&gt;DATE($B$84+1,3,31),"",IF(OR($C$21="",$C$22=""),"",IF($C$21="月末",IF(EOMONTH(G93,VLOOKUP($C$22,#REF!,2,FALSE))&gt;DATE($B$84+1,3,31),"",EOMONTH(G93,VLOOKUP($C$22,#REF!,2,FALSE))),IF(EOMONTH(G93,VLOOKUP($C$22,#REF!,2,FALSE)-1)+$C$21&gt;DATE($B$84+1,3,31),"",EOMONTH(G93,VLOOKUP($C$22,#REF!,2,FALSE)-1)+$C$21)))))</f>
        <v>#REF!</v>
      </c>
      <c r="H94" s="46" t="e">
        <f t="shared" si="69"/>
        <v>#REF!</v>
      </c>
      <c r="I94" s="47" t="e">
        <f t="shared" si="72"/>
        <v>#REF!</v>
      </c>
      <c r="J94" s="50" t="e">
        <f t="shared" si="70"/>
        <v>#REF!</v>
      </c>
      <c r="K94" s="50" t="e">
        <f>IF(G94&lt;&gt;"",IF($C$14="","",IF(K93="","",IF(K93&lt;=0,"",IF(K93=$C$16,K93-$C$16,K93-$C$15)))),"")</f>
        <v>#REF!</v>
      </c>
      <c r="L94" s="82" t="e" cm="1">
        <f t="array" ref="L94">IF(AND(OR(J94=0,J94=""),OR(K94=0,K94="")),"",_xlfn.IFS($C$23&gt;=0.0035,0.003,$C$23&lt;0.0005,0,$C$23&lt;0.0035,$C$23-0.0005))</f>
        <v>#REF!</v>
      </c>
      <c r="M94" s="64" t="e">
        <f t="shared" ref="M94:M95" si="73">IF(G94="","",IF(OR(K94="",K94=0),"",ROUNDDOWN(K94*(I94/365)*L94,0)))</f>
        <v>#REF!</v>
      </c>
      <c r="N94" s="65" t="e">
        <f t="shared" si="71"/>
        <v>#REF!</v>
      </c>
      <c r="O94" s="66" t="e">
        <f t="shared" si="68"/>
        <v>#REF!</v>
      </c>
      <c r="P94" s="106"/>
    </row>
    <row r="95" spans="2:16" s="14" customFormat="1" hidden="1" x14ac:dyDescent="0.4">
      <c r="B95" s="263"/>
      <c r="C95" s="266"/>
      <c r="D95" s="49" t="s">
        <v>39</v>
      </c>
      <c r="E95" s="73" t="e">
        <f t="shared" si="66"/>
        <v>#REF!</v>
      </c>
      <c r="F95" s="46" t="e">
        <f t="shared" si="19"/>
        <v>#REF!</v>
      </c>
      <c r="G95" s="102" t="e">
        <f>IF(G94="","",IF(G94+1&gt;DATE($B$84+1,3,31),"",IF(OR($C$21="",$C$22=""),"",IF($C$21="月末",IF(EOMONTH(G94,VLOOKUP($C$22,#REF!,2,FALSE))&gt;DATE($B$84+1,3,31),"",EOMONTH(G94,VLOOKUP($C$22,#REF!,2,FALSE))),IF(EOMONTH(G94,VLOOKUP($C$22,#REF!,2,FALSE)-1)+$C$21&gt;DATE($B$84+1,3,31),"",EOMONTH(G94,VLOOKUP($C$22,#REF!,2,FALSE)-1)+$C$21)))))</f>
        <v>#REF!</v>
      </c>
      <c r="H95" s="46" t="e">
        <f t="shared" si="69"/>
        <v>#REF!</v>
      </c>
      <c r="I95" s="47" t="e">
        <f t="shared" si="72"/>
        <v>#REF!</v>
      </c>
      <c r="J95" s="50" t="e">
        <f t="shared" si="70"/>
        <v>#REF!</v>
      </c>
      <c r="K95" s="50" t="e">
        <f>IF(G95&lt;&gt;"",IF($C$14="","",IF(K94="","",IF(K94&lt;=0,"",IF(K94=$C$16,K94-$C$16,K94-$C$15)))),"")</f>
        <v>#REF!</v>
      </c>
      <c r="L95" s="82" t="e" cm="1">
        <f t="array" ref="L95">IF(AND(OR(J95=0,J95=""),OR(K95=0,K95="")),"",_xlfn.IFS($C$23&gt;=0.0035,0.003,$C$23&lt;0.0005,0,$C$23&lt;0.0035,$C$23-0.0005))</f>
        <v>#REF!</v>
      </c>
      <c r="M95" s="64" t="e">
        <f t="shared" si="73"/>
        <v>#REF!</v>
      </c>
      <c r="N95" s="65" t="e">
        <f t="shared" si="71"/>
        <v>#REF!</v>
      </c>
      <c r="O95" s="66" t="e">
        <f t="shared" si="68"/>
        <v>#REF!</v>
      </c>
      <c r="P95" s="106"/>
    </row>
    <row r="96" spans="2:16" s="14" customFormat="1" ht="19.5" hidden="1" thickBot="1" x14ac:dyDescent="0.45">
      <c r="B96" s="263"/>
      <c r="C96" s="266"/>
      <c r="D96" s="51" t="s">
        <v>41</v>
      </c>
      <c r="E96" s="74" t="e">
        <f t="shared" si="66"/>
        <v>#REF!</v>
      </c>
      <c r="F96" s="52" t="e">
        <f t="shared" si="19"/>
        <v>#REF!</v>
      </c>
      <c r="G96" s="102" t="e">
        <f>IF(G95="","",IF(G95+1&gt;DATE($B$84+1,3,31),"",IF(OR($C$21="",$C$22=""),"",IF($C$21="月末",IF(EOMONTH(G95,VLOOKUP($C$22,#REF!,2,FALSE))&gt;DATE($B$84+1,3,31),"",EOMONTH(G95,VLOOKUP($C$22,#REF!,2,FALSE))),IF(EOMONTH(G95,VLOOKUP($C$22,#REF!,2,FALSE)-1)+$C$21&gt;DATE($B$84+1,3,31),"",EOMONTH(G95,VLOOKUP($C$22,#REF!,2,FALSE)-1)+$C$21)))))</f>
        <v>#REF!</v>
      </c>
      <c r="H96" s="52" t="e">
        <f t="shared" si="69"/>
        <v>#REF!</v>
      </c>
      <c r="I96" s="53" t="e">
        <f>IF(G96="","",DATEDIF(E96,G96,"D")+1)</f>
        <v>#REF!</v>
      </c>
      <c r="J96" s="50" t="e">
        <f t="shared" si="70"/>
        <v>#REF!</v>
      </c>
      <c r="K96" s="50" t="e">
        <f>IF(G96&lt;&gt;"",IF($C$14="","",IF(K95="","",IF(K95&lt;=0,"",IF(K95=$C$16,K95-$C$16,K95-$C$15)))),"")</f>
        <v>#REF!</v>
      </c>
      <c r="L96" s="83" t="e" cm="1">
        <f t="array" ref="L96">IF(AND(OR(J96=0,J96=""),OR(K96=0,K96="")),"",_xlfn.IFS($C$23&gt;=0.0035,0.003,$C$23&lt;0.0005,0,$C$23&lt;0.0035,$C$23-0.0005))</f>
        <v>#REF!</v>
      </c>
      <c r="M96" s="67" t="e">
        <f t="shared" ref="M96" si="74">IF(G96="","",IF(K96="","",ROUNDDOWN(K96*(I96/365)*L96,0)))</f>
        <v>#REF!</v>
      </c>
      <c r="N96" s="68" t="e">
        <f t="shared" si="71"/>
        <v>#REF!</v>
      </c>
      <c r="O96" s="69" t="e">
        <f t="shared" si="68"/>
        <v>#REF!</v>
      </c>
      <c r="P96" s="106"/>
    </row>
    <row r="97" spans="2:16" s="14" customFormat="1" ht="19.5" hidden="1" thickBot="1" x14ac:dyDescent="0.45">
      <c r="B97" s="265"/>
      <c r="C97" s="57" t="s">
        <v>10</v>
      </c>
      <c r="D97" s="58"/>
      <c r="E97" s="75" t="e" cm="1">
        <f t="array" ref="E97">_xlfn.SINGLE(IF(E91:E96&lt;&gt;"",MIN(E91:E96),""))</f>
        <v>#REF!</v>
      </c>
      <c r="F97" s="59" t="e">
        <f t="shared" si="19"/>
        <v>#REF!</v>
      </c>
      <c r="G97" s="75" t="e" cm="1">
        <f t="array" ref="G97">_xlfn.SINGLE(IF(G91:G96&lt;&gt;"",MAX(G91:G96),""))</f>
        <v>#REF!</v>
      </c>
      <c r="H97" s="59" t="e">
        <f t="shared" si="69"/>
        <v>#REF!</v>
      </c>
      <c r="I97" s="60" t="e">
        <f>SUM(I91:I96)</f>
        <v>#REF!</v>
      </c>
      <c r="J97" s="58"/>
      <c r="K97" s="58"/>
      <c r="L97" s="84"/>
      <c r="M97" s="70" t="e">
        <f>SUM(M91:M96)</f>
        <v>#REF!</v>
      </c>
      <c r="N97" s="71"/>
      <c r="O97" s="72"/>
      <c r="P97" s="106"/>
    </row>
    <row r="98" spans="2:16" s="14" customFormat="1" hidden="1" x14ac:dyDescent="0.4">
      <c r="B98" s="262">
        <f t="shared" ref="B98" si="75">B84+1</f>
        <v>2030</v>
      </c>
      <c r="C98" s="266" t="s">
        <v>3</v>
      </c>
      <c r="D98" s="45" t="s">
        <v>6</v>
      </c>
      <c r="E98" s="73" t="e">
        <f t="shared" ref="E98:E103" si="76">IF(G97="","",IF(G98="","",IF(G97+1&gt;DATE($B$98+1,3,31),"",G97+1)))</f>
        <v>#REF!</v>
      </c>
      <c r="F98" s="46" t="e">
        <f t="shared" si="19"/>
        <v>#REF!</v>
      </c>
      <c r="G98" s="102" t="e">
        <f>IF(G97="","",IF(G97+1&gt;DATE($B$98,9,30),"",IF(OR($C$21="",$C$22=""),"",IF($C$21="月末",IF(EOMONTH(G97,VLOOKUP($C$22,#REF!,2,FALSE))&gt;DATE($B$98,9,30),"",EOMONTH(G97,VLOOKUP($C$22,#REF!,2,FALSE))),IF(EOMONTH(G97,VLOOKUP($C$22,#REF!,2,FALSE)-1)+$C$21&gt;DATE($B$98,9,30),"",EOMONTH(G97,VLOOKUP($C$22,#REF!,2,FALSE)-1)+$C$21)))))</f>
        <v>#REF!</v>
      </c>
      <c r="H98" s="46" t="e">
        <f t="shared" si="69"/>
        <v>#REF!</v>
      </c>
      <c r="I98" s="47" t="e">
        <f>IF(G98="","",DATEDIF(E98,G98,"D")+1)</f>
        <v>#REF!</v>
      </c>
      <c r="J98" s="50" t="e" cm="1">
        <f t="array" ref="J98">_xlfn.SINGLE(IF(G98&lt;&gt;"",IF($C$7="","",IF(J91:J96&lt;&gt;"",IF(MIN(J91:J96)&lt;=0,"",IF(MIN(J91:J96)=$C$9,MIN(J91:J96)-$C$9,MIN(J91:J96)-$C$8)),"")),""))</f>
        <v>#REF!</v>
      </c>
      <c r="K98" s="50" t="e" cm="1">
        <f t="array" ref="K98">_xlfn.SINGLE(IF($C$14="","",IF(K91:K96&lt;&gt;"",IF(MIN(K91:K96)&lt;=0,"",IF(MIN(K91:K96)=$C$16,MIN(K91:K96)-$C$16,MIN(K91:K96)-$C$15)),"")))</f>
        <v>#REF!</v>
      </c>
      <c r="L98" s="82" t="e" cm="1">
        <f t="array" ref="L98">IF(AND(OR(J98=0,J98=""),OR(K98=0,K98="")),"",_xlfn.IFS($C$23&gt;=0.0035,0.003,$C$23&lt;0.0005,0,$C$23&lt;0.0035,$C$23-0.0005))</f>
        <v>#REF!</v>
      </c>
      <c r="M98" s="61" t="e">
        <f t="shared" ref="M98:M99" si="77">IF(G98="","",IF(OR(K98="",K98=0),"",ROUNDDOWN(K98*(I98/365)*L98,0)))</f>
        <v>#REF!</v>
      </c>
      <c r="N98" s="62" t="e">
        <f>IF(OR(K98="",K98=0),"",IF(G98="","",$C$8))</f>
        <v>#REF!</v>
      </c>
      <c r="O98" s="63" t="e">
        <f t="shared" ref="O98:O103" si="78">IF(OR(K98="",K98=0),"",IF(G98="","",$C$15))</f>
        <v>#REF!</v>
      </c>
      <c r="P98" s="106"/>
    </row>
    <row r="99" spans="2:16" s="14" customFormat="1" hidden="1" x14ac:dyDescent="0.4">
      <c r="B99" s="263"/>
      <c r="C99" s="266"/>
      <c r="D99" s="49" t="s">
        <v>7</v>
      </c>
      <c r="E99" s="73" t="e">
        <f t="shared" si="76"/>
        <v>#REF!</v>
      </c>
      <c r="F99" s="46" t="e">
        <f t="shared" si="19"/>
        <v>#REF!</v>
      </c>
      <c r="G99" s="102" t="e">
        <f>IF(G98="","",IF(G98+1&gt;DATE($B$98,9,30),"",IF(OR($C$21="",$C$22=""),"",IF($C$21="月末",IF(EOMONTH(G98,VLOOKUP($C$22,#REF!,2,FALSE))&gt;DATE($B$98,9,30),"",EOMONTH(G98,VLOOKUP($C$22,#REF!,2,FALSE))),IF(EOMONTH(G98,VLOOKUP($C$22,#REF!,2,FALSE)-1)+$C$21&gt;DATE($B$98,9,30),"",EOMONTH(G98,VLOOKUP($C$22,#REF!,2,FALSE)-1)+$C$21)))))</f>
        <v>#REF!</v>
      </c>
      <c r="H99" s="46" t="e">
        <f t="shared" si="69"/>
        <v>#REF!</v>
      </c>
      <c r="I99" s="47" t="e">
        <f>IF(G99="","",DATEDIF(E99,G99,"D")+1)</f>
        <v>#REF!</v>
      </c>
      <c r="J99" s="50" t="e">
        <f t="shared" ref="J99:J103" si="79">IF(G99&lt;&gt;"",IF($C$7="","",IF(J98="","",IF(J98&lt;=0,"",IF(J98=$C$9,J98-$C$9,J98-$C$8)))),"")</f>
        <v>#REF!</v>
      </c>
      <c r="K99" s="50" t="e">
        <f>IF(G99&lt;&gt;"",IF($C$14="","",IF(K98="","",IF(K98&lt;=0,"",IF(K98=$C$16,K98-$C$16,K98-$C$15)))),"")</f>
        <v>#REF!</v>
      </c>
      <c r="L99" s="82" t="e" cm="1">
        <f t="array" ref="L99">IF(AND(OR(J99=0,J99=""),OR(K99=0,K99="")),"",_xlfn.IFS($C$23&gt;=0.0035,0.003,$C$23&lt;0.0005,0,$C$23&lt;0.0035,$C$23-0.0005))</f>
        <v>#REF!</v>
      </c>
      <c r="M99" s="64" t="e">
        <f t="shared" si="77"/>
        <v>#REF!</v>
      </c>
      <c r="N99" s="65" t="e">
        <f t="shared" ref="N99:N103" si="80">IF(OR(K99="",K99=0),"",IF(G99="","",$C$8))</f>
        <v>#REF!</v>
      </c>
      <c r="O99" s="66" t="e">
        <f t="shared" si="78"/>
        <v>#REF!</v>
      </c>
      <c r="P99" s="106"/>
    </row>
    <row r="100" spans="2:16" s="14" customFormat="1" hidden="1" x14ac:dyDescent="0.4">
      <c r="B100" s="263"/>
      <c r="C100" s="266"/>
      <c r="D100" s="49" t="s">
        <v>34</v>
      </c>
      <c r="E100" s="73" t="e">
        <f t="shared" si="76"/>
        <v>#REF!</v>
      </c>
      <c r="F100" s="46" t="e">
        <f t="shared" si="19"/>
        <v>#REF!</v>
      </c>
      <c r="G100" s="102" t="e">
        <f>IF(G99="","",IF(G99+1&gt;DATE($B$98,9,30),"",IF(OR($C$21="",$C$22=""),"",IF($C$21="月末",IF(EOMONTH(G99,VLOOKUP($C$22,#REF!,2,FALSE))&gt;DATE($B$98,9,30),"",EOMONTH(G99,VLOOKUP($C$22,#REF!,2,FALSE))),IF(EOMONTH(G99,VLOOKUP($C$22,#REF!,2,FALSE)-1)+$C$21&gt;DATE($B$98,9,30),"",EOMONTH(G99,VLOOKUP($C$22,#REF!,2,FALSE)-1)+$C$21)))))</f>
        <v>#REF!</v>
      </c>
      <c r="H100" s="46" t="e">
        <f t="shared" si="69"/>
        <v>#REF!</v>
      </c>
      <c r="I100" s="47" t="e">
        <f t="shared" ref="I100:I102" si="81">IF(G100="","",DATEDIF(E100,G100,"D")+1)</f>
        <v>#REF!</v>
      </c>
      <c r="J100" s="50" t="e">
        <f t="shared" si="79"/>
        <v>#REF!</v>
      </c>
      <c r="K100" s="50" t="e">
        <f>IF(G100&lt;&gt;"",IF($C$14="","",IF(K99="","",IF(K99&lt;=0,"",IF(K99=$C$16,K99-$C$16,K99-$C$15)))),"")</f>
        <v>#REF!</v>
      </c>
      <c r="L100" s="82" t="e" cm="1">
        <f t="array" ref="L100">IF(AND(OR(J100=0,J100=""),OR(K100=0,K100="")),"",_xlfn.IFS($C$23&gt;=0.0035,0.003,$C$23&lt;0.0005,0,$C$23&lt;0.0035,$C$23-0.0005))</f>
        <v>#REF!</v>
      </c>
      <c r="M100" s="64" t="e">
        <f>IF(G100="","",IF(OR(K100="",K100=0),"",ROUNDDOWN(K100*(I100/365)*L100,0)))</f>
        <v>#REF!</v>
      </c>
      <c r="N100" s="65" t="e">
        <f t="shared" si="80"/>
        <v>#REF!</v>
      </c>
      <c r="O100" s="66" t="e">
        <f t="shared" si="78"/>
        <v>#REF!</v>
      </c>
      <c r="P100" s="106"/>
    </row>
    <row r="101" spans="2:16" s="14" customFormat="1" hidden="1" x14ac:dyDescent="0.4">
      <c r="B101" s="263"/>
      <c r="C101" s="266"/>
      <c r="D101" s="49" t="s">
        <v>35</v>
      </c>
      <c r="E101" s="73" t="e">
        <f t="shared" si="76"/>
        <v>#REF!</v>
      </c>
      <c r="F101" s="46" t="e">
        <f t="shared" si="19"/>
        <v>#REF!</v>
      </c>
      <c r="G101" s="102" t="e">
        <f>IF(G100="","",IF(G100+1&gt;DATE($B$98,9,30),"",IF(OR($C$21="",$C$22=""),"",IF($C$21="月末",IF(EOMONTH(G100,VLOOKUP($C$22,#REF!,2,FALSE))&gt;DATE($B$98,9,30),"",EOMONTH(G100,VLOOKUP($C$22,#REF!,2,FALSE))),IF(EOMONTH(G100,VLOOKUP($C$22,#REF!,2,FALSE)-1)+$C$21&gt;DATE($B$98,9,30),"",EOMONTH(G100,VLOOKUP($C$22,#REF!,2,FALSE)-1)+$C$21)))))</f>
        <v>#REF!</v>
      </c>
      <c r="H101" s="46" t="e">
        <f t="shared" si="69"/>
        <v>#REF!</v>
      </c>
      <c r="I101" s="47" t="e">
        <f t="shared" si="81"/>
        <v>#REF!</v>
      </c>
      <c r="J101" s="50" t="e">
        <f t="shared" si="79"/>
        <v>#REF!</v>
      </c>
      <c r="K101" s="50" t="e">
        <f>IF(G101&lt;&gt;"",IF($C$14="","",IF(K100="","",IF(K100&lt;=0,"",IF(K100=$C$16,K100-$C$16,K100-$C$15)))),"")</f>
        <v>#REF!</v>
      </c>
      <c r="L101" s="82" t="e" cm="1">
        <f t="array" ref="L101">IF(AND(OR(J101=0,J101=""),OR(K101=0,K101="")),"",_xlfn.IFS($C$23&gt;=0.0035,0.003,$C$23&lt;0.0005,0,$C$23&lt;0.0035,$C$23-0.0005))</f>
        <v>#REF!</v>
      </c>
      <c r="M101" s="64" t="e">
        <f t="shared" ref="M101:M102" si="82">IF(G101="","",IF(OR(K101="",K101=0),"",ROUNDDOWN(K101*(I101/365)*L101,0)))</f>
        <v>#REF!</v>
      </c>
      <c r="N101" s="65" t="e">
        <f t="shared" si="80"/>
        <v>#REF!</v>
      </c>
      <c r="O101" s="66" t="e">
        <f t="shared" si="78"/>
        <v>#REF!</v>
      </c>
      <c r="P101" s="106"/>
    </row>
    <row r="102" spans="2:16" s="14" customFormat="1" hidden="1" x14ac:dyDescent="0.4">
      <c r="B102" s="263"/>
      <c r="C102" s="266"/>
      <c r="D102" s="49" t="s">
        <v>36</v>
      </c>
      <c r="E102" s="73" t="e">
        <f t="shared" si="76"/>
        <v>#REF!</v>
      </c>
      <c r="F102" s="46" t="e">
        <f t="shared" si="19"/>
        <v>#REF!</v>
      </c>
      <c r="G102" s="102" t="e">
        <f>IF(G101="","",IF(G101+1&gt;DATE($B$98,9,30),"",IF(OR($C$21="",$C$22=""),"",IF($C$21="月末",IF(EOMONTH(G101,VLOOKUP($C$22,#REF!,2,FALSE))&gt;DATE($B$98,9,30),"",EOMONTH(G101,VLOOKUP($C$22,#REF!,2,FALSE))),IF(EOMONTH(G101,VLOOKUP($C$22,#REF!,2,FALSE)-1)+$C$21&gt;DATE($B$98,9,30),"",EOMONTH(G101,VLOOKUP($C$22,#REF!,2,FALSE)-1)+$C$21)))))</f>
        <v>#REF!</v>
      </c>
      <c r="H102" s="46" t="e">
        <f t="shared" si="69"/>
        <v>#REF!</v>
      </c>
      <c r="I102" s="47" t="e">
        <f t="shared" si="81"/>
        <v>#REF!</v>
      </c>
      <c r="J102" s="50" t="e">
        <f t="shared" si="79"/>
        <v>#REF!</v>
      </c>
      <c r="K102" s="50" t="e">
        <f>IF(G102&lt;&gt;"",IF($C$14="","",IF(K101="","",IF(K101&lt;=0,"",IF(K101=$C$16,K101-$C$16,K101-$C$15)))),"")</f>
        <v>#REF!</v>
      </c>
      <c r="L102" s="82" t="e" cm="1">
        <f t="array" ref="L102">IF(AND(OR(J102=0,J102=""),OR(K102=0,K102="")),"",_xlfn.IFS($C$23&gt;=0.0035,0.003,$C$23&lt;0.0005,0,$C$23&lt;0.0035,$C$23-0.0005))</f>
        <v>#REF!</v>
      </c>
      <c r="M102" s="64" t="e">
        <f t="shared" si="82"/>
        <v>#REF!</v>
      </c>
      <c r="N102" s="65" t="e">
        <f t="shared" si="80"/>
        <v>#REF!</v>
      </c>
      <c r="O102" s="66" t="e">
        <f t="shared" si="78"/>
        <v>#REF!</v>
      </c>
      <c r="P102" s="106"/>
    </row>
    <row r="103" spans="2:16" s="14" customFormat="1" ht="19.5" hidden="1" thickBot="1" x14ac:dyDescent="0.45">
      <c r="B103" s="263"/>
      <c r="C103" s="266"/>
      <c r="D103" s="51" t="s">
        <v>40</v>
      </c>
      <c r="E103" s="74" t="e">
        <f t="shared" si="76"/>
        <v>#REF!</v>
      </c>
      <c r="F103" s="52" t="e">
        <f t="shared" si="19"/>
        <v>#REF!</v>
      </c>
      <c r="G103" s="102" t="e">
        <f>IF(G102="","",IF(G102+1&gt;DATE($B$98,9,30),"",IF(OR($C$21="",$C$22=""),"",IF($C$21="月末",IF(EOMONTH(G102,VLOOKUP($C$22,#REF!,2,FALSE))&gt;DATE($B$98,9,30),"",EOMONTH(G102,VLOOKUP($C$22,#REF!,2,FALSE))),IF(EOMONTH(G102,VLOOKUP($C$22,#REF!,2,FALSE)-1)+$C$21&gt;DATE($B$98,9,30),"",EOMONTH(G102,VLOOKUP($C$22,#REF!,2,FALSE)-1)+$C$21)))))</f>
        <v>#REF!</v>
      </c>
      <c r="H103" s="52" t="e">
        <f t="shared" si="69"/>
        <v>#REF!</v>
      </c>
      <c r="I103" s="53" t="e">
        <f>IF(G103="","",DATEDIF(E103,G103,"D")+1)</f>
        <v>#REF!</v>
      </c>
      <c r="J103" s="50" t="e">
        <f t="shared" si="79"/>
        <v>#REF!</v>
      </c>
      <c r="K103" s="50" t="e">
        <f>IF(G103&lt;&gt;"",IF($C$14="","",IF(K102="","",IF(K102&lt;=0,"",IF(K102=$C$16,K102-$C$16,K102-$C$15)))),"")</f>
        <v>#REF!</v>
      </c>
      <c r="L103" s="83" t="e" cm="1">
        <f t="array" ref="L103">IF(AND(OR(J103=0,J103=""),OR(K103=0,K103="")),"",_xlfn.IFS($C$23&gt;=0.0035,0.003,$C$23&lt;0.0005,0,$C$23&lt;0.0035,$C$23-0.0005))</f>
        <v>#REF!</v>
      </c>
      <c r="M103" s="67" t="e">
        <f t="shared" ref="M103" si="83">IF(G103="","",IF(K103="","",ROUNDDOWN(K103*(I103/365)*L103,0)))</f>
        <v>#REF!</v>
      </c>
      <c r="N103" s="68" t="e">
        <f t="shared" si="80"/>
        <v>#REF!</v>
      </c>
      <c r="O103" s="69" t="e">
        <f t="shared" si="78"/>
        <v>#REF!</v>
      </c>
      <c r="P103" s="106"/>
    </row>
    <row r="104" spans="2:16" s="14" customFormat="1" ht="19.5" hidden="1" thickBot="1" x14ac:dyDescent="0.45">
      <c r="B104" s="264"/>
      <c r="C104" s="57" t="s">
        <v>10</v>
      </c>
      <c r="D104" s="58"/>
      <c r="E104" s="75" t="e" cm="1">
        <f t="array" ref="E104">_xlfn.SINGLE(IF(E98:E103&lt;&gt;"",MIN(E98:E103),""))</f>
        <v>#REF!</v>
      </c>
      <c r="F104" s="59" t="e">
        <f t="shared" si="19"/>
        <v>#REF!</v>
      </c>
      <c r="G104" s="75" t="e" cm="1">
        <f t="array" ref="G104">_xlfn.SINGLE(IF(G98:G103&lt;&gt;"",MAX(G98:G103),""))</f>
        <v>#REF!</v>
      </c>
      <c r="H104" s="59" t="e">
        <f t="shared" si="69"/>
        <v>#REF!</v>
      </c>
      <c r="I104" s="60" t="e">
        <f>SUM(I98:I103)</f>
        <v>#REF!</v>
      </c>
      <c r="J104" s="58"/>
      <c r="K104" s="58"/>
      <c r="L104" s="84"/>
      <c r="M104" s="70" t="e">
        <f>SUM(M98:M103)</f>
        <v>#REF!</v>
      </c>
      <c r="N104" s="71"/>
      <c r="O104" s="72"/>
      <c r="P104" s="106"/>
    </row>
    <row r="105" spans="2:16" s="14" customFormat="1" hidden="1" x14ac:dyDescent="0.4">
      <c r="B105" s="263"/>
      <c r="C105" s="267" t="s">
        <v>4</v>
      </c>
      <c r="D105" s="54" t="s">
        <v>9</v>
      </c>
      <c r="E105" s="73" t="e">
        <f t="shared" ref="E105:E110" si="84">IF(G104="","",IF(G105="","",IF(G104+1&gt;DATE($B$98+1,3,31),"",G104+1)))</f>
        <v>#REF!</v>
      </c>
      <c r="F105" s="46" t="e">
        <f t="shared" si="19"/>
        <v>#REF!</v>
      </c>
      <c r="G105" s="102" t="e">
        <f>IF(G104="","",IF(G104+1&gt;DATE($B$98+1,3,31),"",IF(OR($C$21="",$C$22=""),"",IF($C$21="月末",IF(EOMONTH(G104,VLOOKUP($C$22,#REF!,2,FALSE))&gt;DATE($B$98+1,3,31),"",EOMONTH(G104,VLOOKUP($C$22,#REF!,2,FALSE))),IF(EOMONTH(G104,VLOOKUP($C$22,#REF!,2,FALSE)-1)+$C$21&gt;DATE($B$98+1,3,31),"",EOMONTH(G104,VLOOKUP($C$22,#REF!,2,FALSE)-1)+$C$21)))))</f>
        <v>#REF!</v>
      </c>
      <c r="H105" s="46" t="e">
        <f>IF(G105="","",TEXT(G105,"aaa"))</f>
        <v>#REF!</v>
      </c>
      <c r="I105" s="47" t="e">
        <f>IF(G105="","",DATEDIF(E105,G105,"D")+1)</f>
        <v>#REF!</v>
      </c>
      <c r="J105" s="50" t="e" cm="1">
        <f t="array" ref="J105">_xlfn.SINGLE(IF(G105&lt;&gt;"",IF($C$7="","",IF(J98:J103&lt;&gt;"",IF(MIN(J98:J103)&lt;=0,"",IF(MIN(J98:J103)=$C$9,MIN(J98:J103)-$C$9,MIN(J98:J103)-$C$8)),"")),""))</f>
        <v>#REF!</v>
      </c>
      <c r="K105" s="50" t="e" cm="1">
        <f t="array" ref="K105">_xlfn.SINGLE(IF($C$14="","",IF(K98:K103&lt;&gt;"",IF(MIN(K98:K103)&lt;=0,"",IF(MIN(K98:K103)=$C$16,MIN(K98:K103)-$C$16,MIN(K98:K103)-$C$15)),"")))</f>
        <v>#REF!</v>
      </c>
      <c r="L105" s="85" t="e" cm="1">
        <f t="array" ref="L105">IF(AND(OR(J105=0,J105=""),OR(K105=0,K105="")),"",_xlfn.IFS($C$23&gt;=0.0035,0.003,$C$23&lt;0.0005,0,$C$23&lt;0.0035,$C$23-0.0005))</f>
        <v>#REF!</v>
      </c>
      <c r="M105" s="61" t="e">
        <f t="shared" ref="M105:M106" si="85">IF(G105="","",IF(OR(K105="",K105=0),"",ROUNDDOWN(K105*(I105/365)*L105,0)))</f>
        <v>#REF!</v>
      </c>
      <c r="N105" s="62" t="e">
        <f>IF(OR(K105="",K105=0),"",IF(G105="","",$C$8))</f>
        <v>#REF!</v>
      </c>
      <c r="O105" s="63" t="e">
        <f t="shared" ref="O105:O110" si="86">IF(OR(K105="",K105=0),"",IF(G105="","",$C$15))</f>
        <v>#REF!</v>
      </c>
      <c r="P105" s="106"/>
    </row>
    <row r="106" spans="2:16" s="14" customFormat="1" hidden="1" x14ac:dyDescent="0.4">
      <c r="B106" s="263"/>
      <c r="C106" s="266"/>
      <c r="D106" s="49" t="s">
        <v>8</v>
      </c>
      <c r="E106" s="73" t="e">
        <f t="shared" si="84"/>
        <v>#REF!</v>
      </c>
      <c r="F106" s="46" t="e">
        <f t="shared" si="19"/>
        <v>#REF!</v>
      </c>
      <c r="G106" s="102" t="e">
        <f>IF(G105="","",IF(G105+1&gt;DATE($B$98+1,3,31),"",IF(OR($C$21="",$C$22=""),"",IF($C$21="月末",IF(EOMONTH(G105,VLOOKUP($C$22,#REF!,2,FALSE))&gt;DATE($B$98+1,3,31),"",EOMONTH(G105,VLOOKUP($C$22,#REF!,2,FALSE))),IF(EOMONTH(G105,VLOOKUP($C$22,#REF!,2,FALSE)-1)+$C$21&gt;DATE($B$98+1,3,31),"",EOMONTH(G105,VLOOKUP($C$22,#REF!,2,FALSE)-1)+$C$21)))))</f>
        <v>#REF!</v>
      </c>
      <c r="H106" s="46" t="e">
        <f t="shared" ref="H106:H118" si="87">IF(G106="","",TEXT(G106,"aaa"))</f>
        <v>#REF!</v>
      </c>
      <c r="I106" s="47" t="e">
        <f>IF(G106="","",DATEDIF(E106,G106,"D")+1)</f>
        <v>#REF!</v>
      </c>
      <c r="J106" s="50" t="e">
        <f t="shared" ref="J106:J110" si="88">IF(G106&lt;&gt;"",IF($C$7="","",IF(J105="","",IF(J105&lt;=0,"",IF(J105=$C$9,J105-$C$9,J105-$C$8)))),"")</f>
        <v>#REF!</v>
      </c>
      <c r="K106" s="50" t="e">
        <f>IF(G106&lt;&gt;"",IF($C$14="","",IF(K105="","",IF(K105&lt;=0,"",IF(K105=$C$16,K105-$C$16,K105-$C$15)))),"")</f>
        <v>#REF!</v>
      </c>
      <c r="L106" s="82" t="e" cm="1">
        <f t="array" ref="L106">IF(AND(OR(J106=0,J106=""),OR(K106=0,K106="")),"",_xlfn.IFS($C$23&gt;=0.0035,0.003,$C$23&lt;0.0005,0,$C$23&lt;0.0035,$C$23-0.0005))</f>
        <v>#REF!</v>
      </c>
      <c r="M106" s="64" t="e">
        <f t="shared" si="85"/>
        <v>#REF!</v>
      </c>
      <c r="N106" s="65" t="e">
        <f t="shared" ref="N106:N110" si="89">IF(OR(K106="",K106=0),"",IF(G106="","",$C$8))</f>
        <v>#REF!</v>
      </c>
      <c r="O106" s="66" t="e">
        <f t="shared" si="86"/>
        <v>#REF!</v>
      </c>
      <c r="P106" s="106"/>
    </row>
    <row r="107" spans="2:16" s="14" customFormat="1" hidden="1" x14ac:dyDescent="0.4">
      <c r="B107" s="263"/>
      <c r="C107" s="266"/>
      <c r="D107" s="49" t="s">
        <v>37</v>
      </c>
      <c r="E107" s="73" t="e">
        <f t="shared" si="84"/>
        <v>#REF!</v>
      </c>
      <c r="F107" s="46" t="e">
        <f t="shared" si="19"/>
        <v>#REF!</v>
      </c>
      <c r="G107" s="102" t="e">
        <f>IF(G106="","",IF(G106+1&gt;DATE($B$98+1,3,31),"",IF(OR($C$21="",$C$22=""),"",IF($C$21="月末",IF(EOMONTH(G106,VLOOKUP($C$22,#REF!,2,FALSE))&gt;DATE($B$98+1,3,31),"",EOMONTH(G106,VLOOKUP($C$22,#REF!,2,FALSE))),IF(EOMONTH(G106,VLOOKUP($C$22,#REF!,2,FALSE)-1)+$C$21&gt;DATE($B$98+1,3,31),"",EOMONTH(G106,VLOOKUP($C$22,#REF!,2,FALSE)-1)+$C$21)))))</f>
        <v>#REF!</v>
      </c>
      <c r="H107" s="46" t="e">
        <f t="shared" si="87"/>
        <v>#REF!</v>
      </c>
      <c r="I107" s="47" t="e">
        <f t="shared" ref="I107:I109" si="90">IF(G107="","",DATEDIF(E107,G107,"D")+1)</f>
        <v>#REF!</v>
      </c>
      <c r="J107" s="50" t="e">
        <f t="shared" si="88"/>
        <v>#REF!</v>
      </c>
      <c r="K107" s="50" t="e">
        <f>IF(G107&lt;&gt;"",IF($C$14="","",IF(K106="","",IF(K106&lt;=0,"",IF(K106=$C$16,K106-$C$16,K106-$C$15)))),"")</f>
        <v>#REF!</v>
      </c>
      <c r="L107" s="82" t="e" cm="1">
        <f t="array" ref="L107">IF(AND(OR(J107=0,J107=""),OR(K107=0,K107="")),"",_xlfn.IFS($C$23&gt;=0.0035,0.003,$C$23&lt;0.0005,0,$C$23&lt;0.0035,$C$23-0.0005))</f>
        <v>#REF!</v>
      </c>
      <c r="M107" s="64" t="e">
        <f>IF(G107="","",IF(OR(K107="",K107=0),"",ROUNDDOWN(K107*(I107/365)*L107,0)))</f>
        <v>#REF!</v>
      </c>
      <c r="N107" s="65" t="e">
        <f t="shared" si="89"/>
        <v>#REF!</v>
      </c>
      <c r="O107" s="66" t="e">
        <f t="shared" si="86"/>
        <v>#REF!</v>
      </c>
      <c r="P107" s="106"/>
    </row>
    <row r="108" spans="2:16" s="14" customFormat="1" hidden="1" x14ac:dyDescent="0.4">
      <c r="B108" s="263"/>
      <c r="C108" s="266"/>
      <c r="D108" s="49" t="s">
        <v>38</v>
      </c>
      <c r="E108" s="73" t="e">
        <f t="shared" si="84"/>
        <v>#REF!</v>
      </c>
      <c r="F108" s="46" t="e">
        <f t="shared" si="19"/>
        <v>#REF!</v>
      </c>
      <c r="G108" s="102" t="e">
        <f>IF(G107="","",IF(G107+1&gt;DATE($B$98+1,3,31),"",IF(OR($C$21="",$C$22=""),"",IF($C$21="月末",IF(EOMONTH(G107,VLOOKUP($C$22,#REF!,2,FALSE))&gt;DATE($B$98+1,3,31),"",EOMONTH(G107,VLOOKUP($C$22,#REF!,2,FALSE))),IF(EOMONTH(G107,VLOOKUP($C$22,#REF!,2,FALSE)-1)+$C$21&gt;DATE($B$98+1,3,31),"",EOMONTH(G107,VLOOKUP($C$22,#REF!,2,FALSE)-1)+$C$21)))))</f>
        <v>#REF!</v>
      </c>
      <c r="H108" s="46" t="e">
        <f t="shared" si="87"/>
        <v>#REF!</v>
      </c>
      <c r="I108" s="47" t="e">
        <f t="shared" si="90"/>
        <v>#REF!</v>
      </c>
      <c r="J108" s="50" t="e">
        <f t="shared" si="88"/>
        <v>#REF!</v>
      </c>
      <c r="K108" s="50" t="e">
        <f>IF(G108&lt;&gt;"",IF($C$14="","",IF(K107="","",IF(K107&lt;=0,"",IF(K107=$C$16,K107-$C$16,K107-$C$15)))),"")</f>
        <v>#REF!</v>
      </c>
      <c r="L108" s="82" t="e" cm="1">
        <f t="array" ref="L108">IF(AND(OR(J108=0,J108=""),OR(K108=0,K108="")),"",_xlfn.IFS($C$23&gt;=0.0035,0.003,$C$23&lt;0.0005,0,$C$23&lt;0.0035,$C$23-0.0005))</f>
        <v>#REF!</v>
      </c>
      <c r="M108" s="64" t="e">
        <f t="shared" ref="M108:M109" si="91">IF(G108="","",IF(OR(K108="",K108=0),"",ROUNDDOWN(K108*(I108/365)*L108,0)))</f>
        <v>#REF!</v>
      </c>
      <c r="N108" s="65" t="e">
        <f t="shared" si="89"/>
        <v>#REF!</v>
      </c>
      <c r="O108" s="66" t="e">
        <f t="shared" si="86"/>
        <v>#REF!</v>
      </c>
      <c r="P108" s="106"/>
    </row>
    <row r="109" spans="2:16" s="14" customFormat="1" hidden="1" x14ac:dyDescent="0.4">
      <c r="B109" s="263"/>
      <c r="C109" s="266"/>
      <c r="D109" s="49" t="s">
        <v>39</v>
      </c>
      <c r="E109" s="73" t="e">
        <f t="shared" si="84"/>
        <v>#REF!</v>
      </c>
      <c r="F109" s="46" t="e">
        <f t="shared" si="19"/>
        <v>#REF!</v>
      </c>
      <c r="G109" s="102" t="e">
        <f>IF(G108="","",IF(G108+1&gt;DATE($B$98+1,3,31),"",IF(OR($C$21="",$C$22=""),"",IF($C$21="月末",IF(EOMONTH(G108,VLOOKUP($C$22,#REF!,2,FALSE))&gt;DATE($B$98+1,3,31),"",EOMONTH(G108,VLOOKUP($C$22,#REF!,2,FALSE))),IF(EOMONTH(G108,VLOOKUP($C$22,#REF!,2,FALSE)-1)+$C$21&gt;DATE($B$98+1,3,31),"",EOMONTH(G108,VLOOKUP($C$22,#REF!,2,FALSE)-1)+$C$21)))))</f>
        <v>#REF!</v>
      </c>
      <c r="H109" s="46" t="e">
        <f t="shared" si="87"/>
        <v>#REF!</v>
      </c>
      <c r="I109" s="47" t="e">
        <f t="shared" si="90"/>
        <v>#REF!</v>
      </c>
      <c r="J109" s="50" t="e">
        <f t="shared" si="88"/>
        <v>#REF!</v>
      </c>
      <c r="K109" s="50" t="e">
        <f>IF(G109&lt;&gt;"",IF($C$14="","",IF(K108="","",IF(K108&lt;=0,"",IF(K108=$C$16,K108-$C$16,K108-$C$15)))),"")</f>
        <v>#REF!</v>
      </c>
      <c r="L109" s="82" t="e" cm="1">
        <f t="array" ref="L109">IF(AND(OR(J109=0,J109=""),OR(K109=0,K109="")),"",_xlfn.IFS($C$23&gt;=0.0035,0.003,$C$23&lt;0.0005,0,$C$23&lt;0.0035,$C$23-0.0005))</f>
        <v>#REF!</v>
      </c>
      <c r="M109" s="64" t="e">
        <f t="shared" si="91"/>
        <v>#REF!</v>
      </c>
      <c r="N109" s="65" t="e">
        <f t="shared" si="89"/>
        <v>#REF!</v>
      </c>
      <c r="O109" s="66" t="e">
        <f t="shared" si="86"/>
        <v>#REF!</v>
      </c>
      <c r="P109" s="106"/>
    </row>
    <row r="110" spans="2:16" s="14" customFormat="1" ht="19.5" hidden="1" thickBot="1" x14ac:dyDescent="0.45">
      <c r="B110" s="263"/>
      <c r="C110" s="266"/>
      <c r="D110" s="51" t="s">
        <v>41</v>
      </c>
      <c r="E110" s="74" t="e">
        <f t="shared" si="84"/>
        <v>#REF!</v>
      </c>
      <c r="F110" s="52" t="e">
        <f t="shared" si="19"/>
        <v>#REF!</v>
      </c>
      <c r="G110" s="102" t="e">
        <f>IF(G109="","",IF(G109+1&gt;DATE($B$98+1,3,31),"",IF(OR($C$21="",$C$22=""),"",IF($C$21="月末",IF(EOMONTH(G109,VLOOKUP($C$22,#REF!,2,FALSE))&gt;DATE($B$98+1,3,31),"",EOMONTH(G109,VLOOKUP($C$22,#REF!,2,FALSE))),IF(EOMONTH(G109,VLOOKUP($C$22,#REF!,2,FALSE)-1)+$C$21&gt;DATE($B$98+1,3,31),"",EOMONTH(G109,VLOOKUP($C$22,#REF!,2,FALSE)-1)+$C$21)))))</f>
        <v>#REF!</v>
      </c>
      <c r="H110" s="52" t="e">
        <f t="shared" si="87"/>
        <v>#REF!</v>
      </c>
      <c r="I110" s="53" t="e">
        <f>IF(G110="","",DATEDIF(E110,G110,"D")+1)</f>
        <v>#REF!</v>
      </c>
      <c r="J110" s="50" t="e">
        <f t="shared" si="88"/>
        <v>#REF!</v>
      </c>
      <c r="K110" s="50" t="e">
        <f>IF(G110&lt;&gt;"",IF($C$14="","",IF(K109="","",IF(K109&lt;=0,"",IF(K109=$C$16,K109-$C$16,K109-$C$15)))),"")</f>
        <v>#REF!</v>
      </c>
      <c r="L110" s="83" t="e" cm="1">
        <f t="array" ref="L110">IF(AND(OR(J110=0,J110=""),OR(K110=0,K110="")),"",_xlfn.IFS($C$23&gt;=0.0035,0.003,$C$23&lt;0.0005,0,$C$23&lt;0.0035,$C$23-0.0005))</f>
        <v>#REF!</v>
      </c>
      <c r="M110" s="67" t="e">
        <f t="shared" ref="M110" si="92">IF(G110="","",IF(K110="","",ROUNDDOWN(K110*(I110/365)*L110,0)))</f>
        <v>#REF!</v>
      </c>
      <c r="N110" s="68" t="e">
        <f t="shared" si="89"/>
        <v>#REF!</v>
      </c>
      <c r="O110" s="69" t="e">
        <f t="shared" si="86"/>
        <v>#REF!</v>
      </c>
      <c r="P110" s="106"/>
    </row>
    <row r="111" spans="2:16" s="14" customFormat="1" ht="19.5" hidden="1" thickBot="1" x14ac:dyDescent="0.45">
      <c r="B111" s="265"/>
      <c r="C111" s="57" t="s">
        <v>10</v>
      </c>
      <c r="D111" s="58"/>
      <c r="E111" s="75" t="e" cm="1">
        <f t="array" ref="E111">_xlfn.SINGLE(IF(E105:E110&lt;&gt;"",MIN(E105:E110),""))</f>
        <v>#REF!</v>
      </c>
      <c r="F111" s="59" t="e">
        <f t="shared" si="19"/>
        <v>#REF!</v>
      </c>
      <c r="G111" s="75" t="e" cm="1">
        <f t="array" ref="G111">_xlfn.SINGLE(IF(G105:G110&lt;&gt;"",MAX(G105:G110),""))</f>
        <v>#REF!</v>
      </c>
      <c r="H111" s="59" t="e">
        <f t="shared" si="87"/>
        <v>#REF!</v>
      </c>
      <c r="I111" s="60" t="e">
        <f>SUM(I105:I110)</f>
        <v>#REF!</v>
      </c>
      <c r="J111" s="58"/>
      <c r="K111" s="58"/>
      <c r="L111" s="84"/>
      <c r="M111" s="70" t="e">
        <f>SUM(M105:M110)</f>
        <v>#REF!</v>
      </c>
      <c r="N111" s="71"/>
      <c r="O111" s="72"/>
      <c r="P111" s="106"/>
    </row>
    <row r="112" spans="2:16" s="14" customFormat="1" hidden="1" x14ac:dyDescent="0.4">
      <c r="B112" s="262">
        <f t="shared" ref="B112" si="93">B98+1</f>
        <v>2031</v>
      </c>
      <c r="C112" s="266" t="s">
        <v>3</v>
      </c>
      <c r="D112" s="45" t="s">
        <v>6</v>
      </c>
      <c r="E112" s="73" t="e">
        <f t="shared" ref="E112:E117" si="94">IF(G111="","",IF(G112="","",IF(G111+1&gt;DATE($B$112+1,3,31),"",G111+1)))</f>
        <v>#REF!</v>
      </c>
      <c r="F112" s="46" t="e">
        <f t="shared" si="19"/>
        <v>#REF!</v>
      </c>
      <c r="G112" s="102" t="e">
        <f>IF(G111="","",IF(G111+1&gt;DATE($B$112,9,30),"",IF(OR($C$21="",$C$22=""),"",IF($C$21="月末",IF(EOMONTH(G111,VLOOKUP($C$22,#REF!,2,FALSE))&gt;DATE($B$112,9,30),"",EOMONTH(G111,VLOOKUP($C$22,#REF!,2,FALSE))),IF(EOMONTH(G111,VLOOKUP($C$22,#REF!,2,FALSE)-1)+$C$21&gt;DATE($B$112,9,30),"",EOMONTH(G111,VLOOKUP($C$22,#REF!,2,FALSE)-1)+$C$21)))))</f>
        <v>#REF!</v>
      </c>
      <c r="H112" s="46" t="e">
        <f t="shared" si="87"/>
        <v>#REF!</v>
      </c>
      <c r="I112" s="47" t="e">
        <f>IF(G112="","",DATEDIF(E112,G112,"D")+1)</f>
        <v>#REF!</v>
      </c>
      <c r="J112" s="50" t="e" cm="1">
        <f t="array" ref="J112">_xlfn.SINGLE(IF(G112&lt;&gt;"",IF($C$7="","",IF(J105:J110&lt;&gt;"",IF(MIN(J105:J110)&lt;=0,"",IF(MIN(J105:J110)=$C$9,MIN(J105:J110)-$C$9,MIN(J105:J110)-$C$8)),"")),""))</f>
        <v>#REF!</v>
      </c>
      <c r="K112" s="50" t="e" cm="1">
        <f t="array" ref="K112">_xlfn.SINGLE(IF($C$14="","",IF(K105:K110&lt;&gt;"",IF(MIN(K105:K110)&lt;=0,"",IF(MIN(K105:K110)=$C$16,MIN(K105:K110)-$C$16,MIN(K105:K110)-$C$15)),"")))</f>
        <v>#REF!</v>
      </c>
      <c r="L112" s="82" t="e" cm="1">
        <f t="array" ref="L112">IF(AND(OR(J112=0,J112=""),OR(K112=0,K112="")),"",_xlfn.IFS($C$23&gt;=0.0035,0.003,$C$23&lt;0.0005,0,$C$23&lt;0.0035,$C$23-0.0005))</f>
        <v>#REF!</v>
      </c>
      <c r="M112" s="61" t="e">
        <f t="shared" ref="M112:M113" si="95">IF(G112="","",IF(OR(K112="",K112=0),"",ROUNDDOWN(K112*(I112/365)*L112,0)))</f>
        <v>#REF!</v>
      </c>
      <c r="N112" s="62" t="e">
        <f>IF(OR(K112="",K112=0),"",IF(G112="","",$C$8))</f>
        <v>#REF!</v>
      </c>
      <c r="O112" s="63" t="e">
        <f t="shared" ref="O112:O117" si="96">IF(OR(K112="",K112=0),"",IF(G112="","",$C$15))</f>
        <v>#REF!</v>
      </c>
      <c r="P112" s="106"/>
    </row>
    <row r="113" spans="2:16" s="14" customFormat="1" hidden="1" x14ac:dyDescent="0.4">
      <c r="B113" s="263"/>
      <c r="C113" s="266"/>
      <c r="D113" s="49" t="s">
        <v>7</v>
      </c>
      <c r="E113" s="73" t="e">
        <f t="shared" si="94"/>
        <v>#REF!</v>
      </c>
      <c r="F113" s="46" t="e">
        <f t="shared" si="19"/>
        <v>#REF!</v>
      </c>
      <c r="G113" s="102" t="e">
        <f>IF(G112="","",IF(G112+1&gt;DATE($B$112,9,30),"",IF(OR($C$21="",$C$22=""),"",IF($C$21="月末",IF(EOMONTH(G112,VLOOKUP($C$22,#REF!,2,FALSE))&gt;DATE($B$112,9,30),"",EOMONTH(G112,VLOOKUP($C$22,#REF!,2,FALSE))),IF(EOMONTH(G112,VLOOKUP($C$22,#REF!,2,FALSE)-1)+$C$21&gt;DATE($B$112,9,30),"",EOMONTH(G112,VLOOKUP($C$22,#REF!,2,FALSE)-1)+$C$21)))))</f>
        <v>#REF!</v>
      </c>
      <c r="H113" s="46" t="e">
        <f t="shared" si="87"/>
        <v>#REF!</v>
      </c>
      <c r="I113" s="47" t="e">
        <f>IF(G113="","",DATEDIF(E113,G113,"D")+1)</f>
        <v>#REF!</v>
      </c>
      <c r="J113" s="50" t="e">
        <f t="shared" ref="J113:J117" si="97">IF(G113&lt;&gt;"",IF($C$7="","",IF(J112="","",IF(J112&lt;=0,"",IF(J112=$C$9,J112-$C$9,J112-$C$8)))),"")</f>
        <v>#REF!</v>
      </c>
      <c r="K113" s="50" t="e">
        <f>IF(G113&lt;&gt;"",IF($C$14="","",IF(K112="","",IF(K112&lt;=0,"",IF(K112=$C$16,K112-$C$16,K112-$C$15)))),"")</f>
        <v>#REF!</v>
      </c>
      <c r="L113" s="82" t="e" cm="1">
        <f t="array" ref="L113">IF(AND(OR(J113=0,J113=""),OR(K113=0,K113="")),"",_xlfn.IFS($C$23&gt;=0.0035,0.003,$C$23&lt;0.0005,0,$C$23&lt;0.0035,$C$23-0.0005))</f>
        <v>#REF!</v>
      </c>
      <c r="M113" s="64" t="e">
        <f t="shared" si="95"/>
        <v>#REF!</v>
      </c>
      <c r="N113" s="65" t="e">
        <f t="shared" ref="N113:N117" si="98">IF(OR(K113="",K113=0),"",IF(G113="","",$C$8))</f>
        <v>#REF!</v>
      </c>
      <c r="O113" s="66" t="e">
        <f t="shared" si="96"/>
        <v>#REF!</v>
      </c>
      <c r="P113" s="106"/>
    </row>
    <row r="114" spans="2:16" s="14" customFormat="1" hidden="1" x14ac:dyDescent="0.4">
      <c r="B114" s="263"/>
      <c r="C114" s="266"/>
      <c r="D114" s="49" t="s">
        <v>34</v>
      </c>
      <c r="E114" s="73" t="e">
        <f t="shared" si="94"/>
        <v>#REF!</v>
      </c>
      <c r="F114" s="46" t="e">
        <f t="shared" si="19"/>
        <v>#REF!</v>
      </c>
      <c r="G114" s="102" t="e">
        <f>IF(G113="","",IF(G113+1&gt;DATE($B$112,9,30),"",IF(OR($C$21="",$C$22=""),"",IF($C$21="月末",IF(EOMONTH(G113,VLOOKUP($C$22,#REF!,2,FALSE))&gt;DATE($B$112,9,30),"",EOMONTH(G113,VLOOKUP($C$22,#REF!,2,FALSE))),IF(EOMONTH(G113,VLOOKUP($C$22,#REF!,2,FALSE)-1)+$C$21&gt;DATE($B$112,9,30),"",EOMONTH(G113,VLOOKUP($C$22,#REF!,2,FALSE)-1)+$C$21)))))</f>
        <v>#REF!</v>
      </c>
      <c r="H114" s="46" t="e">
        <f t="shared" si="87"/>
        <v>#REF!</v>
      </c>
      <c r="I114" s="47" t="e">
        <f t="shared" ref="I114:I116" si="99">IF(G114="","",DATEDIF(E114,G114,"D")+1)</f>
        <v>#REF!</v>
      </c>
      <c r="J114" s="50" t="e">
        <f t="shared" si="97"/>
        <v>#REF!</v>
      </c>
      <c r="K114" s="50" t="e">
        <f>IF(G114&lt;&gt;"",IF($C$14="","",IF(K113="","",IF(K113&lt;=0,"",IF(K113=$C$16,K113-$C$16,K113-$C$15)))),"")</f>
        <v>#REF!</v>
      </c>
      <c r="L114" s="82" t="e" cm="1">
        <f t="array" ref="L114">IF(AND(OR(J114=0,J114=""),OR(K114=0,K114="")),"",_xlfn.IFS($C$23&gt;=0.0035,0.003,$C$23&lt;0.0005,0,$C$23&lt;0.0035,$C$23-0.0005))</f>
        <v>#REF!</v>
      </c>
      <c r="M114" s="64" t="e">
        <f>IF(G114="","",IF(OR(K114="",K114=0),"",ROUNDDOWN(K114*(I114/365)*L114,0)))</f>
        <v>#REF!</v>
      </c>
      <c r="N114" s="65" t="e">
        <f t="shared" si="98"/>
        <v>#REF!</v>
      </c>
      <c r="O114" s="66" t="e">
        <f t="shared" si="96"/>
        <v>#REF!</v>
      </c>
      <c r="P114" s="106"/>
    </row>
    <row r="115" spans="2:16" s="14" customFormat="1" hidden="1" x14ac:dyDescent="0.4">
      <c r="B115" s="263"/>
      <c r="C115" s="266"/>
      <c r="D115" s="49" t="s">
        <v>35</v>
      </c>
      <c r="E115" s="73" t="e">
        <f t="shared" si="94"/>
        <v>#REF!</v>
      </c>
      <c r="F115" s="46" t="e">
        <f t="shared" si="19"/>
        <v>#REF!</v>
      </c>
      <c r="G115" s="102" t="e">
        <f>IF(G114="","",IF(G114+1&gt;DATE($B$112,9,30),"",IF(OR($C$21="",$C$22=""),"",IF($C$21="月末",IF(EOMONTH(G114,VLOOKUP($C$22,#REF!,2,FALSE))&gt;DATE($B$112,9,30),"",EOMONTH(G114,VLOOKUP($C$22,#REF!,2,FALSE))),IF(EOMONTH(G114,VLOOKUP($C$22,#REF!,2,FALSE)-1)+$C$21&gt;DATE($B$112,9,30),"",EOMONTH(G114,VLOOKUP($C$22,#REF!,2,FALSE)-1)+$C$21)))))</f>
        <v>#REF!</v>
      </c>
      <c r="H115" s="46" t="e">
        <f t="shared" si="87"/>
        <v>#REF!</v>
      </c>
      <c r="I115" s="47" t="e">
        <f t="shared" si="99"/>
        <v>#REF!</v>
      </c>
      <c r="J115" s="50" t="e">
        <f t="shared" si="97"/>
        <v>#REF!</v>
      </c>
      <c r="K115" s="50" t="e">
        <f>IF(G115&lt;&gt;"",IF($C$14="","",IF(K114="","",IF(K114&lt;=0,"",IF(K114=$C$16,K114-$C$16,K114-$C$15)))),"")</f>
        <v>#REF!</v>
      </c>
      <c r="L115" s="82" t="e" cm="1">
        <f t="array" ref="L115">IF(AND(OR(J115=0,J115=""),OR(K115=0,K115="")),"",_xlfn.IFS($C$23&gt;=0.0035,0.003,$C$23&lt;0.0005,0,$C$23&lt;0.0035,$C$23-0.0005))</f>
        <v>#REF!</v>
      </c>
      <c r="M115" s="64" t="e">
        <f t="shared" ref="M115:M116" si="100">IF(G115="","",IF(OR(K115="",K115=0),"",ROUNDDOWN(K115*(I115/365)*L115,0)))</f>
        <v>#REF!</v>
      </c>
      <c r="N115" s="65" t="e">
        <f t="shared" si="98"/>
        <v>#REF!</v>
      </c>
      <c r="O115" s="66" t="e">
        <f t="shared" si="96"/>
        <v>#REF!</v>
      </c>
      <c r="P115" s="106"/>
    </row>
    <row r="116" spans="2:16" s="14" customFormat="1" hidden="1" x14ac:dyDescent="0.4">
      <c r="B116" s="263"/>
      <c r="C116" s="266"/>
      <c r="D116" s="49" t="s">
        <v>36</v>
      </c>
      <c r="E116" s="73" t="e">
        <f t="shared" si="94"/>
        <v>#REF!</v>
      </c>
      <c r="F116" s="46" t="e">
        <f t="shared" ref="F116:F179" si="101">IF(E116="","",TEXT(E116,"aaa"))</f>
        <v>#REF!</v>
      </c>
      <c r="G116" s="102" t="e">
        <f>IF(G115="","",IF(G115+1&gt;DATE($B$112,9,30),"",IF(OR($C$21="",$C$22=""),"",IF($C$21="月末",IF(EOMONTH(G115,VLOOKUP($C$22,#REF!,2,FALSE))&gt;DATE($B$112,9,30),"",EOMONTH(G115,VLOOKUP($C$22,#REF!,2,FALSE))),IF(EOMONTH(G115,VLOOKUP($C$22,#REF!,2,FALSE)-1)+$C$21&gt;DATE($B$112,9,30),"",EOMONTH(G115,VLOOKUP($C$22,#REF!,2,FALSE)-1)+$C$21)))))</f>
        <v>#REF!</v>
      </c>
      <c r="H116" s="46" t="e">
        <f t="shared" si="87"/>
        <v>#REF!</v>
      </c>
      <c r="I116" s="47" t="e">
        <f t="shared" si="99"/>
        <v>#REF!</v>
      </c>
      <c r="J116" s="50" t="e">
        <f t="shared" si="97"/>
        <v>#REF!</v>
      </c>
      <c r="K116" s="50" t="e">
        <f>IF(G116&lt;&gt;"",IF($C$14="","",IF(K115="","",IF(K115&lt;=0,"",IF(K115=$C$16,K115-$C$16,K115-$C$15)))),"")</f>
        <v>#REF!</v>
      </c>
      <c r="L116" s="82" t="e" cm="1">
        <f t="array" ref="L116">IF(AND(OR(J116=0,J116=""),OR(K116=0,K116="")),"",_xlfn.IFS($C$23&gt;=0.0035,0.003,$C$23&lt;0.0005,0,$C$23&lt;0.0035,$C$23-0.0005))</f>
        <v>#REF!</v>
      </c>
      <c r="M116" s="64" t="e">
        <f t="shared" si="100"/>
        <v>#REF!</v>
      </c>
      <c r="N116" s="65" t="e">
        <f t="shared" si="98"/>
        <v>#REF!</v>
      </c>
      <c r="O116" s="66" t="e">
        <f t="shared" si="96"/>
        <v>#REF!</v>
      </c>
      <c r="P116" s="106"/>
    </row>
    <row r="117" spans="2:16" s="14" customFormat="1" ht="19.5" hidden="1" thickBot="1" x14ac:dyDescent="0.45">
      <c r="B117" s="263"/>
      <c r="C117" s="266"/>
      <c r="D117" s="51" t="s">
        <v>40</v>
      </c>
      <c r="E117" s="74" t="e">
        <f t="shared" si="94"/>
        <v>#REF!</v>
      </c>
      <c r="F117" s="52" t="e">
        <f t="shared" si="101"/>
        <v>#REF!</v>
      </c>
      <c r="G117" s="102" t="e">
        <f>IF(G116="","",IF(G116+1&gt;DATE($B$112,9,30),"",IF(OR($C$21="",$C$22=""),"",IF($C$21="月末",IF(EOMONTH(G116,VLOOKUP($C$22,#REF!,2,FALSE))&gt;DATE($B$112,9,30),"",EOMONTH(G116,VLOOKUP($C$22,#REF!,2,FALSE))),IF(EOMONTH(G116,VLOOKUP($C$22,#REF!,2,FALSE)-1)+$C$21&gt;DATE($B$112,9,30),"",EOMONTH(G116,VLOOKUP($C$22,#REF!,2,FALSE)-1)+$C$21)))))</f>
        <v>#REF!</v>
      </c>
      <c r="H117" s="52" t="e">
        <f t="shared" si="87"/>
        <v>#REF!</v>
      </c>
      <c r="I117" s="53" t="e">
        <f>IF(G117="","",DATEDIF(E117,G117,"D")+1)</f>
        <v>#REF!</v>
      </c>
      <c r="J117" s="50" t="e">
        <f t="shared" si="97"/>
        <v>#REF!</v>
      </c>
      <c r="K117" s="50" t="e">
        <f>IF(G117&lt;&gt;"",IF($C$14="","",IF(K116="","",IF(K116&lt;=0,"",IF(K116=$C$16,K116-$C$16,K116-$C$15)))),"")</f>
        <v>#REF!</v>
      </c>
      <c r="L117" s="83" t="e" cm="1">
        <f t="array" ref="L117">IF(AND(OR(J117=0,J117=""),OR(K117=0,K117="")),"",_xlfn.IFS($C$23&gt;=0.0035,0.003,$C$23&lt;0.0005,0,$C$23&lt;0.0035,$C$23-0.0005))</f>
        <v>#REF!</v>
      </c>
      <c r="M117" s="67" t="e">
        <f t="shared" ref="M117" si="102">IF(G117="","",IF(K117="","",ROUNDDOWN(K117*(I117/365)*L117,0)))</f>
        <v>#REF!</v>
      </c>
      <c r="N117" s="68" t="e">
        <f t="shared" si="98"/>
        <v>#REF!</v>
      </c>
      <c r="O117" s="69" t="e">
        <f t="shared" si="96"/>
        <v>#REF!</v>
      </c>
      <c r="P117" s="106"/>
    </row>
    <row r="118" spans="2:16" s="14" customFormat="1" ht="19.5" hidden="1" thickBot="1" x14ac:dyDescent="0.45">
      <c r="B118" s="264"/>
      <c r="C118" s="57" t="s">
        <v>10</v>
      </c>
      <c r="D118" s="58"/>
      <c r="E118" s="75" t="e" cm="1">
        <f t="array" ref="E118">_xlfn.SINGLE(IF(E112:E117&lt;&gt;"",MIN(E112:E117),""))</f>
        <v>#REF!</v>
      </c>
      <c r="F118" s="59" t="e">
        <f t="shared" si="101"/>
        <v>#REF!</v>
      </c>
      <c r="G118" s="75" t="e" cm="1">
        <f t="array" ref="G118">_xlfn.SINGLE(IF(G112:G117&lt;&gt;"",MAX(G112:G117),""))</f>
        <v>#REF!</v>
      </c>
      <c r="H118" s="59" t="e">
        <f t="shared" si="87"/>
        <v>#REF!</v>
      </c>
      <c r="I118" s="60" t="e">
        <f>SUM(I112:I117)</f>
        <v>#REF!</v>
      </c>
      <c r="J118" s="58"/>
      <c r="K118" s="58"/>
      <c r="L118" s="84"/>
      <c r="M118" s="70" t="e">
        <f>SUM(M112:M117)</f>
        <v>#REF!</v>
      </c>
      <c r="N118" s="71"/>
      <c r="O118" s="72"/>
      <c r="P118" s="106"/>
    </row>
    <row r="119" spans="2:16" s="14" customFormat="1" hidden="1" x14ac:dyDescent="0.4">
      <c r="B119" s="263"/>
      <c r="C119" s="267" t="s">
        <v>4</v>
      </c>
      <c r="D119" s="54" t="s">
        <v>9</v>
      </c>
      <c r="E119" s="73" t="e">
        <f t="shared" ref="E119:E124" si="103">IF(G118="","",IF(G119="","",IF(G118+1&gt;DATE($B$112+1,3,31),"",G118+1)))</f>
        <v>#REF!</v>
      </c>
      <c r="F119" s="46" t="e">
        <f t="shared" si="101"/>
        <v>#REF!</v>
      </c>
      <c r="G119" s="102" t="e">
        <f>IF(G118="","",IF(G118+1&gt;DATE($B$112+1,3,31),"",IF(OR($C$21="",$C$22=""),"",IF($C$21="月末",IF(EOMONTH(G118,VLOOKUP($C$22,#REF!,2,FALSE))&gt;DATE($B$112+1,3,31),"",EOMONTH(G118,VLOOKUP($C$22,#REF!,2,FALSE))),IF(EOMONTH(G118,VLOOKUP($C$22,#REF!,2,FALSE)-1)+$C$21&gt;DATE($B$112+1,3,31),"",EOMONTH(G118,VLOOKUP($C$22,#REF!,2,FALSE)-1)+$C$21)))))</f>
        <v>#REF!</v>
      </c>
      <c r="H119" s="46" t="e">
        <f>IF(G119="","",TEXT(G119,"aaa"))</f>
        <v>#REF!</v>
      </c>
      <c r="I119" s="47" t="e">
        <f>IF(G119="","",DATEDIF(E119,G119,"D")+1)</f>
        <v>#REF!</v>
      </c>
      <c r="J119" s="50" t="e" cm="1">
        <f t="array" ref="J119">_xlfn.SINGLE(IF(G119&lt;&gt;"",IF($C$7="","",IF(J112:J117&lt;&gt;"",IF(MIN(J112:J117)&lt;=0,"",IF(MIN(J112:J117)=$C$9,MIN(J112:J117)-$C$9,MIN(J112:J117)-$C$8)),"")),""))</f>
        <v>#REF!</v>
      </c>
      <c r="K119" s="50" t="e" cm="1">
        <f t="array" ref="K119">_xlfn.SINGLE(IF($C$14="","",IF(K112:K117&lt;&gt;"",IF(MIN(K112:K117)&lt;=0,"",IF(MIN(K112:K117)=$C$16,MIN(K112:K117)-$C$16,MIN(K112:K117)-$C$15)),"")))</f>
        <v>#REF!</v>
      </c>
      <c r="L119" s="85" t="e" cm="1">
        <f t="array" ref="L119">IF(AND(OR(J119=0,J119=""),OR(K119=0,K119="")),"",_xlfn.IFS($C$23&gt;=0.0035,0.003,$C$23&lt;0.0005,0,$C$23&lt;0.0035,$C$23-0.0005))</f>
        <v>#REF!</v>
      </c>
      <c r="M119" s="61" t="e">
        <f t="shared" ref="M119:M120" si="104">IF(G119="","",IF(OR(K119="",K119=0),"",ROUNDDOWN(K119*(I119/365)*L119,0)))</f>
        <v>#REF!</v>
      </c>
      <c r="N119" s="62" t="e">
        <f>IF(OR(K119="",K119=0),"",IF(G119="","",$C$8))</f>
        <v>#REF!</v>
      </c>
      <c r="O119" s="63" t="e">
        <f t="shared" ref="O119:O124" si="105">IF(OR(K119="",K119=0),"",IF(G119="","",$C$15))</f>
        <v>#REF!</v>
      </c>
      <c r="P119" s="106"/>
    </row>
    <row r="120" spans="2:16" s="14" customFormat="1" hidden="1" x14ac:dyDescent="0.4">
      <c r="B120" s="263"/>
      <c r="C120" s="266"/>
      <c r="D120" s="49" t="s">
        <v>8</v>
      </c>
      <c r="E120" s="73" t="e">
        <f t="shared" si="103"/>
        <v>#REF!</v>
      </c>
      <c r="F120" s="46" t="e">
        <f t="shared" si="101"/>
        <v>#REF!</v>
      </c>
      <c r="G120" s="102" t="e">
        <f>IF(G119="","",IF(G119+1&gt;DATE($B$112+1,3,31),"",IF(OR($C$21="",$C$22=""),"",IF($C$21="月末",IF(EOMONTH(G119,VLOOKUP($C$22,#REF!,2,FALSE))&gt;DATE($B$112+1,3,31),"",EOMONTH(G119,VLOOKUP($C$22,#REF!,2,FALSE))),IF(EOMONTH(G119,VLOOKUP($C$22,#REF!,2,FALSE)-1)+$C$21&gt;DATE($B$112+1,3,31),"",EOMONTH(G119,VLOOKUP($C$22,#REF!,2,FALSE)-1)+$C$21)))))</f>
        <v>#REF!</v>
      </c>
      <c r="H120" s="46" t="e">
        <f t="shared" ref="H120:H132" si="106">IF(G120="","",TEXT(G120,"aaa"))</f>
        <v>#REF!</v>
      </c>
      <c r="I120" s="47" t="e">
        <f>IF(G120="","",DATEDIF(E120,G120,"D")+1)</f>
        <v>#REF!</v>
      </c>
      <c r="J120" s="50" t="e">
        <f t="shared" ref="J120:J124" si="107">IF(G120&lt;&gt;"",IF($C$7="","",IF(J119="","",IF(J119&lt;=0,"",IF(J119=$C$9,J119-$C$9,J119-$C$8)))),"")</f>
        <v>#REF!</v>
      </c>
      <c r="K120" s="50" t="e">
        <f>IF(G120&lt;&gt;"",IF($C$14="","",IF(K119="","",IF(K119&lt;=0,"",IF(K119=$C$16,K119-$C$16,K119-$C$15)))),"")</f>
        <v>#REF!</v>
      </c>
      <c r="L120" s="82" t="e" cm="1">
        <f t="array" ref="L120">IF(AND(OR(J120=0,J120=""),OR(K120=0,K120="")),"",_xlfn.IFS($C$23&gt;=0.0035,0.003,$C$23&lt;0.0005,0,$C$23&lt;0.0035,$C$23-0.0005))</f>
        <v>#REF!</v>
      </c>
      <c r="M120" s="64" t="e">
        <f t="shared" si="104"/>
        <v>#REF!</v>
      </c>
      <c r="N120" s="65" t="e">
        <f t="shared" ref="N120:N124" si="108">IF(OR(K120="",K120=0),"",IF(G120="","",$C$8))</f>
        <v>#REF!</v>
      </c>
      <c r="O120" s="66" t="e">
        <f t="shared" si="105"/>
        <v>#REF!</v>
      </c>
      <c r="P120" s="106"/>
    </row>
    <row r="121" spans="2:16" s="14" customFormat="1" hidden="1" x14ac:dyDescent="0.4">
      <c r="B121" s="263"/>
      <c r="C121" s="266"/>
      <c r="D121" s="49" t="s">
        <v>37</v>
      </c>
      <c r="E121" s="73" t="e">
        <f t="shared" si="103"/>
        <v>#REF!</v>
      </c>
      <c r="F121" s="46" t="e">
        <f t="shared" si="101"/>
        <v>#REF!</v>
      </c>
      <c r="G121" s="102" t="e">
        <f>IF(G120="","",IF(G120+1&gt;DATE($B$112+1,3,31),"",IF(OR($C$21="",$C$22=""),"",IF($C$21="月末",IF(EOMONTH(G120,VLOOKUP($C$22,#REF!,2,FALSE))&gt;DATE($B$112+1,3,31),"",EOMONTH(G120,VLOOKUP($C$22,#REF!,2,FALSE))),IF(EOMONTH(G120,VLOOKUP($C$22,#REF!,2,FALSE)-1)+$C$21&gt;DATE($B$112+1,3,31),"",EOMONTH(G120,VLOOKUP($C$22,#REF!,2,FALSE)-1)+$C$21)))))</f>
        <v>#REF!</v>
      </c>
      <c r="H121" s="46" t="e">
        <f t="shared" si="106"/>
        <v>#REF!</v>
      </c>
      <c r="I121" s="47" t="e">
        <f t="shared" ref="I121:I123" si="109">IF(G121="","",DATEDIF(E121,G121,"D")+1)</f>
        <v>#REF!</v>
      </c>
      <c r="J121" s="50" t="e">
        <f t="shared" si="107"/>
        <v>#REF!</v>
      </c>
      <c r="K121" s="50" t="e">
        <f>IF(G121&lt;&gt;"",IF($C$14="","",IF(K120="","",IF(K120&lt;=0,"",IF(K120=$C$16,K120-$C$16,K120-$C$15)))),"")</f>
        <v>#REF!</v>
      </c>
      <c r="L121" s="82" t="e" cm="1">
        <f t="array" ref="L121">IF(AND(OR(J121=0,J121=""),OR(K121=0,K121="")),"",_xlfn.IFS($C$23&gt;=0.0035,0.003,$C$23&lt;0.0005,0,$C$23&lt;0.0035,$C$23-0.0005))</f>
        <v>#REF!</v>
      </c>
      <c r="M121" s="64" t="e">
        <f>IF(G121="","",IF(OR(K121="",K121=0),"",ROUNDDOWN(K121*(I121/365)*L121,0)))</f>
        <v>#REF!</v>
      </c>
      <c r="N121" s="65" t="e">
        <f t="shared" si="108"/>
        <v>#REF!</v>
      </c>
      <c r="O121" s="66" t="e">
        <f t="shared" si="105"/>
        <v>#REF!</v>
      </c>
      <c r="P121" s="106"/>
    </row>
    <row r="122" spans="2:16" s="14" customFormat="1" hidden="1" x14ac:dyDescent="0.4">
      <c r="B122" s="263"/>
      <c r="C122" s="266"/>
      <c r="D122" s="49" t="s">
        <v>38</v>
      </c>
      <c r="E122" s="73" t="e">
        <f t="shared" si="103"/>
        <v>#REF!</v>
      </c>
      <c r="F122" s="46" t="e">
        <f t="shared" si="101"/>
        <v>#REF!</v>
      </c>
      <c r="G122" s="102" t="e">
        <f>IF(G121="","",IF(G121+1&gt;DATE($B$112+1,3,31),"",IF(OR($C$21="",$C$22=""),"",IF($C$21="月末",IF(EOMONTH(G121,VLOOKUP($C$22,#REF!,2,FALSE))&gt;DATE($B$112+1,3,31),"",EOMONTH(G121,VLOOKUP($C$22,#REF!,2,FALSE))),IF(EOMONTH(G121,VLOOKUP($C$22,#REF!,2,FALSE)-1)+$C$21&gt;DATE($B$112+1,3,31),"",EOMONTH(G121,VLOOKUP($C$22,#REF!,2,FALSE)-1)+$C$21)))))</f>
        <v>#REF!</v>
      </c>
      <c r="H122" s="46" t="e">
        <f t="shared" si="106"/>
        <v>#REF!</v>
      </c>
      <c r="I122" s="47" t="e">
        <f t="shared" si="109"/>
        <v>#REF!</v>
      </c>
      <c r="J122" s="50" t="e">
        <f t="shared" si="107"/>
        <v>#REF!</v>
      </c>
      <c r="K122" s="50" t="e">
        <f>IF(G122&lt;&gt;"",IF($C$14="","",IF(K121="","",IF(K121&lt;=0,"",IF(K121=$C$16,K121-$C$16,K121-$C$15)))),"")</f>
        <v>#REF!</v>
      </c>
      <c r="L122" s="82" t="e" cm="1">
        <f t="array" ref="L122">IF(AND(OR(J122=0,J122=""),OR(K122=0,K122="")),"",_xlfn.IFS($C$23&gt;=0.0035,0.003,$C$23&lt;0.0005,0,$C$23&lt;0.0035,$C$23-0.0005))</f>
        <v>#REF!</v>
      </c>
      <c r="M122" s="64" t="e">
        <f t="shared" ref="M122:M123" si="110">IF(G122="","",IF(OR(K122="",K122=0),"",ROUNDDOWN(K122*(I122/365)*L122,0)))</f>
        <v>#REF!</v>
      </c>
      <c r="N122" s="65" t="e">
        <f t="shared" si="108"/>
        <v>#REF!</v>
      </c>
      <c r="O122" s="66" t="e">
        <f t="shared" si="105"/>
        <v>#REF!</v>
      </c>
      <c r="P122" s="106"/>
    </row>
    <row r="123" spans="2:16" s="14" customFormat="1" hidden="1" x14ac:dyDescent="0.4">
      <c r="B123" s="263"/>
      <c r="C123" s="266"/>
      <c r="D123" s="49" t="s">
        <v>39</v>
      </c>
      <c r="E123" s="73" t="e">
        <f t="shared" si="103"/>
        <v>#REF!</v>
      </c>
      <c r="F123" s="46" t="e">
        <f t="shared" si="101"/>
        <v>#REF!</v>
      </c>
      <c r="G123" s="102" t="e">
        <f>IF(G122="","",IF(G122+1&gt;DATE($B$112+1,3,31),"",IF(OR($C$21="",$C$22=""),"",IF($C$21="月末",IF(EOMONTH(G122,VLOOKUP($C$22,#REF!,2,FALSE))&gt;DATE($B$112+1,3,31),"",EOMONTH(G122,VLOOKUP($C$22,#REF!,2,FALSE))),IF(EOMONTH(G122,VLOOKUP($C$22,#REF!,2,FALSE)-1)+$C$21&gt;DATE($B$112+1,3,31),"",EOMONTH(G122,VLOOKUP($C$22,#REF!,2,FALSE)-1)+$C$21)))))</f>
        <v>#REF!</v>
      </c>
      <c r="H123" s="46" t="e">
        <f t="shared" si="106"/>
        <v>#REF!</v>
      </c>
      <c r="I123" s="47" t="e">
        <f t="shared" si="109"/>
        <v>#REF!</v>
      </c>
      <c r="J123" s="50" t="e">
        <f t="shared" si="107"/>
        <v>#REF!</v>
      </c>
      <c r="K123" s="50" t="e">
        <f>IF(G123&lt;&gt;"",IF($C$14="","",IF(K122="","",IF(K122&lt;=0,"",IF(K122=$C$16,K122-$C$16,K122-$C$15)))),"")</f>
        <v>#REF!</v>
      </c>
      <c r="L123" s="82" t="e" cm="1">
        <f t="array" ref="L123">IF(AND(OR(J123=0,J123=""),OR(K123=0,K123="")),"",_xlfn.IFS($C$23&gt;=0.0035,0.003,$C$23&lt;0.0005,0,$C$23&lt;0.0035,$C$23-0.0005))</f>
        <v>#REF!</v>
      </c>
      <c r="M123" s="64" t="e">
        <f t="shared" si="110"/>
        <v>#REF!</v>
      </c>
      <c r="N123" s="65" t="e">
        <f t="shared" si="108"/>
        <v>#REF!</v>
      </c>
      <c r="O123" s="66" t="e">
        <f t="shared" si="105"/>
        <v>#REF!</v>
      </c>
      <c r="P123" s="106"/>
    </row>
    <row r="124" spans="2:16" s="14" customFormat="1" ht="19.5" hidden="1" thickBot="1" x14ac:dyDescent="0.45">
      <c r="B124" s="263"/>
      <c r="C124" s="266"/>
      <c r="D124" s="51" t="s">
        <v>41</v>
      </c>
      <c r="E124" s="74" t="e">
        <f t="shared" si="103"/>
        <v>#REF!</v>
      </c>
      <c r="F124" s="52" t="e">
        <f t="shared" si="101"/>
        <v>#REF!</v>
      </c>
      <c r="G124" s="102" t="e">
        <f>IF(G123="","",IF(G123+1&gt;DATE($B$112+1,3,31),"",IF(OR($C$21="",$C$22=""),"",IF($C$21="月末",IF(EOMONTH(G123,VLOOKUP($C$22,#REF!,2,FALSE))&gt;DATE($B$112+1,3,31),"",EOMONTH(G123,VLOOKUP($C$22,#REF!,2,FALSE))),IF(EOMONTH(G123,VLOOKUP($C$22,#REF!,2,FALSE)-1)+$C$21&gt;DATE($B$112+1,3,31),"",EOMONTH(G123,VLOOKUP($C$22,#REF!,2,FALSE)-1)+$C$21)))))</f>
        <v>#REF!</v>
      </c>
      <c r="H124" s="52" t="e">
        <f t="shared" si="106"/>
        <v>#REF!</v>
      </c>
      <c r="I124" s="53" t="e">
        <f>IF(G124="","",DATEDIF(E124,G124,"D")+1)</f>
        <v>#REF!</v>
      </c>
      <c r="J124" s="50" t="e">
        <f t="shared" si="107"/>
        <v>#REF!</v>
      </c>
      <c r="K124" s="50" t="e">
        <f>IF(G124&lt;&gt;"",IF($C$14="","",IF(K123="","",IF(K123&lt;=0,"",IF(K123=$C$16,K123-$C$16,K123-$C$15)))),"")</f>
        <v>#REF!</v>
      </c>
      <c r="L124" s="83" t="e" cm="1">
        <f t="array" ref="L124">IF(AND(OR(J124=0,J124=""),OR(K124=0,K124="")),"",_xlfn.IFS($C$23&gt;=0.0035,0.003,$C$23&lt;0.0005,0,$C$23&lt;0.0035,$C$23-0.0005))</f>
        <v>#REF!</v>
      </c>
      <c r="M124" s="67" t="e">
        <f t="shared" ref="M124" si="111">IF(G124="","",IF(K124="","",ROUNDDOWN(K124*(I124/365)*L124,0)))</f>
        <v>#REF!</v>
      </c>
      <c r="N124" s="68" t="e">
        <f t="shared" si="108"/>
        <v>#REF!</v>
      </c>
      <c r="O124" s="69" t="e">
        <f t="shared" si="105"/>
        <v>#REF!</v>
      </c>
      <c r="P124" s="106"/>
    </row>
    <row r="125" spans="2:16" s="14" customFormat="1" ht="19.5" hidden="1" thickBot="1" x14ac:dyDescent="0.45">
      <c r="B125" s="265"/>
      <c r="C125" s="57" t="s">
        <v>10</v>
      </c>
      <c r="D125" s="58"/>
      <c r="E125" s="75" t="e" cm="1">
        <f t="array" ref="E125">_xlfn.SINGLE(IF(E119:E124&lt;&gt;"",MIN(E119:E124),""))</f>
        <v>#REF!</v>
      </c>
      <c r="F125" s="59" t="e">
        <f t="shared" si="101"/>
        <v>#REF!</v>
      </c>
      <c r="G125" s="75" t="e" cm="1">
        <f t="array" ref="G125">_xlfn.SINGLE(IF(G119:G124&lt;&gt;"",MAX(G119:G124),""))</f>
        <v>#REF!</v>
      </c>
      <c r="H125" s="59" t="e">
        <f t="shared" si="106"/>
        <v>#REF!</v>
      </c>
      <c r="I125" s="60" t="e">
        <f>SUM(I119:I124)</f>
        <v>#REF!</v>
      </c>
      <c r="J125" s="58"/>
      <c r="K125" s="58"/>
      <c r="L125" s="84"/>
      <c r="M125" s="70" t="e">
        <f>SUM(M119:M124)</f>
        <v>#REF!</v>
      </c>
      <c r="N125" s="71"/>
      <c r="O125" s="72"/>
      <c r="P125" s="106"/>
    </row>
    <row r="126" spans="2:16" s="14" customFormat="1" hidden="1" x14ac:dyDescent="0.4">
      <c r="B126" s="262">
        <f t="shared" ref="B126" si="112">B112+1</f>
        <v>2032</v>
      </c>
      <c r="C126" s="266" t="s">
        <v>3</v>
      </c>
      <c r="D126" s="45" t="s">
        <v>6</v>
      </c>
      <c r="E126" s="73" t="e">
        <f t="shared" ref="E126:E131" si="113">IF(G125="","",IF(G126="","",IF(G125+1&gt;DATE($B$126+1,3,31),"",G125+1)))</f>
        <v>#REF!</v>
      </c>
      <c r="F126" s="46" t="e">
        <f t="shared" si="101"/>
        <v>#REF!</v>
      </c>
      <c r="G126" s="102" t="e">
        <f>IF(G125="","",IF(G125+1&gt;DATE($B$126,9,30),"",IF(OR($C$21="",$C$22=""),"",IF($C$21="月末",IF(EOMONTH(G125,VLOOKUP($C$22,#REF!,2,FALSE))&gt;DATE($B$126,9,30),"",EOMONTH(G125,VLOOKUP($C$22,#REF!,2,FALSE))),IF(EOMONTH(G125,VLOOKUP($C$22,#REF!,2,FALSE)-1)+$C$21&gt;DATE($B$126,9,30),"",EOMONTH(G125,VLOOKUP($C$22,#REF!,2,FALSE)-1)+$C$21)))))</f>
        <v>#REF!</v>
      </c>
      <c r="H126" s="46" t="e">
        <f t="shared" si="106"/>
        <v>#REF!</v>
      </c>
      <c r="I126" s="47" t="e">
        <f>IF(G126="","",DATEDIF(E126,G126,"D")+1)</f>
        <v>#REF!</v>
      </c>
      <c r="J126" s="50" t="e" cm="1">
        <f t="array" ref="J126">_xlfn.SINGLE(IF(G126&lt;&gt;"",IF($C$7="","",IF(J119:J124&lt;&gt;"",IF(MIN(J119:J124)&lt;=0,"",IF(MIN(J119:J124)=$C$9,MIN(J119:J124)-$C$9,MIN(J119:J124)-$C$8)),"")),""))</f>
        <v>#REF!</v>
      </c>
      <c r="K126" s="50" t="e" cm="1">
        <f t="array" ref="K126">_xlfn.SINGLE(IF($C$14="","",IF(K119:K124&lt;&gt;"",IF(MIN(K119:K124)&lt;=0,"",IF(MIN(K119:K124)=$C$16,MIN(K119:K124)-$C$16,MIN(K119:K124)-$C$15)),"")))</f>
        <v>#REF!</v>
      </c>
      <c r="L126" s="82" t="e" cm="1">
        <f t="array" ref="L126">IF(AND(OR(J126=0,J126=""),OR(K126=0,K126="")),"",_xlfn.IFS($C$23&gt;=0.0035,0.003,$C$23&lt;0.0005,0,$C$23&lt;0.0035,$C$23-0.0005))</f>
        <v>#REF!</v>
      </c>
      <c r="M126" s="61" t="e">
        <f t="shared" ref="M126:M127" si="114">IF(G126="","",IF(OR(K126="",K126=0),"",ROUNDDOWN(K126*(I126/365)*L126,0)))</f>
        <v>#REF!</v>
      </c>
      <c r="N126" s="62" t="e">
        <f>IF(OR(K126="",K126=0),"",IF(G126="","",$C$8))</f>
        <v>#REF!</v>
      </c>
      <c r="O126" s="63" t="e">
        <f t="shared" ref="O126:O131" si="115">IF(OR(K126="",K126=0),"",IF(G126="","",$C$15))</f>
        <v>#REF!</v>
      </c>
      <c r="P126" s="106"/>
    </row>
    <row r="127" spans="2:16" s="14" customFormat="1" hidden="1" x14ac:dyDescent="0.4">
      <c r="B127" s="263"/>
      <c r="C127" s="266"/>
      <c r="D127" s="49" t="s">
        <v>7</v>
      </c>
      <c r="E127" s="73" t="e">
        <f t="shared" si="113"/>
        <v>#REF!</v>
      </c>
      <c r="F127" s="46" t="e">
        <f t="shared" si="101"/>
        <v>#REF!</v>
      </c>
      <c r="G127" s="102" t="e">
        <f>IF(G126="","",IF(G126+1&gt;DATE($B$126,9,30),"",IF(OR($C$21="",$C$22=""),"",IF($C$21="月末",IF(EOMONTH(G126,VLOOKUP($C$22,#REF!,2,FALSE))&gt;DATE($B$126,9,30),"",EOMONTH(G126,VLOOKUP($C$22,#REF!,2,FALSE))),IF(EOMONTH(G126,VLOOKUP($C$22,#REF!,2,FALSE)-1)+$C$21&gt;DATE($B$126,9,30),"",EOMONTH(G126,VLOOKUP($C$22,#REF!,2,FALSE)-1)+$C$21)))))</f>
        <v>#REF!</v>
      </c>
      <c r="H127" s="46" t="e">
        <f t="shared" si="106"/>
        <v>#REF!</v>
      </c>
      <c r="I127" s="47" t="e">
        <f>IF(G127="","",DATEDIF(E127,G127,"D")+1)</f>
        <v>#REF!</v>
      </c>
      <c r="J127" s="50" t="e">
        <f t="shared" ref="J127:J131" si="116">IF(G127&lt;&gt;"",IF($C$7="","",IF(J126="","",IF(J126&lt;=0,"",IF(J126=$C$9,J126-$C$9,J126-$C$8)))),"")</f>
        <v>#REF!</v>
      </c>
      <c r="K127" s="50" t="e">
        <f>IF(G127&lt;&gt;"",IF($C$14="","",IF(K126="","",IF(K126&lt;=0,"",IF(K126=$C$16,K126-$C$16,K126-$C$15)))),"")</f>
        <v>#REF!</v>
      </c>
      <c r="L127" s="82" t="e" cm="1">
        <f t="array" ref="L127">IF(AND(OR(J127=0,J127=""),OR(K127=0,K127="")),"",_xlfn.IFS($C$23&gt;=0.0035,0.003,$C$23&lt;0.0005,0,$C$23&lt;0.0035,$C$23-0.0005))</f>
        <v>#REF!</v>
      </c>
      <c r="M127" s="64" t="e">
        <f t="shared" si="114"/>
        <v>#REF!</v>
      </c>
      <c r="N127" s="65" t="e">
        <f t="shared" ref="N127:N131" si="117">IF(OR(K127="",K127=0),"",IF(G127="","",$C$8))</f>
        <v>#REF!</v>
      </c>
      <c r="O127" s="66" t="e">
        <f t="shared" si="115"/>
        <v>#REF!</v>
      </c>
      <c r="P127" s="106"/>
    </row>
    <row r="128" spans="2:16" s="14" customFormat="1" hidden="1" x14ac:dyDescent="0.4">
      <c r="B128" s="263"/>
      <c r="C128" s="266"/>
      <c r="D128" s="49" t="s">
        <v>34</v>
      </c>
      <c r="E128" s="73" t="e">
        <f t="shared" si="113"/>
        <v>#REF!</v>
      </c>
      <c r="F128" s="46" t="e">
        <f t="shared" si="101"/>
        <v>#REF!</v>
      </c>
      <c r="G128" s="102" t="e">
        <f>IF(G127="","",IF(G127+1&gt;DATE($B$126,9,30),"",IF(OR($C$21="",$C$22=""),"",IF($C$21="月末",IF(EOMONTH(G127,VLOOKUP($C$22,#REF!,2,FALSE))&gt;DATE($B$126,9,30),"",EOMONTH(G127,VLOOKUP($C$22,#REF!,2,FALSE))),IF(EOMONTH(G127,VLOOKUP($C$22,#REF!,2,FALSE)-1)+$C$21&gt;DATE($B$126,9,30),"",EOMONTH(G127,VLOOKUP($C$22,#REF!,2,FALSE)-1)+$C$21)))))</f>
        <v>#REF!</v>
      </c>
      <c r="H128" s="46" t="e">
        <f t="shared" si="106"/>
        <v>#REF!</v>
      </c>
      <c r="I128" s="47" t="e">
        <f t="shared" ref="I128:I130" si="118">IF(G128="","",DATEDIF(E128,G128,"D")+1)</f>
        <v>#REF!</v>
      </c>
      <c r="J128" s="50" t="e">
        <f t="shared" si="116"/>
        <v>#REF!</v>
      </c>
      <c r="K128" s="50" t="e">
        <f>IF(G128&lt;&gt;"",IF($C$14="","",IF(K127="","",IF(K127&lt;=0,"",IF(K127=$C$16,K127-$C$16,K127-$C$15)))),"")</f>
        <v>#REF!</v>
      </c>
      <c r="L128" s="82" t="e" cm="1">
        <f t="array" ref="L128">IF(AND(OR(J128=0,J128=""),OR(K128=0,K128="")),"",_xlfn.IFS($C$23&gt;=0.0035,0.003,$C$23&lt;0.0005,0,$C$23&lt;0.0035,$C$23-0.0005))</f>
        <v>#REF!</v>
      </c>
      <c r="M128" s="64" t="e">
        <f>IF(G128="","",IF(OR(K128="",K128=0),"",ROUNDDOWN(K128*(I128/365)*L128,0)))</f>
        <v>#REF!</v>
      </c>
      <c r="N128" s="65" t="e">
        <f t="shared" si="117"/>
        <v>#REF!</v>
      </c>
      <c r="O128" s="66" t="e">
        <f t="shared" si="115"/>
        <v>#REF!</v>
      </c>
      <c r="P128" s="106"/>
    </row>
    <row r="129" spans="2:16" s="14" customFormat="1" hidden="1" x14ac:dyDescent="0.4">
      <c r="B129" s="263"/>
      <c r="C129" s="266"/>
      <c r="D129" s="49" t="s">
        <v>35</v>
      </c>
      <c r="E129" s="73" t="e">
        <f t="shared" si="113"/>
        <v>#REF!</v>
      </c>
      <c r="F129" s="46" t="e">
        <f t="shared" si="101"/>
        <v>#REF!</v>
      </c>
      <c r="G129" s="102" t="e">
        <f>IF(G128="","",IF(G128+1&gt;DATE($B$126,9,30),"",IF(OR($C$21="",$C$22=""),"",IF($C$21="月末",IF(EOMONTH(G128,VLOOKUP($C$22,#REF!,2,FALSE))&gt;DATE($B$126,9,30),"",EOMONTH(G128,VLOOKUP($C$22,#REF!,2,FALSE))),IF(EOMONTH(G128,VLOOKUP($C$22,#REF!,2,FALSE)-1)+$C$21&gt;DATE($B$126,9,30),"",EOMONTH(G128,VLOOKUP($C$22,#REF!,2,FALSE)-1)+$C$21)))))</f>
        <v>#REF!</v>
      </c>
      <c r="H129" s="46" t="e">
        <f t="shared" si="106"/>
        <v>#REF!</v>
      </c>
      <c r="I129" s="47" t="e">
        <f t="shared" si="118"/>
        <v>#REF!</v>
      </c>
      <c r="J129" s="50" t="e">
        <f t="shared" si="116"/>
        <v>#REF!</v>
      </c>
      <c r="K129" s="50" t="e">
        <f>IF(G129&lt;&gt;"",IF($C$14="","",IF(K128="","",IF(K128&lt;=0,"",IF(K128=$C$16,K128-$C$16,K128-$C$15)))),"")</f>
        <v>#REF!</v>
      </c>
      <c r="L129" s="82" t="e" cm="1">
        <f t="array" ref="L129">IF(AND(OR(J129=0,J129=""),OR(K129=0,K129="")),"",_xlfn.IFS($C$23&gt;=0.0035,0.003,$C$23&lt;0.0005,0,$C$23&lt;0.0035,$C$23-0.0005))</f>
        <v>#REF!</v>
      </c>
      <c r="M129" s="64" t="e">
        <f t="shared" ref="M129:M130" si="119">IF(G129="","",IF(OR(K129="",K129=0),"",ROUNDDOWN(K129*(I129/365)*L129,0)))</f>
        <v>#REF!</v>
      </c>
      <c r="N129" s="65" t="e">
        <f t="shared" si="117"/>
        <v>#REF!</v>
      </c>
      <c r="O129" s="66" t="e">
        <f t="shared" si="115"/>
        <v>#REF!</v>
      </c>
      <c r="P129" s="106"/>
    </row>
    <row r="130" spans="2:16" s="14" customFormat="1" hidden="1" x14ac:dyDescent="0.4">
      <c r="B130" s="263"/>
      <c r="C130" s="266"/>
      <c r="D130" s="49" t="s">
        <v>36</v>
      </c>
      <c r="E130" s="73" t="e">
        <f t="shared" si="113"/>
        <v>#REF!</v>
      </c>
      <c r="F130" s="46" t="e">
        <f t="shared" si="101"/>
        <v>#REF!</v>
      </c>
      <c r="G130" s="102" t="e">
        <f>IF(G129="","",IF(G129+1&gt;DATE($B$126,9,30),"",IF(OR($C$21="",$C$22=""),"",IF($C$21="月末",IF(EOMONTH(G129,VLOOKUP($C$22,#REF!,2,FALSE))&gt;DATE($B$126,9,30),"",EOMONTH(G129,VLOOKUP($C$22,#REF!,2,FALSE))),IF(EOMONTH(G129,VLOOKUP($C$22,#REF!,2,FALSE)-1)+$C$21&gt;DATE($B$126,9,30),"",EOMONTH(G129,VLOOKUP($C$22,#REF!,2,FALSE)-1)+$C$21)))))</f>
        <v>#REF!</v>
      </c>
      <c r="H130" s="46" t="e">
        <f t="shared" si="106"/>
        <v>#REF!</v>
      </c>
      <c r="I130" s="47" t="e">
        <f t="shared" si="118"/>
        <v>#REF!</v>
      </c>
      <c r="J130" s="50" t="e">
        <f t="shared" si="116"/>
        <v>#REF!</v>
      </c>
      <c r="K130" s="50" t="e">
        <f>IF(G130&lt;&gt;"",IF($C$14="","",IF(K129="","",IF(K129&lt;=0,"",IF(K129=$C$16,K129-$C$16,K129-$C$15)))),"")</f>
        <v>#REF!</v>
      </c>
      <c r="L130" s="82" t="e" cm="1">
        <f t="array" ref="L130">IF(AND(OR(J130=0,J130=""),OR(K130=0,K130="")),"",_xlfn.IFS($C$23&gt;=0.0035,0.003,$C$23&lt;0.0005,0,$C$23&lt;0.0035,$C$23-0.0005))</f>
        <v>#REF!</v>
      </c>
      <c r="M130" s="64" t="e">
        <f t="shared" si="119"/>
        <v>#REF!</v>
      </c>
      <c r="N130" s="65" t="e">
        <f t="shared" si="117"/>
        <v>#REF!</v>
      </c>
      <c r="O130" s="66" t="e">
        <f t="shared" si="115"/>
        <v>#REF!</v>
      </c>
      <c r="P130" s="106"/>
    </row>
    <row r="131" spans="2:16" s="14" customFormat="1" ht="19.5" hidden="1" thickBot="1" x14ac:dyDescent="0.45">
      <c r="B131" s="263"/>
      <c r="C131" s="266"/>
      <c r="D131" s="51" t="s">
        <v>40</v>
      </c>
      <c r="E131" s="74" t="e">
        <f t="shared" si="113"/>
        <v>#REF!</v>
      </c>
      <c r="F131" s="52" t="e">
        <f t="shared" si="101"/>
        <v>#REF!</v>
      </c>
      <c r="G131" s="102" t="e">
        <f>IF(G130="","",IF(G130+1&gt;DATE($B$126,9,30),"",IF(OR($C$21="",$C$22=""),"",IF($C$21="月末",IF(EOMONTH(G130,VLOOKUP($C$22,#REF!,2,FALSE))&gt;DATE($B$126,9,30),"",EOMONTH(G130,VLOOKUP($C$22,#REF!,2,FALSE))),IF(EOMONTH(G130,VLOOKUP($C$22,#REF!,2,FALSE)-1)+$C$21&gt;DATE($B$126,9,30),"",EOMONTH(G130,VLOOKUP($C$22,#REF!,2,FALSE)-1)+$C$21)))))</f>
        <v>#REF!</v>
      </c>
      <c r="H131" s="52" t="e">
        <f t="shared" si="106"/>
        <v>#REF!</v>
      </c>
      <c r="I131" s="53" t="e">
        <f>IF(G131="","",DATEDIF(E131,G131,"D")+1)</f>
        <v>#REF!</v>
      </c>
      <c r="J131" s="50" t="e">
        <f t="shared" si="116"/>
        <v>#REF!</v>
      </c>
      <c r="K131" s="50" t="e">
        <f>IF(G131&lt;&gt;"",IF($C$14="","",IF(K130="","",IF(K130&lt;=0,"",IF(K130=$C$16,K130-$C$16,K130-$C$15)))),"")</f>
        <v>#REF!</v>
      </c>
      <c r="L131" s="83" t="e" cm="1">
        <f t="array" ref="L131">IF(AND(OR(J131=0,J131=""),OR(K131=0,K131="")),"",_xlfn.IFS($C$23&gt;=0.0035,0.003,$C$23&lt;0.0005,0,$C$23&lt;0.0035,$C$23-0.0005))</f>
        <v>#REF!</v>
      </c>
      <c r="M131" s="67" t="e">
        <f t="shared" ref="M131" si="120">IF(G131="","",IF(K131="","",ROUNDDOWN(K131*(I131/365)*L131,0)))</f>
        <v>#REF!</v>
      </c>
      <c r="N131" s="68" t="e">
        <f t="shared" si="117"/>
        <v>#REF!</v>
      </c>
      <c r="O131" s="69" t="e">
        <f t="shared" si="115"/>
        <v>#REF!</v>
      </c>
      <c r="P131" s="106"/>
    </row>
    <row r="132" spans="2:16" s="14" customFormat="1" ht="19.5" hidden="1" thickBot="1" x14ac:dyDescent="0.45">
      <c r="B132" s="264"/>
      <c r="C132" s="57" t="s">
        <v>10</v>
      </c>
      <c r="D132" s="58"/>
      <c r="E132" s="75" t="e" cm="1">
        <f t="array" ref="E132">_xlfn.SINGLE(IF(E126:E131&lt;&gt;"",MIN(E126:E131),""))</f>
        <v>#REF!</v>
      </c>
      <c r="F132" s="59" t="e">
        <f t="shared" si="101"/>
        <v>#REF!</v>
      </c>
      <c r="G132" s="75" t="e" cm="1">
        <f t="array" ref="G132">_xlfn.SINGLE(IF(G126:G131&lt;&gt;"",MAX(G126:G131),""))</f>
        <v>#REF!</v>
      </c>
      <c r="H132" s="59" t="e">
        <f t="shared" si="106"/>
        <v>#REF!</v>
      </c>
      <c r="I132" s="60" t="e">
        <f>SUM(I126:I131)</f>
        <v>#REF!</v>
      </c>
      <c r="J132" s="58"/>
      <c r="K132" s="58"/>
      <c r="L132" s="84"/>
      <c r="M132" s="70" t="e">
        <f>SUM(M126:M131)</f>
        <v>#REF!</v>
      </c>
      <c r="N132" s="71"/>
      <c r="O132" s="72"/>
      <c r="P132" s="106"/>
    </row>
    <row r="133" spans="2:16" s="14" customFormat="1" hidden="1" x14ac:dyDescent="0.4">
      <c r="B133" s="263"/>
      <c r="C133" s="267" t="s">
        <v>4</v>
      </c>
      <c r="D133" s="54" t="s">
        <v>9</v>
      </c>
      <c r="E133" s="73" t="e">
        <f t="shared" ref="E133:E138" si="121">IF(G132="","",IF(G133="","",IF(G132+1&gt;DATE($B$126+1,3,31),"",G132+1)))</f>
        <v>#REF!</v>
      </c>
      <c r="F133" s="46" t="e">
        <f t="shared" si="101"/>
        <v>#REF!</v>
      </c>
      <c r="G133" s="102" t="e">
        <f>IF(G132="","",IF(G132+1&gt;DATE($B$126+1,3,31),"",IF(OR($C$21="",$C$22=""),"",IF($C$21="月末",IF(EOMONTH(G132,VLOOKUP($C$22,#REF!,2,FALSE))&gt;DATE($B$126+1,3,31),"",EOMONTH(G132,VLOOKUP($C$22,#REF!,2,FALSE))),IF(EOMONTH(G132,VLOOKUP($C$22,#REF!,2,FALSE)-1)+$C$21&gt;DATE($B$126+1,3,31),"",EOMONTH(G132,VLOOKUP($C$22,#REF!,2,FALSE)-1)+$C$21)))))</f>
        <v>#REF!</v>
      </c>
      <c r="H133" s="46" t="e">
        <f>IF(G133="","",TEXT(G133,"aaa"))</f>
        <v>#REF!</v>
      </c>
      <c r="I133" s="47" t="e">
        <f>IF(G133="","",DATEDIF(E133,G133,"D")+1)</f>
        <v>#REF!</v>
      </c>
      <c r="J133" s="50" t="e" cm="1">
        <f t="array" ref="J133">_xlfn.SINGLE(IF(G133&lt;&gt;"",IF($C$7="","",IF(J126:J131&lt;&gt;"",IF(MIN(J126:J131)&lt;=0,"",IF(MIN(J126:J131)=$C$9,MIN(J126:J131)-$C$9,MIN(J126:J131)-$C$8)),"")),""))</f>
        <v>#REF!</v>
      </c>
      <c r="K133" s="50" t="e" cm="1">
        <f t="array" ref="K133">_xlfn.SINGLE(IF($C$14="","",IF(K126:K131&lt;&gt;"",IF(MIN(K126:K131)&lt;=0,"",IF(MIN(K126:K131)=$C$16,MIN(K126:K131)-$C$16,MIN(K126:K131)-$C$15)),"")))</f>
        <v>#REF!</v>
      </c>
      <c r="L133" s="85" t="e" cm="1">
        <f t="array" ref="L133">IF(AND(OR(J133=0,J133=""),OR(K133=0,K133="")),"",_xlfn.IFS($C$23&gt;=0.0035,0.003,$C$23&lt;0.0005,0,$C$23&lt;0.0035,$C$23-0.0005))</f>
        <v>#REF!</v>
      </c>
      <c r="M133" s="61" t="e">
        <f t="shared" ref="M133:M134" si="122">IF(G133="","",IF(OR(K133="",K133=0),"",ROUNDDOWN(K133*(I133/365)*L133,0)))</f>
        <v>#REF!</v>
      </c>
      <c r="N133" s="62" t="e">
        <f>IF(OR(K133="",K133=0),"",IF(G133="","",$C$8))</f>
        <v>#REF!</v>
      </c>
      <c r="O133" s="63" t="e">
        <f t="shared" ref="O133:O138" si="123">IF(OR(K133="",K133=0),"",IF(G133="","",$C$15))</f>
        <v>#REF!</v>
      </c>
      <c r="P133" s="106"/>
    </row>
    <row r="134" spans="2:16" s="14" customFormat="1" hidden="1" x14ac:dyDescent="0.4">
      <c r="B134" s="263"/>
      <c r="C134" s="266"/>
      <c r="D134" s="49" t="s">
        <v>8</v>
      </c>
      <c r="E134" s="73" t="e">
        <f t="shared" si="121"/>
        <v>#REF!</v>
      </c>
      <c r="F134" s="46" t="e">
        <f t="shared" si="101"/>
        <v>#REF!</v>
      </c>
      <c r="G134" s="102" t="e">
        <f>IF(G133="","",IF(G133+1&gt;DATE($B$126+1,3,31),"",IF(OR($C$21="",$C$22=""),"",IF($C$21="月末",IF(EOMONTH(G133,VLOOKUP($C$22,#REF!,2,FALSE))&gt;DATE($B$126+1,3,31),"",EOMONTH(G133,VLOOKUP($C$22,#REF!,2,FALSE))),IF(EOMONTH(G133,VLOOKUP($C$22,#REF!,2,FALSE)-1)+$C$21&gt;DATE($B$126+1,3,31),"",EOMONTH(G133,VLOOKUP($C$22,#REF!,2,FALSE)-1)+$C$21)))))</f>
        <v>#REF!</v>
      </c>
      <c r="H134" s="46" t="e">
        <f t="shared" ref="H134:H146" si="124">IF(G134="","",TEXT(G134,"aaa"))</f>
        <v>#REF!</v>
      </c>
      <c r="I134" s="47" t="e">
        <f>IF(G134="","",DATEDIF(E134,G134,"D")+1)</f>
        <v>#REF!</v>
      </c>
      <c r="J134" s="50" t="e">
        <f t="shared" ref="J134:J138" si="125">IF(G134&lt;&gt;"",IF($C$7="","",IF(J133="","",IF(J133&lt;=0,"",IF(J133=$C$9,J133-$C$9,J133-$C$8)))),"")</f>
        <v>#REF!</v>
      </c>
      <c r="K134" s="50" t="e">
        <f>IF(G134&lt;&gt;"",IF($C$14="","",IF(K133="","",IF(K133&lt;=0,"",IF(K133=$C$16,K133-$C$16,K133-$C$15)))),"")</f>
        <v>#REF!</v>
      </c>
      <c r="L134" s="82" t="e" cm="1">
        <f t="array" ref="L134">IF(AND(OR(J134=0,J134=""),OR(K134=0,K134="")),"",_xlfn.IFS($C$23&gt;=0.0035,0.003,$C$23&lt;0.0005,0,$C$23&lt;0.0035,$C$23-0.0005))</f>
        <v>#REF!</v>
      </c>
      <c r="M134" s="64" t="e">
        <f t="shared" si="122"/>
        <v>#REF!</v>
      </c>
      <c r="N134" s="65" t="e">
        <f t="shared" ref="N134:N138" si="126">IF(OR(K134="",K134=0),"",IF(G134="","",$C$8))</f>
        <v>#REF!</v>
      </c>
      <c r="O134" s="66" t="e">
        <f t="shared" si="123"/>
        <v>#REF!</v>
      </c>
      <c r="P134" s="106"/>
    </row>
    <row r="135" spans="2:16" s="14" customFormat="1" hidden="1" x14ac:dyDescent="0.4">
      <c r="B135" s="263"/>
      <c r="C135" s="266"/>
      <c r="D135" s="49" t="s">
        <v>37</v>
      </c>
      <c r="E135" s="73" t="e">
        <f t="shared" si="121"/>
        <v>#REF!</v>
      </c>
      <c r="F135" s="46" t="e">
        <f t="shared" si="101"/>
        <v>#REF!</v>
      </c>
      <c r="G135" s="102" t="e">
        <f>IF(G134="","",IF(G134+1&gt;DATE($B$126+1,3,31),"",IF(OR($C$21="",$C$22=""),"",IF($C$21="月末",IF(EOMONTH(G134,VLOOKUP($C$22,#REF!,2,FALSE))&gt;DATE($B$126+1,3,31),"",EOMONTH(G134,VLOOKUP($C$22,#REF!,2,FALSE))),IF(EOMONTH(G134,VLOOKUP($C$22,#REF!,2,FALSE)-1)+$C$21&gt;DATE($B$126+1,3,31),"",EOMONTH(G134,VLOOKUP($C$22,#REF!,2,FALSE)-1)+$C$21)))))</f>
        <v>#REF!</v>
      </c>
      <c r="H135" s="46" t="e">
        <f t="shared" si="124"/>
        <v>#REF!</v>
      </c>
      <c r="I135" s="47" t="e">
        <f t="shared" ref="I135:I137" si="127">IF(G135="","",DATEDIF(E135,G135,"D")+1)</f>
        <v>#REF!</v>
      </c>
      <c r="J135" s="50" t="e">
        <f t="shared" si="125"/>
        <v>#REF!</v>
      </c>
      <c r="K135" s="50" t="e">
        <f>IF(G135&lt;&gt;"",IF($C$14="","",IF(K134="","",IF(K134&lt;=0,"",IF(K134=$C$16,K134-$C$16,K134-$C$15)))),"")</f>
        <v>#REF!</v>
      </c>
      <c r="L135" s="82" t="e" cm="1">
        <f t="array" ref="L135">IF(AND(OR(J135=0,J135=""),OR(K135=0,K135="")),"",_xlfn.IFS($C$23&gt;=0.0035,0.003,$C$23&lt;0.0005,0,$C$23&lt;0.0035,$C$23-0.0005))</f>
        <v>#REF!</v>
      </c>
      <c r="M135" s="64" t="e">
        <f>IF(G135="","",IF(OR(K135="",K135=0),"",ROUNDDOWN(K135*(I135/365)*L135,0)))</f>
        <v>#REF!</v>
      </c>
      <c r="N135" s="65" t="e">
        <f t="shared" si="126"/>
        <v>#REF!</v>
      </c>
      <c r="O135" s="66" t="e">
        <f t="shared" si="123"/>
        <v>#REF!</v>
      </c>
      <c r="P135" s="106"/>
    </row>
    <row r="136" spans="2:16" s="14" customFormat="1" hidden="1" x14ac:dyDescent="0.4">
      <c r="B136" s="263"/>
      <c r="C136" s="266"/>
      <c r="D136" s="49" t="s">
        <v>38</v>
      </c>
      <c r="E136" s="73" t="e">
        <f t="shared" si="121"/>
        <v>#REF!</v>
      </c>
      <c r="F136" s="46" t="e">
        <f t="shared" si="101"/>
        <v>#REF!</v>
      </c>
      <c r="G136" s="102" t="e">
        <f>IF(G135="","",IF(G135+1&gt;DATE($B$126+1,3,31),"",IF(OR($C$21="",$C$22=""),"",IF($C$21="月末",IF(EOMONTH(G135,VLOOKUP($C$22,#REF!,2,FALSE))&gt;DATE($B$126+1,3,31),"",EOMONTH(G135,VLOOKUP($C$22,#REF!,2,FALSE))),IF(EOMONTH(G135,VLOOKUP($C$22,#REF!,2,FALSE)-1)+$C$21&gt;DATE($B$126+1,3,31),"",EOMONTH(G135,VLOOKUP($C$22,#REF!,2,FALSE)-1)+$C$21)))))</f>
        <v>#REF!</v>
      </c>
      <c r="H136" s="46" t="e">
        <f t="shared" si="124"/>
        <v>#REF!</v>
      </c>
      <c r="I136" s="47" t="e">
        <f t="shared" si="127"/>
        <v>#REF!</v>
      </c>
      <c r="J136" s="50" t="e">
        <f t="shared" si="125"/>
        <v>#REF!</v>
      </c>
      <c r="K136" s="50" t="e">
        <f>IF(G136&lt;&gt;"",IF($C$14="","",IF(K135="","",IF(K135&lt;=0,"",IF(K135=$C$16,K135-$C$16,K135-$C$15)))),"")</f>
        <v>#REF!</v>
      </c>
      <c r="L136" s="82" t="e" cm="1">
        <f t="array" ref="L136">IF(AND(OR(J136=0,J136=""),OR(K136=0,K136="")),"",_xlfn.IFS($C$23&gt;=0.0035,0.003,$C$23&lt;0.0005,0,$C$23&lt;0.0035,$C$23-0.0005))</f>
        <v>#REF!</v>
      </c>
      <c r="M136" s="64" t="e">
        <f t="shared" ref="M136:M137" si="128">IF(G136="","",IF(OR(K136="",K136=0),"",ROUNDDOWN(K136*(I136/365)*L136,0)))</f>
        <v>#REF!</v>
      </c>
      <c r="N136" s="65" t="e">
        <f t="shared" si="126"/>
        <v>#REF!</v>
      </c>
      <c r="O136" s="66" t="e">
        <f t="shared" si="123"/>
        <v>#REF!</v>
      </c>
      <c r="P136" s="106"/>
    </row>
    <row r="137" spans="2:16" s="14" customFormat="1" hidden="1" x14ac:dyDescent="0.4">
      <c r="B137" s="263"/>
      <c r="C137" s="266"/>
      <c r="D137" s="49" t="s">
        <v>39</v>
      </c>
      <c r="E137" s="73" t="e">
        <f t="shared" si="121"/>
        <v>#REF!</v>
      </c>
      <c r="F137" s="46" t="e">
        <f t="shared" si="101"/>
        <v>#REF!</v>
      </c>
      <c r="G137" s="102" t="e">
        <f>IF(G136="","",IF(G136+1&gt;DATE($B$126+1,3,31),"",IF(OR($C$21="",$C$22=""),"",IF($C$21="月末",IF(EOMONTH(G136,VLOOKUP($C$22,#REF!,2,FALSE))&gt;DATE($B$126+1,3,31),"",EOMONTH(G136,VLOOKUP($C$22,#REF!,2,FALSE))),IF(EOMONTH(G136,VLOOKUP($C$22,#REF!,2,FALSE)-1)+$C$21&gt;DATE($B$126+1,3,31),"",EOMONTH(G136,VLOOKUP($C$22,#REF!,2,FALSE)-1)+$C$21)))))</f>
        <v>#REF!</v>
      </c>
      <c r="H137" s="46" t="e">
        <f t="shared" si="124"/>
        <v>#REF!</v>
      </c>
      <c r="I137" s="47" t="e">
        <f t="shared" si="127"/>
        <v>#REF!</v>
      </c>
      <c r="J137" s="50" t="e">
        <f t="shared" si="125"/>
        <v>#REF!</v>
      </c>
      <c r="K137" s="50" t="e">
        <f>IF(G137&lt;&gt;"",IF($C$14="","",IF(K136="","",IF(K136&lt;=0,"",IF(K136=$C$16,K136-$C$16,K136-$C$15)))),"")</f>
        <v>#REF!</v>
      </c>
      <c r="L137" s="82" t="e" cm="1">
        <f t="array" ref="L137">IF(AND(OR(J137=0,J137=""),OR(K137=0,K137="")),"",_xlfn.IFS($C$23&gt;=0.0035,0.003,$C$23&lt;0.0005,0,$C$23&lt;0.0035,$C$23-0.0005))</f>
        <v>#REF!</v>
      </c>
      <c r="M137" s="64" t="e">
        <f t="shared" si="128"/>
        <v>#REF!</v>
      </c>
      <c r="N137" s="65" t="e">
        <f t="shared" si="126"/>
        <v>#REF!</v>
      </c>
      <c r="O137" s="66" t="e">
        <f t="shared" si="123"/>
        <v>#REF!</v>
      </c>
      <c r="P137" s="106"/>
    </row>
    <row r="138" spans="2:16" s="14" customFormat="1" ht="19.5" hidden="1" thickBot="1" x14ac:dyDescent="0.45">
      <c r="B138" s="263"/>
      <c r="C138" s="266"/>
      <c r="D138" s="51" t="s">
        <v>41</v>
      </c>
      <c r="E138" s="74" t="e">
        <f t="shared" si="121"/>
        <v>#REF!</v>
      </c>
      <c r="F138" s="52" t="e">
        <f t="shared" si="101"/>
        <v>#REF!</v>
      </c>
      <c r="G138" s="102" t="e">
        <f>IF(G137="","",IF(G137+1&gt;DATE($B$126+1,3,31),"",IF(OR($C$21="",$C$22=""),"",IF($C$21="月末",IF(EOMONTH(G137,VLOOKUP($C$22,#REF!,2,FALSE))&gt;DATE($B$126+1,3,31),"",EOMONTH(G137,VLOOKUP($C$22,#REF!,2,FALSE))),IF(EOMONTH(G137,VLOOKUP($C$22,#REF!,2,FALSE)-1)+$C$21&gt;DATE($B$126+1,3,31),"",EOMONTH(G137,VLOOKUP($C$22,#REF!,2,FALSE)-1)+$C$21)))))</f>
        <v>#REF!</v>
      </c>
      <c r="H138" s="52" t="e">
        <f t="shared" si="124"/>
        <v>#REF!</v>
      </c>
      <c r="I138" s="53" t="e">
        <f>IF(G138="","",DATEDIF(E138,G138,"D")+1)</f>
        <v>#REF!</v>
      </c>
      <c r="J138" s="50" t="e">
        <f t="shared" si="125"/>
        <v>#REF!</v>
      </c>
      <c r="K138" s="50" t="e">
        <f>IF(G138&lt;&gt;"",IF($C$14="","",IF(K137="","",IF(K137&lt;=0,"",IF(K137=$C$16,K137-$C$16,K137-$C$15)))),"")</f>
        <v>#REF!</v>
      </c>
      <c r="L138" s="83" t="e" cm="1">
        <f t="array" ref="L138">IF(AND(OR(J138=0,J138=""),OR(K138=0,K138="")),"",_xlfn.IFS($C$23&gt;=0.0035,0.003,$C$23&lt;0.0005,0,$C$23&lt;0.0035,$C$23-0.0005))</f>
        <v>#REF!</v>
      </c>
      <c r="M138" s="67" t="e">
        <f t="shared" ref="M138" si="129">IF(G138="","",IF(K138="","",ROUNDDOWN(K138*(I138/365)*L138,0)))</f>
        <v>#REF!</v>
      </c>
      <c r="N138" s="68" t="e">
        <f t="shared" si="126"/>
        <v>#REF!</v>
      </c>
      <c r="O138" s="69" t="e">
        <f t="shared" si="123"/>
        <v>#REF!</v>
      </c>
      <c r="P138" s="106"/>
    </row>
    <row r="139" spans="2:16" s="14" customFormat="1" ht="19.5" hidden="1" thickBot="1" x14ac:dyDescent="0.45">
      <c r="B139" s="265"/>
      <c r="C139" s="57" t="s">
        <v>10</v>
      </c>
      <c r="D139" s="58"/>
      <c r="E139" s="75" t="e" cm="1">
        <f t="array" ref="E139">_xlfn.SINGLE(IF(E133:E138&lt;&gt;"",MIN(E133:E138),""))</f>
        <v>#REF!</v>
      </c>
      <c r="F139" s="59" t="e">
        <f t="shared" si="101"/>
        <v>#REF!</v>
      </c>
      <c r="G139" s="75" t="e" cm="1">
        <f t="array" ref="G139">_xlfn.SINGLE(IF(G133:G138&lt;&gt;"",MAX(G133:G138),""))</f>
        <v>#REF!</v>
      </c>
      <c r="H139" s="59" t="e">
        <f t="shared" si="124"/>
        <v>#REF!</v>
      </c>
      <c r="I139" s="60" t="e">
        <f>SUM(I133:I138)</f>
        <v>#REF!</v>
      </c>
      <c r="J139" s="58"/>
      <c r="K139" s="58"/>
      <c r="L139" s="84"/>
      <c r="M139" s="70" t="e">
        <f>SUM(M133:M138)</f>
        <v>#REF!</v>
      </c>
      <c r="N139" s="71"/>
      <c r="O139" s="72"/>
      <c r="P139" s="106"/>
    </row>
    <row r="140" spans="2:16" s="14" customFormat="1" hidden="1" x14ac:dyDescent="0.4">
      <c r="B140" s="262">
        <f t="shared" ref="B140" si="130">B126+1</f>
        <v>2033</v>
      </c>
      <c r="C140" s="266" t="s">
        <v>3</v>
      </c>
      <c r="D140" s="45" t="s">
        <v>6</v>
      </c>
      <c r="E140" s="73" t="e">
        <f t="shared" ref="E140:E145" si="131">IF(G139="","",IF(G140="","",IF(G139+1&gt;DATE($B$140+1,3,31),"",G139+1)))</f>
        <v>#REF!</v>
      </c>
      <c r="F140" s="46" t="e">
        <f t="shared" si="101"/>
        <v>#REF!</v>
      </c>
      <c r="G140" s="102" t="e">
        <f>IF(G139="","",IF(G139+1&gt;DATE($B$140,9,30),"",IF(OR($C$21="",$C$22=""),"",IF($C$21="月末",IF(EOMONTH(G139,VLOOKUP($C$22,#REF!,2,FALSE))&gt;DATE($B$140,9,30),"",EOMONTH(G139,VLOOKUP($C$22,#REF!,2,FALSE))),IF(EOMONTH(G139,VLOOKUP($C$22,#REF!,2,FALSE)-1)+$C$21&gt;DATE($B$140,9,30),"",EOMONTH(G139,VLOOKUP($C$22,#REF!,2,FALSE)-1)+$C$21)))))</f>
        <v>#REF!</v>
      </c>
      <c r="H140" s="46" t="e">
        <f t="shared" si="124"/>
        <v>#REF!</v>
      </c>
      <c r="I140" s="47" t="e">
        <f>IF(G140="","",DATEDIF(E140,G140,"D")+1)</f>
        <v>#REF!</v>
      </c>
      <c r="J140" s="50" t="e" cm="1">
        <f t="array" ref="J140">_xlfn.SINGLE(IF(G140&lt;&gt;"",IF($C$7="","",IF(J133:J138&lt;&gt;"",IF(MIN(J133:J138)&lt;=0,"",IF(MIN(J133:J138)=$C$9,MIN(J133:J138)-$C$9,MIN(J133:J138)-$C$8)),"")),""))</f>
        <v>#REF!</v>
      </c>
      <c r="K140" s="50" t="e" cm="1">
        <f t="array" ref="K140">_xlfn.SINGLE(IF($C$14="","",IF(K133:K138&lt;&gt;"",IF(MIN(K133:K138)&lt;=0,"",IF(MIN(K133:K138)=$C$16,MIN(K133:K138)-$C$16,MIN(K133:K138)-$C$15)),"")))</f>
        <v>#REF!</v>
      </c>
      <c r="L140" s="82" t="e" cm="1">
        <f t="array" ref="L140">IF(AND(OR(J140=0,J140=""),OR(K140=0,K140="")),"",_xlfn.IFS($C$23&gt;=0.0035,0.003,$C$23&lt;0.0005,0,$C$23&lt;0.0035,$C$23-0.0005))</f>
        <v>#REF!</v>
      </c>
      <c r="M140" s="61" t="e">
        <f t="shared" ref="M140:M141" si="132">IF(G140="","",IF(OR(K140="",K140=0),"",ROUNDDOWN(K140*(I140/365)*L140,0)))</f>
        <v>#REF!</v>
      </c>
      <c r="N140" s="62" t="e">
        <f>IF(OR(K140="",K140=0),"",IF(G140="","",$C$8))</f>
        <v>#REF!</v>
      </c>
      <c r="O140" s="63" t="e">
        <f t="shared" ref="O140:O145" si="133">IF(OR(K140="",K140=0),"",IF(G140="","",$C$15))</f>
        <v>#REF!</v>
      </c>
      <c r="P140" s="106"/>
    </row>
    <row r="141" spans="2:16" s="14" customFormat="1" hidden="1" x14ac:dyDescent="0.4">
      <c r="B141" s="263"/>
      <c r="C141" s="266"/>
      <c r="D141" s="49" t="s">
        <v>7</v>
      </c>
      <c r="E141" s="73" t="e">
        <f t="shared" si="131"/>
        <v>#REF!</v>
      </c>
      <c r="F141" s="46" t="e">
        <f t="shared" si="101"/>
        <v>#REF!</v>
      </c>
      <c r="G141" s="102" t="e">
        <f>IF(G140="","",IF(G140+1&gt;DATE($B$140,9,30),"",IF(OR($C$21="",$C$22=""),"",IF($C$21="月末",IF(EOMONTH(G140,VLOOKUP($C$22,#REF!,2,FALSE))&gt;DATE($B$140,9,30),"",EOMONTH(G140,VLOOKUP($C$22,#REF!,2,FALSE))),IF(EOMONTH(G140,VLOOKUP($C$22,#REF!,2,FALSE)-1)+$C$21&gt;DATE($B$140,9,30),"",EOMONTH(G140,VLOOKUP($C$22,#REF!,2,FALSE)-1)+$C$21)))))</f>
        <v>#REF!</v>
      </c>
      <c r="H141" s="46" t="e">
        <f t="shared" si="124"/>
        <v>#REF!</v>
      </c>
      <c r="I141" s="47" t="e">
        <f>IF(G141="","",DATEDIF(E141,G141,"D")+1)</f>
        <v>#REF!</v>
      </c>
      <c r="J141" s="50" t="e">
        <f t="shared" ref="J141:J145" si="134">IF(G141&lt;&gt;"",IF($C$7="","",IF(J140="","",IF(J140&lt;=0,"",IF(J140=$C$9,J140-$C$9,J140-$C$8)))),"")</f>
        <v>#REF!</v>
      </c>
      <c r="K141" s="50" t="e">
        <f>IF(G141&lt;&gt;"",IF($C$14="","",IF(K140="","",IF(K140&lt;=0,"",IF(K140=$C$16,K140-$C$16,K140-$C$15)))),"")</f>
        <v>#REF!</v>
      </c>
      <c r="L141" s="82" t="e" cm="1">
        <f t="array" ref="L141">IF(AND(OR(J141=0,J141=""),OR(K141=0,K141="")),"",_xlfn.IFS($C$23&gt;=0.0035,0.003,$C$23&lt;0.0005,0,$C$23&lt;0.0035,$C$23-0.0005))</f>
        <v>#REF!</v>
      </c>
      <c r="M141" s="64" t="e">
        <f t="shared" si="132"/>
        <v>#REF!</v>
      </c>
      <c r="N141" s="65" t="e">
        <f t="shared" ref="N141:N145" si="135">IF(OR(K141="",K141=0),"",IF(G141="","",$C$8))</f>
        <v>#REF!</v>
      </c>
      <c r="O141" s="66" t="e">
        <f t="shared" si="133"/>
        <v>#REF!</v>
      </c>
      <c r="P141" s="106"/>
    </row>
    <row r="142" spans="2:16" s="14" customFormat="1" hidden="1" x14ac:dyDescent="0.4">
      <c r="B142" s="263"/>
      <c r="C142" s="266"/>
      <c r="D142" s="49" t="s">
        <v>34</v>
      </c>
      <c r="E142" s="73" t="e">
        <f t="shared" si="131"/>
        <v>#REF!</v>
      </c>
      <c r="F142" s="46" t="e">
        <f t="shared" si="101"/>
        <v>#REF!</v>
      </c>
      <c r="G142" s="102" t="e">
        <f>IF(G141="","",IF(G141+1&gt;DATE($B$140,9,30),"",IF(OR($C$21="",$C$22=""),"",IF($C$21="月末",IF(EOMONTH(G141,VLOOKUP($C$22,#REF!,2,FALSE))&gt;DATE($B$140,9,30),"",EOMONTH(G141,VLOOKUP($C$22,#REF!,2,FALSE))),IF(EOMONTH(G141,VLOOKUP($C$22,#REF!,2,FALSE)-1)+$C$21&gt;DATE($B$140,9,30),"",EOMONTH(G141,VLOOKUP($C$22,#REF!,2,FALSE)-1)+$C$21)))))</f>
        <v>#REF!</v>
      </c>
      <c r="H142" s="46" t="e">
        <f t="shared" si="124"/>
        <v>#REF!</v>
      </c>
      <c r="I142" s="47" t="e">
        <f t="shared" ref="I142:I144" si="136">IF(G142="","",DATEDIF(E142,G142,"D")+1)</f>
        <v>#REF!</v>
      </c>
      <c r="J142" s="50" t="e">
        <f t="shared" si="134"/>
        <v>#REF!</v>
      </c>
      <c r="K142" s="50" t="e">
        <f>IF(G142&lt;&gt;"",IF($C$14="","",IF(K141="","",IF(K141&lt;=0,"",IF(K141=$C$16,K141-$C$16,K141-$C$15)))),"")</f>
        <v>#REF!</v>
      </c>
      <c r="L142" s="82" t="e" cm="1">
        <f t="array" ref="L142">IF(AND(OR(J142=0,J142=""),OR(K142=0,K142="")),"",_xlfn.IFS($C$23&gt;=0.0035,0.003,$C$23&lt;0.0005,0,$C$23&lt;0.0035,$C$23-0.0005))</f>
        <v>#REF!</v>
      </c>
      <c r="M142" s="64" t="e">
        <f>IF(G142="","",IF(OR(K142="",K142=0),"",ROUNDDOWN(K142*(I142/365)*L142,0)))</f>
        <v>#REF!</v>
      </c>
      <c r="N142" s="65" t="e">
        <f t="shared" si="135"/>
        <v>#REF!</v>
      </c>
      <c r="O142" s="66" t="e">
        <f t="shared" si="133"/>
        <v>#REF!</v>
      </c>
      <c r="P142" s="106"/>
    </row>
    <row r="143" spans="2:16" s="14" customFormat="1" hidden="1" x14ac:dyDescent="0.4">
      <c r="B143" s="263"/>
      <c r="C143" s="266"/>
      <c r="D143" s="49" t="s">
        <v>35</v>
      </c>
      <c r="E143" s="73" t="e">
        <f t="shared" si="131"/>
        <v>#REF!</v>
      </c>
      <c r="F143" s="46" t="e">
        <f t="shared" si="101"/>
        <v>#REF!</v>
      </c>
      <c r="G143" s="102" t="e">
        <f>IF(G142="","",IF(G142+1&gt;DATE($B$140,9,30),"",IF(OR($C$21="",$C$22=""),"",IF($C$21="月末",IF(EOMONTH(G142,VLOOKUP($C$22,#REF!,2,FALSE))&gt;DATE($B$140,9,30),"",EOMONTH(G142,VLOOKUP($C$22,#REF!,2,FALSE))),IF(EOMONTH(G142,VLOOKUP($C$22,#REF!,2,FALSE)-1)+$C$21&gt;DATE($B$140,9,30),"",EOMONTH(G142,VLOOKUP($C$22,#REF!,2,FALSE)-1)+$C$21)))))</f>
        <v>#REF!</v>
      </c>
      <c r="H143" s="46" t="e">
        <f t="shared" si="124"/>
        <v>#REF!</v>
      </c>
      <c r="I143" s="47" t="e">
        <f t="shared" si="136"/>
        <v>#REF!</v>
      </c>
      <c r="J143" s="50" t="e">
        <f t="shared" si="134"/>
        <v>#REF!</v>
      </c>
      <c r="K143" s="50" t="e">
        <f>IF(G143&lt;&gt;"",IF($C$14="","",IF(K142="","",IF(K142&lt;=0,"",IF(K142=$C$16,K142-$C$16,K142-$C$15)))),"")</f>
        <v>#REF!</v>
      </c>
      <c r="L143" s="82" t="e" cm="1">
        <f t="array" ref="L143">IF(AND(OR(J143=0,J143=""),OR(K143=0,K143="")),"",_xlfn.IFS($C$23&gt;=0.0035,0.003,$C$23&lt;0.0005,0,$C$23&lt;0.0035,$C$23-0.0005))</f>
        <v>#REF!</v>
      </c>
      <c r="M143" s="64" t="e">
        <f t="shared" ref="M143:M144" si="137">IF(G143="","",IF(OR(K143="",K143=0),"",ROUNDDOWN(K143*(I143/365)*L143,0)))</f>
        <v>#REF!</v>
      </c>
      <c r="N143" s="65" t="e">
        <f t="shared" si="135"/>
        <v>#REF!</v>
      </c>
      <c r="O143" s="66" t="e">
        <f t="shared" si="133"/>
        <v>#REF!</v>
      </c>
      <c r="P143" s="106"/>
    </row>
    <row r="144" spans="2:16" s="14" customFormat="1" hidden="1" x14ac:dyDescent="0.4">
      <c r="B144" s="263"/>
      <c r="C144" s="266"/>
      <c r="D144" s="49" t="s">
        <v>36</v>
      </c>
      <c r="E144" s="73" t="e">
        <f t="shared" si="131"/>
        <v>#REF!</v>
      </c>
      <c r="F144" s="46" t="e">
        <f t="shared" si="101"/>
        <v>#REF!</v>
      </c>
      <c r="G144" s="102" t="e">
        <f>IF(G143="","",IF(G143+1&gt;DATE($B$140,9,30),"",IF(OR($C$21="",$C$22=""),"",IF($C$21="月末",IF(EOMONTH(G143,VLOOKUP($C$22,#REF!,2,FALSE))&gt;DATE($B$140,9,30),"",EOMONTH(G143,VLOOKUP($C$22,#REF!,2,FALSE))),IF(EOMONTH(G143,VLOOKUP($C$22,#REF!,2,FALSE)-1)+$C$21&gt;DATE($B$140,9,30),"",EOMONTH(G143,VLOOKUP($C$22,#REF!,2,FALSE)-1)+$C$21)))))</f>
        <v>#REF!</v>
      </c>
      <c r="H144" s="46" t="e">
        <f t="shared" si="124"/>
        <v>#REF!</v>
      </c>
      <c r="I144" s="47" t="e">
        <f t="shared" si="136"/>
        <v>#REF!</v>
      </c>
      <c r="J144" s="50" t="e">
        <f t="shared" si="134"/>
        <v>#REF!</v>
      </c>
      <c r="K144" s="50" t="e">
        <f>IF(G144&lt;&gt;"",IF($C$14="","",IF(K143="","",IF(K143&lt;=0,"",IF(K143=$C$16,K143-$C$16,K143-$C$15)))),"")</f>
        <v>#REF!</v>
      </c>
      <c r="L144" s="82" t="e" cm="1">
        <f t="array" ref="L144">IF(AND(OR(J144=0,J144=""),OR(K144=0,K144="")),"",_xlfn.IFS($C$23&gt;=0.0035,0.003,$C$23&lt;0.0005,0,$C$23&lt;0.0035,$C$23-0.0005))</f>
        <v>#REF!</v>
      </c>
      <c r="M144" s="64" t="e">
        <f t="shared" si="137"/>
        <v>#REF!</v>
      </c>
      <c r="N144" s="65" t="e">
        <f t="shared" si="135"/>
        <v>#REF!</v>
      </c>
      <c r="O144" s="66" t="e">
        <f t="shared" si="133"/>
        <v>#REF!</v>
      </c>
      <c r="P144" s="106"/>
    </row>
    <row r="145" spans="2:16" s="14" customFormat="1" ht="19.5" hidden="1" thickBot="1" x14ac:dyDescent="0.45">
      <c r="B145" s="263"/>
      <c r="C145" s="266"/>
      <c r="D145" s="51" t="s">
        <v>40</v>
      </c>
      <c r="E145" s="74" t="e">
        <f t="shared" si="131"/>
        <v>#REF!</v>
      </c>
      <c r="F145" s="52" t="e">
        <f t="shared" si="101"/>
        <v>#REF!</v>
      </c>
      <c r="G145" s="102" t="e">
        <f>IF(G144="","",IF(G144+1&gt;DATE($B$140,9,30),"",IF(OR($C$21="",$C$22=""),"",IF($C$21="月末",IF(EOMONTH(G144,VLOOKUP($C$22,#REF!,2,FALSE))&gt;DATE($B$140,9,30),"",EOMONTH(G144,VLOOKUP($C$22,#REF!,2,FALSE))),IF(EOMONTH(G144,VLOOKUP($C$22,#REF!,2,FALSE)-1)+$C$21&gt;DATE($B$140,9,30),"",EOMONTH(G144,VLOOKUP($C$22,#REF!,2,FALSE)-1)+$C$21)))))</f>
        <v>#REF!</v>
      </c>
      <c r="H145" s="52" t="e">
        <f t="shared" si="124"/>
        <v>#REF!</v>
      </c>
      <c r="I145" s="53" t="e">
        <f>IF(G145="","",DATEDIF(E145,G145,"D")+1)</f>
        <v>#REF!</v>
      </c>
      <c r="J145" s="50" t="e">
        <f t="shared" si="134"/>
        <v>#REF!</v>
      </c>
      <c r="K145" s="50" t="e">
        <f>IF(G145&lt;&gt;"",IF($C$14="","",IF(K144="","",IF(K144&lt;=0,"",IF(K144=$C$16,K144-$C$16,K144-$C$15)))),"")</f>
        <v>#REF!</v>
      </c>
      <c r="L145" s="83" t="e" cm="1">
        <f t="array" ref="L145">IF(AND(OR(J145=0,J145=""),OR(K145=0,K145="")),"",_xlfn.IFS($C$23&gt;=0.0035,0.003,$C$23&lt;0.0005,0,$C$23&lt;0.0035,$C$23-0.0005))</f>
        <v>#REF!</v>
      </c>
      <c r="M145" s="67" t="e">
        <f t="shared" ref="M145" si="138">IF(G145="","",IF(K145="","",ROUNDDOWN(K145*(I145/365)*L145,0)))</f>
        <v>#REF!</v>
      </c>
      <c r="N145" s="68" t="e">
        <f t="shared" si="135"/>
        <v>#REF!</v>
      </c>
      <c r="O145" s="69" t="e">
        <f t="shared" si="133"/>
        <v>#REF!</v>
      </c>
      <c r="P145" s="106"/>
    </row>
    <row r="146" spans="2:16" s="14" customFormat="1" ht="19.5" hidden="1" thickBot="1" x14ac:dyDescent="0.45">
      <c r="B146" s="264"/>
      <c r="C146" s="57" t="s">
        <v>10</v>
      </c>
      <c r="D146" s="58"/>
      <c r="E146" s="75" t="e" cm="1">
        <f t="array" ref="E146">_xlfn.SINGLE(IF(E140:E145&lt;&gt;"",MIN(E140:E145),""))</f>
        <v>#REF!</v>
      </c>
      <c r="F146" s="59" t="e">
        <f t="shared" si="101"/>
        <v>#REF!</v>
      </c>
      <c r="G146" s="75" t="e" cm="1">
        <f t="array" ref="G146">_xlfn.SINGLE(IF(G140:G145&lt;&gt;"",MAX(G140:G145),""))</f>
        <v>#REF!</v>
      </c>
      <c r="H146" s="59" t="e">
        <f t="shared" si="124"/>
        <v>#REF!</v>
      </c>
      <c r="I146" s="60" t="e">
        <f>SUM(I140:I145)</f>
        <v>#REF!</v>
      </c>
      <c r="J146" s="58"/>
      <c r="K146" s="58"/>
      <c r="L146" s="84"/>
      <c r="M146" s="70" t="e">
        <f>SUM(M140:M145)</f>
        <v>#REF!</v>
      </c>
      <c r="N146" s="71"/>
      <c r="O146" s="72"/>
      <c r="P146" s="106"/>
    </row>
    <row r="147" spans="2:16" s="14" customFormat="1" hidden="1" x14ac:dyDescent="0.4">
      <c r="B147" s="263"/>
      <c r="C147" s="267" t="s">
        <v>4</v>
      </c>
      <c r="D147" s="54" t="s">
        <v>9</v>
      </c>
      <c r="E147" s="73" t="e">
        <f t="shared" ref="E147:E152" si="139">IF(G146="","",IF(G147="","",IF(G146+1&gt;DATE($B$140+1,3,31),"",G146+1)))</f>
        <v>#REF!</v>
      </c>
      <c r="F147" s="46" t="e">
        <f t="shared" si="101"/>
        <v>#REF!</v>
      </c>
      <c r="G147" s="102" t="e">
        <f>IF(G146="","",IF(G146+1&gt;DATE($B$140+1,3,31),"",IF(OR($C$21="",$C$22=""),"",IF($C$21="月末",IF(EOMONTH(G146,VLOOKUP($C$22,#REF!,2,FALSE))&gt;DATE($B$140+1,3,31),"",EOMONTH(G146,VLOOKUP($C$22,#REF!,2,FALSE))),IF(EOMONTH(G146,VLOOKUP($C$22,#REF!,2,FALSE)-1)+$C$21&gt;DATE($B$140+1,3,31),"",EOMONTH(G146,VLOOKUP($C$22,#REF!,2,FALSE)-1)+$C$21)))))</f>
        <v>#REF!</v>
      </c>
      <c r="H147" s="46" t="e">
        <f>IF(G147="","",TEXT(G147,"aaa"))</f>
        <v>#REF!</v>
      </c>
      <c r="I147" s="47" t="e">
        <f>IF(G147="","",DATEDIF(E147,G147,"D")+1)</f>
        <v>#REF!</v>
      </c>
      <c r="J147" s="50" t="e" cm="1">
        <f t="array" ref="J147">_xlfn.SINGLE(IF(G147&lt;&gt;"",IF($C$7="","",IF(J140:J145&lt;&gt;"",IF(MIN(J140:J145)&lt;=0,"",IF(MIN(J140:J145)=$C$9,MIN(J140:J145)-$C$9,MIN(J140:J145)-$C$8)),"")),""))</f>
        <v>#REF!</v>
      </c>
      <c r="K147" s="50" t="e" cm="1">
        <f t="array" ref="K147">_xlfn.SINGLE(IF($C$14="","",IF(K140:K145&lt;&gt;"",IF(MIN(K140:K145)&lt;=0,"",IF(MIN(K140:K145)=$C$16,MIN(K140:K145)-$C$16,MIN(K140:K145)-$C$15)),"")))</f>
        <v>#REF!</v>
      </c>
      <c r="L147" s="85" t="e" cm="1">
        <f t="array" ref="L147">IF(AND(OR(J147=0,J147=""),OR(K147=0,K147="")),"",_xlfn.IFS($C$23&gt;=0.0035,0.003,$C$23&lt;0.0005,0,$C$23&lt;0.0035,$C$23-0.0005))</f>
        <v>#REF!</v>
      </c>
      <c r="M147" s="61" t="e">
        <f t="shared" ref="M147:M148" si="140">IF(G147="","",IF(OR(K147="",K147=0),"",ROUNDDOWN(K147*(I147/365)*L147,0)))</f>
        <v>#REF!</v>
      </c>
      <c r="N147" s="62" t="e">
        <f>IF(OR(K147="",K147=0),"",IF(G147="","",$C$8))</f>
        <v>#REF!</v>
      </c>
      <c r="O147" s="63" t="e">
        <f t="shared" ref="O147:O152" si="141">IF(OR(K147="",K147=0),"",IF(G147="","",$C$15))</f>
        <v>#REF!</v>
      </c>
      <c r="P147" s="106"/>
    </row>
    <row r="148" spans="2:16" s="14" customFormat="1" hidden="1" x14ac:dyDescent="0.4">
      <c r="B148" s="263"/>
      <c r="C148" s="266"/>
      <c r="D148" s="49" t="s">
        <v>8</v>
      </c>
      <c r="E148" s="73" t="e">
        <f t="shared" si="139"/>
        <v>#REF!</v>
      </c>
      <c r="F148" s="46" t="e">
        <f t="shared" si="101"/>
        <v>#REF!</v>
      </c>
      <c r="G148" s="102" t="e">
        <f>IF(G147="","",IF(G147+1&gt;DATE($B$140+1,3,31),"",IF(OR($C$21="",$C$22=""),"",IF($C$21="月末",IF(EOMONTH(G147,VLOOKUP($C$22,#REF!,2,FALSE))&gt;DATE($B$140+1,3,31),"",EOMONTH(G147,VLOOKUP($C$22,#REF!,2,FALSE))),IF(EOMONTH(G147,VLOOKUP($C$22,#REF!,2,FALSE)-1)+$C$21&gt;DATE($B$140+1,3,31),"",EOMONTH(G147,VLOOKUP($C$22,#REF!,2,FALSE)-1)+$C$21)))))</f>
        <v>#REF!</v>
      </c>
      <c r="H148" s="46" t="e">
        <f t="shared" ref="H148:H160" si="142">IF(G148="","",TEXT(G148,"aaa"))</f>
        <v>#REF!</v>
      </c>
      <c r="I148" s="47" t="e">
        <f>IF(G148="","",DATEDIF(E148,G148,"D")+1)</f>
        <v>#REF!</v>
      </c>
      <c r="J148" s="50" t="e">
        <f t="shared" ref="J148:J152" si="143">IF(G148&lt;&gt;"",IF($C$7="","",IF(J147="","",IF(J147&lt;=0,"",IF(J147=$C$9,J147-$C$9,J147-$C$8)))),"")</f>
        <v>#REF!</v>
      </c>
      <c r="K148" s="50" t="e">
        <f>IF(G148&lt;&gt;"",IF($C$14="","",IF(K147="","",IF(K147&lt;=0,"",IF(K147=$C$16,K147-$C$16,K147-$C$15)))),"")</f>
        <v>#REF!</v>
      </c>
      <c r="L148" s="82" t="e" cm="1">
        <f t="array" ref="L148">IF(AND(OR(J148=0,J148=""),OR(K148=0,K148="")),"",_xlfn.IFS($C$23&gt;=0.0035,0.003,$C$23&lt;0.0005,0,$C$23&lt;0.0035,$C$23-0.0005))</f>
        <v>#REF!</v>
      </c>
      <c r="M148" s="64" t="e">
        <f t="shared" si="140"/>
        <v>#REF!</v>
      </c>
      <c r="N148" s="65" t="e">
        <f t="shared" ref="N148:N152" si="144">IF(OR(K148="",K148=0),"",IF(G148="","",$C$8))</f>
        <v>#REF!</v>
      </c>
      <c r="O148" s="66" t="e">
        <f t="shared" si="141"/>
        <v>#REF!</v>
      </c>
      <c r="P148" s="106"/>
    </row>
    <row r="149" spans="2:16" s="14" customFormat="1" hidden="1" x14ac:dyDescent="0.4">
      <c r="B149" s="263"/>
      <c r="C149" s="266"/>
      <c r="D149" s="49" t="s">
        <v>37</v>
      </c>
      <c r="E149" s="73" t="e">
        <f t="shared" si="139"/>
        <v>#REF!</v>
      </c>
      <c r="F149" s="46" t="e">
        <f t="shared" si="101"/>
        <v>#REF!</v>
      </c>
      <c r="G149" s="102" t="e">
        <f>IF(G148="","",IF(G148+1&gt;DATE($B$140+1,3,31),"",IF(OR($C$21="",$C$22=""),"",IF($C$21="月末",IF(EOMONTH(G148,VLOOKUP($C$22,#REF!,2,FALSE))&gt;DATE($B$140+1,3,31),"",EOMONTH(G148,VLOOKUP($C$22,#REF!,2,FALSE))),IF(EOMONTH(G148,VLOOKUP($C$22,#REF!,2,FALSE)-1)+$C$21&gt;DATE($B$140+1,3,31),"",EOMONTH(G148,VLOOKUP($C$22,#REF!,2,FALSE)-1)+$C$21)))))</f>
        <v>#REF!</v>
      </c>
      <c r="H149" s="46" t="e">
        <f t="shared" si="142"/>
        <v>#REF!</v>
      </c>
      <c r="I149" s="47" t="e">
        <f t="shared" ref="I149:I151" si="145">IF(G149="","",DATEDIF(E149,G149,"D")+1)</f>
        <v>#REF!</v>
      </c>
      <c r="J149" s="50" t="e">
        <f t="shared" si="143"/>
        <v>#REF!</v>
      </c>
      <c r="K149" s="50" t="e">
        <f>IF(G149&lt;&gt;"",IF($C$14="","",IF(K148="","",IF(K148&lt;=0,"",IF(K148=$C$16,K148-$C$16,K148-$C$15)))),"")</f>
        <v>#REF!</v>
      </c>
      <c r="L149" s="82" t="e" cm="1">
        <f t="array" ref="L149">IF(AND(OR(J149=0,J149=""),OR(K149=0,K149="")),"",_xlfn.IFS($C$23&gt;=0.0035,0.003,$C$23&lt;0.0005,0,$C$23&lt;0.0035,$C$23-0.0005))</f>
        <v>#REF!</v>
      </c>
      <c r="M149" s="64" t="e">
        <f>IF(G149="","",IF(OR(K149="",K149=0),"",ROUNDDOWN(K149*(I149/365)*L149,0)))</f>
        <v>#REF!</v>
      </c>
      <c r="N149" s="65" t="e">
        <f t="shared" si="144"/>
        <v>#REF!</v>
      </c>
      <c r="O149" s="66" t="e">
        <f t="shared" si="141"/>
        <v>#REF!</v>
      </c>
      <c r="P149" s="106"/>
    </row>
    <row r="150" spans="2:16" s="14" customFormat="1" hidden="1" x14ac:dyDescent="0.4">
      <c r="B150" s="263"/>
      <c r="C150" s="266"/>
      <c r="D150" s="49" t="s">
        <v>38</v>
      </c>
      <c r="E150" s="73" t="e">
        <f t="shared" si="139"/>
        <v>#REF!</v>
      </c>
      <c r="F150" s="46" t="e">
        <f t="shared" si="101"/>
        <v>#REF!</v>
      </c>
      <c r="G150" s="102" t="e">
        <f>IF(G149="","",IF(G149+1&gt;DATE($B$140+1,3,31),"",IF(OR($C$21="",$C$22=""),"",IF($C$21="月末",IF(EOMONTH(G149,VLOOKUP($C$22,#REF!,2,FALSE))&gt;DATE($B$140+1,3,31),"",EOMONTH(G149,VLOOKUP($C$22,#REF!,2,FALSE))),IF(EOMONTH(G149,VLOOKUP($C$22,#REF!,2,FALSE)-1)+$C$21&gt;DATE($B$140+1,3,31),"",EOMONTH(G149,VLOOKUP($C$22,#REF!,2,FALSE)-1)+$C$21)))))</f>
        <v>#REF!</v>
      </c>
      <c r="H150" s="46" t="e">
        <f t="shared" si="142"/>
        <v>#REF!</v>
      </c>
      <c r="I150" s="47" t="e">
        <f t="shared" si="145"/>
        <v>#REF!</v>
      </c>
      <c r="J150" s="50" t="e">
        <f t="shared" si="143"/>
        <v>#REF!</v>
      </c>
      <c r="K150" s="50" t="e">
        <f>IF(G150&lt;&gt;"",IF($C$14="","",IF(K149="","",IF(K149&lt;=0,"",IF(K149=$C$16,K149-$C$16,K149-$C$15)))),"")</f>
        <v>#REF!</v>
      </c>
      <c r="L150" s="82" t="e" cm="1">
        <f t="array" ref="L150">IF(AND(OR(J150=0,J150=""),OR(K150=0,K150="")),"",_xlfn.IFS($C$23&gt;=0.0035,0.003,$C$23&lt;0.0005,0,$C$23&lt;0.0035,$C$23-0.0005))</f>
        <v>#REF!</v>
      </c>
      <c r="M150" s="64" t="e">
        <f t="shared" ref="M150:M151" si="146">IF(G150="","",IF(OR(K150="",K150=0),"",ROUNDDOWN(K150*(I150/365)*L150,0)))</f>
        <v>#REF!</v>
      </c>
      <c r="N150" s="65" t="e">
        <f t="shared" si="144"/>
        <v>#REF!</v>
      </c>
      <c r="O150" s="66" t="e">
        <f t="shared" si="141"/>
        <v>#REF!</v>
      </c>
      <c r="P150" s="106"/>
    </row>
    <row r="151" spans="2:16" s="14" customFormat="1" hidden="1" x14ac:dyDescent="0.4">
      <c r="B151" s="263"/>
      <c r="C151" s="266"/>
      <c r="D151" s="49" t="s">
        <v>39</v>
      </c>
      <c r="E151" s="73" t="e">
        <f t="shared" si="139"/>
        <v>#REF!</v>
      </c>
      <c r="F151" s="46" t="e">
        <f t="shared" si="101"/>
        <v>#REF!</v>
      </c>
      <c r="G151" s="102" t="e">
        <f>IF(G150="","",IF(G150+1&gt;DATE($B$140+1,3,31),"",IF(OR($C$21="",$C$22=""),"",IF($C$21="月末",IF(EOMONTH(G150,VLOOKUP($C$22,#REF!,2,FALSE))&gt;DATE($B$140+1,3,31),"",EOMONTH(G150,VLOOKUP($C$22,#REF!,2,FALSE))),IF(EOMONTH(G150,VLOOKUP($C$22,#REF!,2,FALSE)-1)+$C$21&gt;DATE($B$140+1,3,31),"",EOMONTH(G150,VLOOKUP($C$22,#REF!,2,FALSE)-1)+$C$21)))))</f>
        <v>#REF!</v>
      </c>
      <c r="H151" s="46" t="e">
        <f t="shared" si="142"/>
        <v>#REF!</v>
      </c>
      <c r="I151" s="47" t="e">
        <f t="shared" si="145"/>
        <v>#REF!</v>
      </c>
      <c r="J151" s="50" t="e">
        <f t="shared" si="143"/>
        <v>#REF!</v>
      </c>
      <c r="K151" s="50" t="e">
        <f>IF(G151&lt;&gt;"",IF($C$14="","",IF(K150="","",IF(K150&lt;=0,"",IF(K150=$C$16,K150-$C$16,K150-$C$15)))),"")</f>
        <v>#REF!</v>
      </c>
      <c r="L151" s="82" t="e" cm="1">
        <f t="array" ref="L151">IF(AND(OR(J151=0,J151=""),OR(K151=0,K151="")),"",_xlfn.IFS($C$23&gt;=0.0035,0.003,$C$23&lt;0.0005,0,$C$23&lt;0.0035,$C$23-0.0005))</f>
        <v>#REF!</v>
      </c>
      <c r="M151" s="64" t="e">
        <f t="shared" si="146"/>
        <v>#REF!</v>
      </c>
      <c r="N151" s="65" t="e">
        <f t="shared" si="144"/>
        <v>#REF!</v>
      </c>
      <c r="O151" s="66" t="e">
        <f t="shared" si="141"/>
        <v>#REF!</v>
      </c>
      <c r="P151" s="106"/>
    </row>
    <row r="152" spans="2:16" s="14" customFormat="1" ht="19.5" hidden="1" thickBot="1" x14ac:dyDescent="0.45">
      <c r="B152" s="263"/>
      <c r="C152" s="266"/>
      <c r="D152" s="51" t="s">
        <v>41</v>
      </c>
      <c r="E152" s="74" t="e">
        <f t="shared" si="139"/>
        <v>#REF!</v>
      </c>
      <c r="F152" s="52" t="e">
        <f t="shared" si="101"/>
        <v>#REF!</v>
      </c>
      <c r="G152" s="102" t="e">
        <f>IF(G151="","",IF(G151+1&gt;DATE($B$140+1,3,31),"",IF(OR($C$21="",$C$22=""),"",IF($C$21="月末",IF(EOMONTH(G151,VLOOKUP($C$22,#REF!,2,FALSE))&gt;DATE($B$140+1,3,31),"",EOMONTH(G151,VLOOKUP($C$22,#REF!,2,FALSE))),IF(EOMONTH(G151,VLOOKUP($C$22,#REF!,2,FALSE)-1)+$C$21&gt;DATE($B$140+1,3,31),"",EOMONTH(G151,VLOOKUP($C$22,#REF!,2,FALSE)-1)+$C$21)))))</f>
        <v>#REF!</v>
      </c>
      <c r="H152" s="52" t="e">
        <f t="shared" si="142"/>
        <v>#REF!</v>
      </c>
      <c r="I152" s="53" t="e">
        <f>IF(G152="","",DATEDIF(E152,G152,"D")+1)</f>
        <v>#REF!</v>
      </c>
      <c r="J152" s="50" t="e">
        <f t="shared" si="143"/>
        <v>#REF!</v>
      </c>
      <c r="K152" s="50" t="e">
        <f>IF(G152&lt;&gt;"",IF($C$14="","",IF(K151="","",IF(K151&lt;=0,"",IF(K151=$C$16,K151-$C$16,K151-$C$15)))),"")</f>
        <v>#REF!</v>
      </c>
      <c r="L152" s="83" t="e" cm="1">
        <f t="array" ref="L152">IF(AND(OR(J152=0,J152=""),OR(K152=0,K152="")),"",_xlfn.IFS($C$23&gt;=0.0035,0.003,$C$23&lt;0.0005,0,$C$23&lt;0.0035,$C$23-0.0005))</f>
        <v>#REF!</v>
      </c>
      <c r="M152" s="67" t="e">
        <f t="shared" ref="M152" si="147">IF(G152="","",IF(K152="","",ROUNDDOWN(K152*(I152/365)*L152,0)))</f>
        <v>#REF!</v>
      </c>
      <c r="N152" s="68" t="e">
        <f t="shared" si="144"/>
        <v>#REF!</v>
      </c>
      <c r="O152" s="69" t="e">
        <f t="shared" si="141"/>
        <v>#REF!</v>
      </c>
      <c r="P152" s="106"/>
    </row>
    <row r="153" spans="2:16" s="14" customFormat="1" ht="19.5" hidden="1" thickBot="1" x14ac:dyDescent="0.45">
      <c r="B153" s="265"/>
      <c r="C153" s="57" t="s">
        <v>10</v>
      </c>
      <c r="D153" s="58"/>
      <c r="E153" s="75" t="e" cm="1">
        <f t="array" ref="E153">_xlfn.SINGLE(IF(E147:E152&lt;&gt;"",MIN(E147:E152),""))</f>
        <v>#REF!</v>
      </c>
      <c r="F153" s="59" t="e">
        <f t="shared" si="101"/>
        <v>#REF!</v>
      </c>
      <c r="G153" s="75" t="e" cm="1">
        <f t="array" ref="G153">_xlfn.SINGLE(IF(G147:G152&lt;&gt;"",MAX(G147:G152),""))</f>
        <v>#REF!</v>
      </c>
      <c r="H153" s="59" t="e">
        <f t="shared" si="142"/>
        <v>#REF!</v>
      </c>
      <c r="I153" s="60" t="e">
        <f>SUM(I147:I152)</f>
        <v>#REF!</v>
      </c>
      <c r="J153" s="58"/>
      <c r="K153" s="58"/>
      <c r="L153" s="84"/>
      <c r="M153" s="70" t="e">
        <f>SUM(M147:M152)</f>
        <v>#REF!</v>
      </c>
      <c r="N153" s="71"/>
      <c r="O153" s="72"/>
      <c r="P153" s="106"/>
    </row>
    <row r="154" spans="2:16" s="14" customFormat="1" hidden="1" x14ac:dyDescent="0.4">
      <c r="B154" s="262">
        <f t="shared" ref="B154" si="148">B140+1</f>
        <v>2034</v>
      </c>
      <c r="C154" s="266" t="s">
        <v>3</v>
      </c>
      <c r="D154" s="45" t="s">
        <v>6</v>
      </c>
      <c r="E154" s="73" t="e">
        <f t="shared" ref="E154:E159" si="149">IF(G153="","",IF(G154="","",IF(G153+1&gt;DATE($B$154+1,3,31),"",G153+1)))</f>
        <v>#REF!</v>
      </c>
      <c r="F154" s="46" t="e">
        <f t="shared" si="101"/>
        <v>#REF!</v>
      </c>
      <c r="G154" s="102" t="e">
        <f>IF(G153="","",IF(G153+1&gt;DATE($B$154,9,30),"",IF(OR($C$21="",$C$22=""),"",IF($C$21="月末",IF(EOMONTH(G153,VLOOKUP($C$22,#REF!,2,FALSE))&gt;DATE($B$154,9,30),"",EOMONTH(G153,VLOOKUP($C$22,#REF!,2,FALSE))),IF(EOMONTH(G153,VLOOKUP($C$22,#REF!,2,FALSE)-1)+$C$21&gt;DATE($B$154,9,30),"",EOMONTH(G153,VLOOKUP($C$22,#REF!,2,FALSE)-1)+$C$21)))))</f>
        <v>#REF!</v>
      </c>
      <c r="H154" s="46" t="e">
        <f t="shared" si="142"/>
        <v>#REF!</v>
      </c>
      <c r="I154" s="47" t="e">
        <f>IF(G154="","",DATEDIF(E154,G154,"D")+1)</f>
        <v>#REF!</v>
      </c>
      <c r="J154" s="50" t="e" cm="1">
        <f t="array" ref="J154">_xlfn.SINGLE(IF(G154&lt;&gt;"",IF($C$7="","",IF(J147:J152&lt;&gt;"",IF(MIN(J147:J152)&lt;=0,"",IF(MIN(J147:J152)=$C$9,MIN(J147:J152)-$C$9,MIN(J147:J152)-$C$8)),"")),""))</f>
        <v>#REF!</v>
      </c>
      <c r="K154" s="50" t="e" cm="1">
        <f t="array" ref="K154">_xlfn.SINGLE(IF($C$14="","",IF(K147:K152&lt;&gt;"",IF(MIN(K147:K152)&lt;=0,"",IF(MIN(K147:K152)=$C$16,MIN(K147:K152)-$C$16,MIN(K147:K152)-$C$15)),"")))</f>
        <v>#REF!</v>
      </c>
      <c r="L154" s="82" t="e" cm="1">
        <f t="array" ref="L154">IF(AND(OR(J154=0,J154=""),OR(K154=0,K154="")),"",_xlfn.IFS($C$23&gt;=0.0035,0.003,$C$23&lt;0.0005,0,$C$23&lt;0.0035,$C$23-0.0005))</f>
        <v>#REF!</v>
      </c>
      <c r="M154" s="61" t="e">
        <f t="shared" ref="M154:M155" si="150">IF(G154="","",IF(OR(K154="",K154=0),"",ROUNDDOWN(K154*(I154/365)*L154,0)))</f>
        <v>#REF!</v>
      </c>
      <c r="N154" s="62" t="e">
        <f>IF(OR(K154="",K154=0),"",IF(G154="","",$C$8))</f>
        <v>#REF!</v>
      </c>
      <c r="O154" s="63" t="e">
        <f t="shared" ref="O154:O159" si="151">IF(OR(K154="",K154=0),"",IF(G154="","",$C$15))</f>
        <v>#REF!</v>
      </c>
      <c r="P154" s="106"/>
    </row>
    <row r="155" spans="2:16" s="14" customFormat="1" hidden="1" x14ac:dyDescent="0.4">
      <c r="B155" s="263"/>
      <c r="C155" s="266"/>
      <c r="D155" s="49" t="s">
        <v>7</v>
      </c>
      <c r="E155" s="73" t="e">
        <f t="shared" si="149"/>
        <v>#REF!</v>
      </c>
      <c r="F155" s="46" t="e">
        <f t="shared" si="101"/>
        <v>#REF!</v>
      </c>
      <c r="G155" s="102" t="e">
        <f>IF(G154="","",IF(G154+1&gt;DATE($B$154,9,30),"",IF(OR($C$21="",$C$22=""),"",IF($C$21="月末",IF(EOMONTH(G154,VLOOKUP($C$22,#REF!,2,FALSE))&gt;DATE($B$154,9,30),"",EOMONTH(G154,VLOOKUP($C$22,#REF!,2,FALSE))),IF(EOMONTH(G154,VLOOKUP($C$22,#REF!,2,FALSE)-1)+$C$21&gt;DATE($B$154,9,30),"",EOMONTH(G154,VLOOKUP($C$22,#REF!,2,FALSE)-1)+$C$21)))))</f>
        <v>#REF!</v>
      </c>
      <c r="H155" s="46" t="e">
        <f t="shared" si="142"/>
        <v>#REF!</v>
      </c>
      <c r="I155" s="47" t="e">
        <f>IF(G155="","",DATEDIF(E155,G155,"D")+1)</f>
        <v>#REF!</v>
      </c>
      <c r="J155" s="50" t="e">
        <f t="shared" ref="J155:J159" si="152">IF(G155&lt;&gt;"",IF($C$7="","",IF(J154="","",IF(J154&lt;=0,"",IF(J154=$C$9,J154-$C$9,J154-$C$8)))),"")</f>
        <v>#REF!</v>
      </c>
      <c r="K155" s="50" t="e">
        <f>IF(G155&lt;&gt;"",IF($C$14="","",IF(K154="","",IF(K154&lt;=0,"",IF(K154=$C$16,K154-$C$16,K154-$C$15)))),"")</f>
        <v>#REF!</v>
      </c>
      <c r="L155" s="82" t="e" cm="1">
        <f t="array" ref="L155">IF(AND(OR(J155=0,J155=""),OR(K155=0,K155="")),"",_xlfn.IFS($C$23&gt;=0.0035,0.003,$C$23&lt;0.0005,0,$C$23&lt;0.0035,$C$23-0.0005))</f>
        <v>#REF!</v>
      </c>
      <c r="M155" s="64" t="e">
        <f t="shared" si="150"/>
        <v>#REF!</v>
      </c>
      <c r="N155" s="65" t="e">
        <f t="shared" ref="N155:N159" si="153">IF(OR(K155="",K155=0),"",IF(G155="","",$C$8))</f>
        <v>#REF!</v>
      </c>
      <c r="O155" s="66" t="e">
        <f t="shared" si="151"/>
        <v>#REF!</v>
      </c>
      <c r="P155" s="106"/>
    </row>
    <row r="156" spans="2:16" s="14" customFormat="1" hidden="1" x14ac:dyDescent="0.4">
      <c r="B156" s="263"/>
      <c r="C156" s="266"/>
      <c r="D156" s="49" t="s">
        <v>34</v>
      </c>
      <c r="E156" s="73" t="e">
        <f t="shared" si="149"/>
        <v>#REF!</v>
      </c>
      <c r="F156" s="46" t="e">
        <f t="shared" si="101"/>
        <v>#REF!</v>
      </c>
      <c r="G156" s="102" t="e">
        <f>IF(G155="","",IF(G155+1&gt;DATE($B$154,9,30),"",IF(OR($C$21="",$C$22=""),"",IF($C$21="月末",IF(EOMONTH(G155,VLOOKUP($C$22,#REF!,2,FALSE))&gt;DATE($B$154,9,30),"",EOMONTH(G155,VLOOKUP($C$22,#REF!,2,FALSE))),IF(EOMONTH(G155,VLOOKUP($C$22,#REF!,2,FALSE)-1)+$C$21&gt;DATE($B$154,9,30),"",EOMONTH(G155,VLOOKUP($C$22,#REF!,2,FALSE)-1)+$C$21)))))</f>
        <v>#REF!</v>
      </c>
      <c r="H156" s="46" t="e">
        <f t="shared" si="142"/>
        <v>#REF!</v>
      </c>
      <c r="I156" s="47" t="e">
        <f t="shared" ref="I156:I158" si="154">IF(G156="","",DATEDIF(E156,G156,"D")+1)</f>
        <v>#REF!</v>
      </c>
      <c r="J156" s="50" t="e">
        <f t="shared" si="152"/>
        <v>#REF!</v>
      </c>
      <c r="K156" s="50" t="e">
        <f>IF(G156&lt;&gt;"",IF($C$14="","",IF(K155="","",IF(K155&lt;=0,"",IF(K155=$C$16,K155-$C$16,K155-$C$15)))),"")</f>
        <v>#REF!</v>
      </c>
      <c r="L156" s="82" t="e" cm="1">
        <f t="array" ref="L156">IF(AND(OR(J156=0,J156=""),OR(K156=0,K156="")),"",_xlfn.IFS($C$23&gt;=0.0035,0.003,$C$23&lt;0.0005,0,$C$23&lt;0.0035,$C$23-0.0005))</f>
        <v>#REF!</v>
      </c>
      <c r="M156" s="64" t="e">
        <f>IF(G156="","",IF(OR(K156="",K156=0),"",ROUNDDOWN(K156*(I156/365)*L156,0)))</f>
        <v>#REF!</v>
      </c>
      <c r="N156" s="65" t="e">
        <f t="shared" si="153"/>
        <v>#REF!</v>
      </c>
      <c r="O156" s="66" t="e">
        <f t="shared" si="151"/>
        <v>#REF!</v>
      </c>
      <c r="P156" s="106"/>
    </row>
    <row r="157" spans="2:16" s="14" customFormat="1" hidden="1" x14ac:dyDescent="0.4">
      <c r="B157" s="263"/>
      <c r="C157" s="266"/>
      <c r="D157" s="49" t="s">
        <v>35</v>
      </c>
      <c r="E157" s="73" t="e">
        <f t="shared" si="149"/>
        <v>#REF!</v>
      </c>
      <c r="F157" s="46" t="e">
        <f t="shared" si="101"/>
        <v>#REF!</v>
      </c>
      <c r="G157" s="102" t="e">
        <f>IF(G156="","",IF(G156+1&gt;DATE($B$154,9,30),"",IF(OR($C$21="",$C$22=""),"",IF($C$21="月末",IF(EOMONTH(G156,VLOOKUP($C$22,#REF!,2,FALSE))&gt;DATE($B$154,9,30),"",EOMONTH(G156,VLOOKUP($C$22,#REF!,2,FALSE))),IF(EOMONTH(G156,VLOOKUP($C$22,#REF!,2,FALSE)-1)+$C$21&gt;DATE($B$154,9,30),"",EOMONTH(G156,VLOOKUP($C$22,#REF!,2,FALSE)-1)+$C$21)))))</f>
        <v>#REF!</v>
      </c>
      <c r="H157" s="46" t="e">
        <f t="shared" si="142"/>
        <v>#REF!</v>
      </c>
      <c r="I157" s="47" t="e">
        <f t="shared" si="154"/>
        <v>#REF!</v>
      </c>
      <c r="J157" s="50" t="e">
        <f t="shared" si="152"/>
        <v>#REF!</v>
      </c>
      <c r="K157" s="50" t="e">
        <f>IF(G157&lt;&gt;"",IF($C$14="","",IF(K156="","",IF(K156&lt;=0,"",IF(K156=$C$16,K156-$C$16,K156-$C$15)))),"")</f>
        <v>#REF!</v>
      </c>
      <c r="L157" s="82" t="e" cm="1">
        <f t="array" ref="L157">IF(AND(OR(J157=0,J157=""),OR(K157=0,K157="")),"",_xlfn.IFS($C$23&gt;=0.0035,0.003,$C$23&lt;0.0005,0,$C$23&lt;0.0035,$C$23-0.0005))</f>
        <v>#REF!</v>
      </c>
      <c r="M157" s="64" t="e">
        <f t="shared" ref="M157:M158" si="155">IF(G157="","",IF(OR(K157="",K157=0),"",ROUNDDOWN(K157*(I157/365)*L157,0)))</f>
        <v>#REF!</v>
      </c>
      <c r="N157" s="65" t="e">
        <f t="shared" si="153"/>
        <v>#REF!</v>
      </c>
      <c r="O157" s="66" t="e">
        <f t="shared" si="151"/>
        <v>#REF!</v>
      </c>
      <c r="P157" s="106"/>
    </row>
    <row r="158" spans="2:16" s="14" customFormat="1" hidden="1" x14ac:dyDescent="0.4">
      <c r="B158" s="263"/>
      <c r="C158" s="266"/>
      <c r="D158" s="49" t="s">
        <v>36</v>
      </c>
      <c r="E158" s="73" t="e">
        <f t="shared" si="149"/>
        <v>#REF!</v>
      </c>
      <c r="F158" s="46" t="e">
        <f t="shared" si="101"/>
        <v>#REF!</v>
      </c>
      <c r="G158" s="102" t="e">
        <f>IF(G157="","",IF(G157+1&gt;DATE($B$154,9,30),"",IF(OR($C$21="",$C$22=""),"",IF($C$21="月末",IF(EOMONTH(G157,VLOOKUP($C$22,#REF!,2,FALSE))&gt;DATE($B$154,9,30),"",EOMONTH(G157,VLOOKUP($C$22,#REF!,2,FALSE))),IF(EOMONTH(G157,VLOOKUP($C$22,#REF!,2,FALSE)-1)+$C$21&gt;DATE($B$154,9,30),"",EOMONTH(G157,VLOOKUP($C$22,#REF!,2,FALSE)-1)+$C$21)))))</f>
        <v>#REF!</v>
      </c>
      <c r="H158" s="46" t="e">
        <f t="shared" si="142"/>
        <v>#REF!</v>
      </c>
      <c r="I158" s="47" t="e">
        <f t="shared" si="154"/>
        <v>#REF!</v>
      </c>
      <c r="J158" s="50" t="e">
        <f t="shared" si="152"/>
        <v>#REF!</v>
      </c>
      <c r="K158" s="50" t="e">
        <f>IF(G158&lt;&gt;"",IF($C$14="","",IF(K157="","",IF(K157&lt;=0,"",IF(K157=$C$16,K157-$C$16,K157-$C$15)))),"")</f>
        <v>#REF!</v>
      </c>
      <c r="L158" s="82" t="e" cm="1">
        <f t="array" ref="L158">IF(AND(OR(J158=0,J158=""),OR(K158=0,K158="")),"",_xlfn.IFS($C$23&gt;=0.0035,0.003,$C$23&lt;0.0005,0,$C$23&lt;0.0035,$C$23-0.0005))</f>
        <v>#REF!</v>
      </c>
      <c r="M158" s="64" t="e">
        <f t="shared" si="155"/>
        <v>#REF!</v>
      </c>
      <c r="N158" s="65" t="e">
        <f t="shared" si="153"/>
        <v>#REF!</v>
      </c>
      <c r="O158" s="66" t="e">
        <f t="shared" si="151"/>
        <v>#REF!</v>
      </c>
      <c r="P158" s="106"/>
    </row>
    <row r="159" spans="2:16" s="14" customFormat="1" ht="19.5" hidden="1" thickBot="1" x14ac:dyDescent="0.45">
      <c r="B159" s="263"/>
      <c r="C159" s="266"/>
      <c r="D159" s="51" t="s">
        <v>40</v>
      </c>
      <c r="E159" s="74" t="e">
        <f t="shared" si="149"/>
        <v>#REF!</v>
      </c>
      <c r="F159" s="52" t="e">
        <f t="shared" si="101"/>
        <v>#REF!</v>
      </c>
      <c r="G159" s="102" t="e">
        <f>IF(G158="","",IF(G158+1&gt;DATE($B$154,9,30),"",IF(OR($C$21="",$C$22=""),"",IF($C$21="月末",IF(EOMONTH(G158,VLOOKUP($C$22,#REF!,2,FALSE))&gt;DATE($B$154,9,30),"",EOMONTH(G158,VLOOKUP($C$22,#REF!,2,FALSE))),IF(EOMONTH(G158,VLOOKUP($C$22,#REF!,2,FALSE)-1)+$C$21&gt;DATE($B$154,9,30),"",EOMONTH(G158,VLOOKUP($C$22,#REF!,2,FALSE)-1)+$C$21)))))</f>
        <v>#REF!</v>
      </c>
      <c r="H159" s="52" t="e">
        <f t="shared" si="142"/>
        <v>#REF!</v>
      </c>
      <c r="I159" s="53" t="e">
        <f>IF(G159="","",DATEDIF(E159,G159,"D")+1)</f>
        <v>#REF!</v>
      </c>
      <c r="J159" s="50" t="e">
        <f t="shared" si="152"/>
        <v>#REF!</v>
      </c>
      <c r="K159" s="50" t="e">
        <f>IF(G159&lt;&gt;"",IF($C$14="","",IF(K158="","",IF(K158&lt;=0,"",IF(K158=$C$16,K158-$C$16,K158-$C$15)))),"")</f>
        <v>#REF!</v>
      </c>
      <c r="L159" s="83" t="e" cm="1">
        <f t="array" ref="L159">IF(AND(OR(J159=0,J159=""),OR(K159=0,K159="")),"",_xlfn.IFS($C$23&gt;=0.0035,0.003,$C$23&lt;0.0005,0,$C$23&lt;0.0035,$C$23-0.0005))</f>
        <v>#REF!</v>
      </c>
      <c r="M159" s="67" t="e">
        <f t="shared" ref="M159" si="156">IF(G159="","",IF(K159="","",ROUNDDOWN(K159*(I159/365)*L159,0)))</f>
        <v>#REF!</v>
      </c>
      <c r="N159" s="68" t="e">
        <f t="shared" si="153"/>
        <v>#REF!</v>
      </c>
      <c r="O159" s="69" t="e">
        <f t="shared" si="151"/>
        <v>#REF!</v>
      </c>
      <c r="P159" s="106"/>
    </row>
    <row r="160" spans="2:16" s="14" customFormat="1" ht="19.5" hidden="1" thickBot="1" x14ac:dyDescent="0.45">
      <c r="B160" s="264"/>
      <c r="C160" s="57" t="s">
        <v>10</v>
      </c>
      <c r="D160" s="58"/>
      <c r="E160" s="75" t="e" cm="1">
        <f t="array" ref="E160">_xlfn.SINGLE(IF(E154:E159&lt;&gt;"",MIN(E154:E159),""))</f>
        <v>#REF!</v>
      </c>
      <c r="F160" s="59" t="e">
        <f t="shared" si="101"/>
        <v>#REF!</v>
      </c>
      <c r="G160" s="75" t="e" cm="1">
        <f t="array" ref="G160">_xlfn.SINGLE(IF(G154:G159&lt;&gt;"",MAX(G154:G159),""))</f>
        <v>#REF!</v>
      </c>
      <c r="H160" s="59" t="e">
        <f t="shared" si="142"/>
        <v>#REF!</v>
      </c>
      <c r="I160" s="60" t="e">
        <f>SUM(I154:I159)</f>
        <v>#REF!</v>
      </c>
      <c r="J160" s="58"/>
      <c r="K160" s="58"/>
      <c r="L160" s="84"/>
      <c r="M160" s="70" t="e">
        <f>SUM(M154:M159)</f>
        <v>#REF!</v>
      </c>
      <c r="N160" s="71"/>
      <c r="O160" s="72"/>
      <c r="P160" s="106"/>
    </row>
    <row r="161" spans="2:17" s="14" customFormat="1" hidden="1" x14ac:dyDescent="0.4">
      <c r="B161" s="263"/>
      <c r="C161" s="267" t="s">
        <v>4</v>
      </c>
      <c r="D161" s="54" t="s">
        <v>9</v>
      </c>
      <c r="E161" s="73" t="e">
        <f t="shared" ref="E161:E166" si="157">IF(G160="","",IF(G161="","",IF(G160+1&gt;DATE($B$154+1,3,31),"",G160+1)))</f>
        <v>#REF!</v>
      </c>
      <c r="F161" s="46" t="e">
        <f t="shared" si="101"/>
        <v>#REF!</v>
      </c>
      <c r="G161" s="102" t="e">
        <f>IF(G160="","",IF(G160+1&gt;DATE($B$154+1,3,31),"",IF(OR($C$21="",$C$22=""),"",IF($C$21="月末",IF(EOMONTH(G160,VLOOKUP($C$22,#REF!,2,FALSE))&gt;DATE($B$154+1,3,31),"",EOMONTH(G160,VLOOKUP($C$22,#REF!,2,FALSE))),IF(EOMONTH(G160,VLOOKUP($C$22,#REF!,2,FALSE)-1)+$C$21&gt;DATE($B$154+1,3,31),"",EOMONTH(G160,VLOOKUP($C$22,#REF!,2,FALSE)-1)+$C$21)))))</f>
        <v>#REF!</v>
      </c>
      <c r="H161" s="46" t="e">
        <f>IF(G161="","",TEXT(G161,"aaa"))</f>
        <v>#REF!</v>
      </c>
      <c r="I161" s="47" t="e">
        <f>IF(G161="","",DATEDIF(E161,G161,"D")+1)</f>
        <v>#REF!</v>
      </c>
      <c r="J161" s="50" t="e" cm="1">
        <f t="array" ref="J161">_xlfn.SINGLE(IF(G161&lt;&gt;"",IF($C$7="","",IF(J154:J159&lt;&gt;"",IF(MIN(J154:J159)&lt;=0,"",IF(MIN(J154:J159)=$C$9,MIN(J154:J159)-$C$9,MIN(J154:J159)-$C$8)),"")),""))</f>
        <v>#REF!</v>
      </c>
      <c r="K161" s="50" t="e" cm="1">
        <f t="array" ref="K161">_xlfn.SINGLE(IF($C$14="","",IF(K154:K159&lt;&gt;"",IF(MIN(K154:K159)&lt;=0,"",IF(MIN(K154:K159)=$C$16,MIN(K154:K159)-$C$16,MIN(K154:K159)-$C$15)),"")))</f>
        <v>#REF!</v>
      </c>
      <c r="L161" s="85" t="e" cm="1">
        <f t="array" ref="L161">IF(AND(OR(J161=0,J161=""),OR(K161=0,K161="")),"",_xlfn.IFS($C$23&gt;=0.0035,0.003,$C$23&lt;0.0005,0,$C$23&lt;0.0035,$C$23-0.0005))</f>
        <v>#REF!</v>
      </c>
      <c r="M161" s="61" t="e">
        <f t="shared" ref="M161:M162" si="158">IF(G161="","",IF(OR(K161="",K161=0),"",ROUNDDOWN(K161*(I161/365)*L161,0)))</f>
        <v>#REF!</v>
      </c>
      <c r="N161" s="62" t="e">
        <f>IF(OR(K161="",K161=0),"",IF(G161="","",$C$8))</f>
        <v>#REF!</v>
      </c>
      <c r="O161" s="63" t="e">
        <f t="shared" ref="O161:O166" si="159">IF(OR(K161="",K161=0),"",IF(G161="","",$C$15))</f>
        <v>#REF!</v>
      </c>
      <c r="P161" s="106"/>
    </row>
    <row r="162" spans="2:17" s="14" customFormat="1" hidden="1" x14ac:dyDescent="0.4">
      <c r="B162" s="263"/>
      <c r="C162" s="266"/>
      <c r="D162" s="49" t="s">
        <v>8</v>
      </c>
      <c r="E162" s="73" t="e">
        <f t="shared" si="157"/>
        <v>#REF!</v>
      </c>
      <c r="F162" s="46" t="e">
        <f t="shared" si="101"/>
        <v>#REF!</v>
      </c>
      <c r="G162" s="102" t="e">
        <f>IF(G161="","",IF(G161+1&gt;DATE($B$154+1,3,31),"",IF(OR($C$21="",$C$22=""),"",IF($C$21="月末",IF(EOMONTH(G161,VLOOKUP($C$22,#REF!,2,FALSE))&gt;DATE($B$154+1,3,31),"",EOMONTH(G161,VLOOKUP($C$22,#REF!,2,FALSE))),IF(EOMONTH(G161,VLOOKUP($C$22,#REF!,2,FALSE)-1)+$C$21&gt;DATE($B$154+1,3,31),"",EOMONTH(G161,VLOOKUP($C$22,#REF!,2,FALSE)-1)+$C$21)))))</f>
        <v>#REF!</v>
      </c>
      <c r="H162" s="46" t="e">
        <f t="shared" ref="H162:H174" si="160">IF(G162="","",TEXT(G162,"aaa"))</f>
        <v>#REF!</v>
      </c>
      <c r="I162" s="47" t="e">
        <f>IF(G162="","",DATEDIF(E162,G162,"D")+1)</f>
        <v>#REF!</v>
      </c>
      <c r="J162" s="50" t="e">
        <f t="shared" ref="J162:J166" si="161">IF(G162&lt;&gt;"",IF($C$7="","",IF(J161="","",IF(J161&lt;=0,"",IF(J161=$C$9,J161-$C$9,J161-$C$8)))),"")</f>
        <v>#REF!</v>
      </c>
      <c r="K162" s="50" t="e">
        <f>IF(G162&lt;&gt;"",IF($C$14="","",IF(K161="","",IF(K161&lt;=0,"",IF(K161=$C$16,K161-$C$16,K161-$C$15)))),"")</f>
        <v>#REF!</v>
      </c>
      <c r="L162" s="82" t="e" cm="1">
        <f t="array" ref="L162">IF(AND(OR(J162=0,J162=""),OR(K162=0,K162="")),"",_xlfn.IFS($C$23&gt;=0.0035,0.003,$C$23&lt;0.0005,0,$C$23&lt;0.0035,$C$23-0.0005))</f>
        <v>#REF!</v>
      </c>
      <c r="M162" s="64" t="e">
        <f t="shared" si="158"/>
        <v>#REF!</v>
      </c>
      <c r="N162" s="65" t="e">
        <f t="shared" ref="N162:N166" si="162">IF(OR(K162="",K162=0),"",IF(G162="","",$C$8))</f>
        <v>#REF!</v>
      </c>
      <c r="O162" s="66" t="e">
        <f t="shared" si="159"/>
        <v>#REF!</v>
      </c>
      <c r="P162" s="106"/>
    </row>
    <row r="163" spans="2:17" s="14" customFormat="1" hidden="1" x14ac:dyDescent="0.4">
      <c r="B163" s="263"/>
      <c r="C163" s="266"/>
      <c r="D163" s="49" t="s">
        <v>37</v>
      </c>
      <c r="E163" s="73" t="e">
        <f t="shared" si="157"/>
        <v>#REF!</v>
      </c>
      <c r="F163" s="46" t="e">
        <f t="shared" si="101"/>
        <v>#REF!</v>
      </c>
      <c r="G163" s="102" t="e">
        <f>IF(G162="","",IF(G162+1&gt;DATE($B$154+1,3,31),"",IF(OR($C$21="",$C$22=""),"",IF($C$21="月末",IF(EOMONTH(G162,VLOOKUP($C$22,#REF!,2,FALSE))&gt;DATE($B$154+1,3,31),"",EOMONTH(G162,VLOOKUP($C$22,#REF!,2,FALSE))),IF(EOMONTH(G162,VLOOKUP($C$22,#REF!,2,FALSE)-1)+$C$21&gt;DATE($B$154+1,3,31),"",EOMONTH(G162,VLOOKUP($C$22,#REF!,2,FALSE)-1)+$C$21)))))</f>
        <v>#REF!</v>
      </c>
      <c r="H163" s="46" t="e">
        <f t="shared" si="160"/>
        <v>#REF!</v>
      </c>
      <c r="I163" s="47" t="e">
        <f t="shared" ref="I163:I165" si="163">IF(G163="","",DATEDIF(E163,G163,"D")+1)</f>
        <v>#REF!</v>
      </c>
      <c r="J163" s="50" t="e">
        <f t="shared" si="161"/>
        <v>#REF!</v>
      </c>
      <c r="K163" s="50" t="e">
        <f>IF(G163&lt;&gt;"",IF($C$14="","",IF(K162="","",IF(K162&lt;=0,"",IF(K162=$C$16,K162-$C$16,K162-$C$15)))),"")</f>
        <v>#REF!</v>
      </c>
      <c r="L163" s="82" t="e" cm="1">
        <f t="array" ref="L163">IF(AND(OR(J163=0,J163=""),OR(K163=0,K163="")),"",_xlfn.IFS($C$23&gt;=0.0035,0.003,$C$23&lt;0.0005,0,$C$23&lt;0.0035,$C$23-0.0005))</f>
        <v>#REF!</v>
      </c>
      <c r="M163" s="64" t="e">
        <f>IF(G163="","",IF(OR(K163="",K163=0),"",ROUNDDOWN(K163*(I163/365)*L163,0)))</f>
        <v>#REF!</v>
      </c>
      <c r="N163" s="65" t="e">
        <f t="shared" si="162"/>
        <v>#REF!</v>
      </c>
      <c r="O163" s="66" t="e">
        <f t="shared" si="159"/>
        <v>#REF!</v>
      </c>
      <c r="P163" s="106"/>
    </row>
    <row r="164" spans="2:17" s="14" customFormat="1" hidden="1" x14ac:dyDescent="0.4">
      <c r="B164" s="263"/>
      <c r="C164" s="266"/>
      <c r="D164" s="49" t="s">
        <v>38</v>
      </c>
      <c r="E164" s="73" t="e">
        <f t="shared" si="157"/>
        <v>#REF!</v>
      </c>
      <c r="F164" s="46" t="e">
        <f t="shared" si="101"/>
        <v>#REF!</v>
      </c>
      <c r="G164" s="102" t="e">
        <f>IF(G163="","",IF(G163+1&gt;DATE($B$154+1,3,31),"",IF(OR($C$21="",$C$22=""),"",IF($C$21="月末",IF(EOMONTH(G163,VLOOKUP($C$22,#REF!,2,FALSE))&gt;DATE($B$154+1,3,31),"",EOMONTH(G163,VLOOKUP($C$22,#REF!,2,FALSE))),IF(EOMONTH(G163,VLOOKUP($C$22,#REF!,2,FALSE)-1)+$C$21&gt;DATE($B$154+1,3,31),"",EOMONTH(G163,VLOOKUP($C$22,#REF!,2,FALSE)-1)+$C$21)))))</f>
        <v>#REF!</v>
      </c>
      <c r="H164" s="46" t="e">
        <f t="shared" si="160"/>
        <v>#REF!</v>
      </c>
      <c r="I164" s="47" t="e">
        <f t="shared" si="163"/>
        <v>#REF!</v>
      </c>
      <c r="J164" s="50" t="e">
        <f t="shared" si="161"/>
        <v>#REF!</v>
      </c>
      <c r="K164" s="50" t="e">
        <f>IF(G164&lt;&gt;"",IF($C$14="","",IF(K163="","",IF(K163&lt;=0,"",IF(K163=$C$16,K163-$C$16,K163-$C$15)))),"")</f>
        <v>#REF!</v>
      </c>
      <c r="L164" s="82" t="e" cm="1">
        <f t="array" ref="L164">IF(AND(OR(J164=0,J164=""),OR(K164=0,K164="")),"",_xlfn.IFS($C$23&gt;=0.0035,0.003,$C$23&lt;0.0005,0,$C$23&lt;0.0035,$C$23-0.0005))</f>
        <v>#REF!</v>
      </c>
      <c r="M164" s="64" t="e">
        <f t="shared" ref="M164:M165" si="164">IF(G164="","",IF(OR(K164="",K164=0),"",ROUNDDOWN(K164*(I164/365)*L164,0)))</f>
        <v>#REF!</v>
      </c>
      <c r="N164" s="65" t="e">
        <f t="shared" si="162"/>
        <v>#REF!</v>
      </c>
      <c r="O164" s="66" t="e">
        <f t="shared" si="159"/>
        <v>#REF!</v>
      </c>
      <c r="P164" s="106"/>
    </row>
    <row r="165" spans="2:17" s="14" customFormat="1" hidden="1" x14ac:dyDescent="0.4">
      <c r="B165" s="263"/>
      <c r="C165" s="266"/>
      <c r="D165" s="49" t="s">
        <v>39</v>
      </c>
      <c r="E165" s="73" t="e">
        <f t="shared" si="157"/>
        <v>#REF!</v>
      </c>
      <c r="F165" s="46" t="e">
        <f t="shared" si="101"/>
        <v>#REF!</v>
      </c>
      <c r="G165" s="102" t="e">
        <f>IF(G164="","",IF(G164+1&gt;DATE($B$154+1,3,31),"",IF(OR($C$21="",$C$22=""),"",IF($C$21="月末",IF(EOMONTH(G164,VLOOKUP($C$22,#REF!,2,FALSE))&gt;DATE($B$154+1,3,31),"",EOMONTH(G164,VLOOKUP($C$22,#REF!,2,FALSE))),IF(EOMONTH(G164,VLOOKUP($C$22,#REF!,2,FALSE)-1)+$C$21&gt;DATE($B$154+1,3,31),"",EOMONTH(G164,VLOOKUP($C$22,#REF!,2,FALSE)-1)+$C$21)))))</f>
        <v>#REF!</v>
      </c>
      <c r="H165" s="46" t="e">
        <f t="shared" si="160"/>
        <v>#REF!</v>
      </c>
      <c r="I165" s="47" t="e">
        <f t="shared" si="163"/>
        <v>#REF!</v>
      </c>
      <c r="J165" s="50" t="e">
        <f t="shared" si="161"/>
        <v>#REF!</v>
      </c>
      <c r="K165" s="50" t="e">
        <f>IF(G165&lt;&gt;"",IF($C$14="","",IF(K164="","",IF(K164&lt;=0,"",IF(K164=$C$16,K164-$C$16,K164-$C$15)))),"")</f>
        <v>#REF!</v>
      </c>
      <c r="L165" s="82" t="e" cm="1">
        <f t="array" ref="L165">IF(AND(OR(J165=0,J165=""),OR(K165=0,K165="")),"",_xlfn.IFS($C$23&gt;=0.0035,0.003,$C$23&lt;0.0005,0,$C$23&lt;0.0035,$C$23-0.0005))</f>
        <v>#REF!</v>
      </c>
      <c r="M165" s="64" t="e">
        <f t="shared" si="164"/>
        <v>#REF!</v>
      </c>
      <c r="N165" s="65" t="e">
        <f t="shared" si="162"/>
        <v>#REF!</v>
      </c>
      <c r="O165" s="66" t="e">
        <f t="shared" si="159"/>
        <v>#REF!</v>
      </c>
      <c r="P165" s="106"/>
    </row>
    <row r="166" spans="2:17" s="14" customFormat="1" ht="19.5" hidden="1" thickBot="1" x14ac:dyDescent="0.45">
      <c r="B166" s="263"/>
      <c r="C166" s="266"/>
      <c r="D166" s="51" t="s">
        <v>41</v>
      </c>
      <c r="E166" s="74" t="e">
        <f t="shared" si="157"/>
        <v>#REF!</v>
      </c>
      <c r="F166" s="52" t="e">
        <f t="shared" si="101"/>
        <v>#REF!</v>
      </c>
      <c r="G166" s="102" t="e">
        <f>IF(G165="","",IF(G165+1&gt;DATE($B$154+1,3,31),"",IF(OR($C$21="",$C$22=""),"",IF($C$21="月末",IF(EOMONTH(G165,VLOOKUP($C$22,#REF!,2,FALSE))&gt;DATE($B$154+1,3,31),"",EOMONTH(G165,VLOOKUP($C$22,#REF!,2,FALSE))),IF(EOMONTH(G165,VLOOKUP($C$22,#REF!,2,FALSE)-1)+$C$21&gt;DATE($B$154+1,3,31),"",EOMONTH(G165,VLOOKUP($C$22,#REF!,2,FALSE)-1)+$C$21)))))</f>
        <v>#REF!</v>
      </c>
      <c r="H166" s="52" t="e">
        <f t="shared" si="160"/>
        <v>#REF!</v>
      </c>
      <c r="I166" s="53" t="e">
        <f>IF(G166="","",DATEDIF(E166,G166,"D")+1)</f>
        <v>#REF!</v>
      </c>
      <c r="J166" s="50" t="e">
        <f t="shared" si="161"/>
        <v>#REF!</v>
      </c>
      <c r="K166" s="50" t="e">
        <f>IF(G166&lt;&gt;"",IF($C$14="","",IF(K165="","",IF(K165&lt;=0,"",IF(K165=$C$16,K165-$C$16,K165-$C$15)))),"")</f>
        <v>#REF!</v>
      </c>
      <c r="L166" s="83" t="e" cm="1">
        <f t="array" ref="L166">IF(AND(OR(J166=0,J166=""),OR(K166=0,K166="")),"",_xlfn.IFS($C$23&gt;=0.0035,0.003,$C$23&lt;0.0005,0,$C$23&lt;0.0035,$C$23-0.0005))</f>
        <v>#REF!</v>
      </c>
      <c r="M166" s="67" t="e">
        <f t="shared" ref="M166" si="165">IF(G166="","",IF(K166="","",ROUNDDOWN(K166*(I166/365)*L166,0)))</f>
        <v>#REF!</v>
      </c>
      <c r="N166" s="68" t="e">
        <f t="shared" si="162"/>
        <v>#REF!</v>
      </c>
      <c r="O166" s="69" t="e">
        <f t="shared" si="159"/>
        <v>#REF!</v>
      </c>
      <c r="P166" s="106"/>
    </row>
    <row r="167" spans="2:17" s="14" customFormat="1" ht="19.5" hidden="1" thickBot="1" x14ac:dyDescent="0.45">
      <c r="B167" s="265"/>
      <c r="C167" s="57" t="s">
        <v>10</v>
      </c>
      <c r="D167" s="58"/>
      <c r="E167" s="75" t="e" cm="1">
        <f t="array" ref="E167">_xlfn.SINGLE(IF(E161:E166&lt;&gt;"",MIN(E161:E166),""))</f>
        <v>#REF!</v>
      </c>
      <c r="F167" s="59" t="e">
        <f t="shared" si="101"/>
        <v>#REF!</v>
      </c>
      <c r="G167" s="75" t="e" cm="1">
        <f t="array" ref="G167">_xlfn.SINGLE(IF(G161:G166&lt;&gt;"",MAX(G161:G166),""))</f>
        <v>#REF!</v>
      </c>
      <c r="H167" s="59" t="e">
        <f t="shared" si="160"/>
        <v>#REF!</v>
      </c>
      <c r="I167" s="60" t="e">
        <f>SUM(I161:I166)</f>
        <v>#REF!</v>
      </c>
      <c r="J167" s="58"/>
      <c r="K167" s="58"/>
      <c r="L167" s="84"/>
      <c r="M167" s="70" t="e">
        <f>SUM(M161:M166)</f>
        <v>#REF!</v>
      </c>
      <c r="N167" s="71"/>
      <c r="O167" s="72"/>
      <c r="P167" s="106"/>
    </row>
    <row r="168" spans="2:17" s="14" customFormat="1" hidden="1" x14ac:dyDescent="0.4">
      <c r="B168" s="262">
        <f t="shared" ref="B168" si="166">B154+1</f>
        <v>2035</v>
      </c>
      <c r="C168" s="266" t="s">
        <v>3</v>
      </c>
      <c r="D168" s="45" t="s">
        <v>6</v>
      </c>
      <c r="E168" s="73" t="e">
        <f>IF(G167="","",IF(G168="","",IF(G167+1&gt;DATE($B$168+1,3,31),"",G167+1)))</f>
        <v>#REF!</v>
      </c>
      <c r="F168" s="46" t="e">
        <f t="shared" si="101"/>
        <v>#REF!</v>
      </c>
      <c r="G168" s="102" t="e">
        <f>IF(G167="","",IF(G167+1&gt;DATE($B$168,9,30),"",IF(OR($C$21="",$C$22=""),"",IF($C$21="月末",IF(EOMONTH(G167,VLOOKUP($C$22,#REF!,2,FALSE))&gt;DATE($B$168,9,30),"",EOMONTH(G167,VLOOKUP($C$22,#REF!,2,FALSE))),IF(EOMONTH(G167,VLOOKUP($C$22,#REF!,2,FALSE)-1)+$C$21&gt;DATE($B$168,9,30),"",EOMONTH(G167,VLOOKUP($C$22,#REF!,2,FALSE)-1)+$C$21)))))</f>
        <v>#REF!</v>
      </c>
      <c r="H168" s="46" t="e">
        <f t="shared" si="160"/>
        <v>#REF!</v>
      </c>
      <c r="I168" s="47" t="e">
        <f>IF(G168="","",DATEDIF(E168,G168,"D")+1)</f>
        <v>#REF!</v>
      </c>
      <c r="J168" s="50" t="e" cm="1">
        <f t="array" ref="J168">_xlfn.SINGLE(IF(G168&lt;&gt;"",IF($C$7="","",IF(J161:J166&lt;&gt;"",IF(MIN(J161:J166)&lt;=0,"",IF(MIN(J161:J166)=$C$9,MIN(J161:J166)-$C$9,MIN(J161:J166)-$C$8)),"")),""))</f>
        <v>#REF!</v>
      </c>
      <c r="K168" s="50" t="e" cm="1">
        <f t="array" ref="K168">_xlfn.SINGLE(IF($C$14="","",IF(K161:K166&lt;&gt;"",IF(MIN(K161:K166)&lt;=0,"",IF(MIN(K161:K166)=$C$16,MIN(K161:K166)-$C$16,MIN(K161:K166)-$C$15)),"")))</f>
        <v>#REF!</v>
      </c>
      <c r="L168" s="82" t="e" cm="1">
        <f t="array" ref="L168">IF(AND(OR(J168=0,J168=""),OR(K168=0,K168="")),"",_xlfn.IFS($C$23&gt;=0.0035,0.003,$C$23&lt;0.0005,0,$C$23&lt;0.0035,$C$23-0.0005))</f>
        <v>#REF!</v>
      </c>
      <c r="M168" s="61" t="e">
        <f t="shared" ref="M168:M169" si="167">IF(G168="","",IF(OR(K168="",K168=0),"",ROUNDDOWN(K168*(I168/365)*L168,0)))</f>
        <v>#REF!</v>
      </c>
      <c r="N168" s="62" t="e">
        <f>IF(OR(K168="",K168=0),"",IF(G168="","",$C$8))</f>
        <v>#REF!</v>
      </c>
      <c r="O168" s="63" t="e">
        <f t="shared" ref="O168:O173" si="168">IF(OR(K168="",K168=0),"",IF(G168="","",$C$15))</f>
        <v>#REF!</v>
      </c>
      <c r="P168" s="106"/>
    </row>
    <row r="169" spans="2:17" s="14" customFormat="1" hidden="1" x14ac:dyDescent="0.4">
      <c r="B169" s="263"/>
      <c r="C169" s="266"/>
      <c r="D169" s="49" t="s">
        <v>7</v>
      </c>
      <c r="E169" s="73" t="e">
        <f t="shared" ref="E169:E171" si="169">IF(G168="","",IF(G169="","",IF(G168+1&gt;DATE($B$168+1,3,31),"",G168+1)))</f>
        <v>#REF!</v>
      </c>
      <c r="F169" s="46" t="e">
        <f t="shared" si="101"/>
        <v>#REF!</v>
      </c>
      <c r="G169" s="102" t="e">
        <f>IF(G168="","",IF(G168+1&gt;DATE($B$168,9,30),"",IF(OR($C$21="",$C$22=""),"",IF($C$21="月末",IF(EOMONTH(G168,VLOOKUP($C$22,#REF!,2,FALSE))&gt;DATE($B$168,9,30),"",EOMONTH(G168,VLOOKUP($C$22,#REF!,2,FALSE))),IF(EOMONTH(G168,VLOOKUP($C$22,#REF!,2,FALSE)-1)+$C$21&gt;DATE($B$168,9,30),"",EOMONTH(G168,VLOOKUP($C$22,#REF!,2,FALSE)-1)+$C$21)))))</f>
        <v>#REF!</v>
      </c>
      <c r="H169" s="46" t="e">
        <f t="shared" si="160"/>
        <v>#REF!</v>
      </c>
      <c r="I169" s="47" t="e">
        <f>IF(G169="","",DATEDIF(E169,G169,"D")+1)</f>
        <v>#REF!</v>
      </c>
      <c r="J169" s="50" t="e">
        <f t="shared" ref="J169:J173" si="170">IF(G169&lt;&gt;"",IF($C$7="","",IF(J168="","",IF(J168&lt;=0,"",IF(J168=$C$9,J168-$C$9,J168-$C$8)))),"")</f>
        <v>#REF!</v>
      </c>
      <c r="K169" s="50" t="e">
        <f>IF(G169&lt;&gt;"",IF($C$14="","",IF(K168="","",IF(K168&lt;=0,"",IF(K168=$C$16,K168-$C$16,K168-$C$15)))),"")</f>
        <v>#REF!</v>
      </c>
      <c r="L169" s="82" t="e" cm="1">
        <f t="array" ref="L169">IF(AND(OR(J169=0,J169=""),OR(K169=0,K169="")),"",_xlfn.IFS($C$23&gt;=0.0035,0.003,$C$23&lt;0.0005,0,$C$23&lt;0.0035,$C$23-0.0005))</f>
        <v>#REF!</v>
      </c>
      <c r="M169" s="64" t="e">
        <f t="shared" si="167"/>
        <v>#REF!</v>
      </c>
      <c r="N169" s="65" t="e">
        <f t="shared" ref="N169:N173" si="171">IF(OR(K169="",K169=0),"",IF(G169="","",$C$8))</f>
        <v>#REF!</v>
      </c>
      <c r="O169" s="66" t="e">
        <f t="shared" si="168"/>
        <v>#REF!</v>
      </c>
      <c r="P169" s="106"/>
    </row>
    <row r="170" spans="2:17" hidden="1" x14ac:dyDescent="0.4">
      <c r="B170" s="263"/>
      <c r="C170" s="266"/>
      <c r="D170" s="49" t="s">
        <v>34</v>
      </c>
      <c r="E170" s="73" t="e">
        <f t="shared" si="169"/>
        <v>#REF!</v>
      </c>
      <c r="F170" s="46" t="e">
        <f t="shared" si="101"/>
        <v>#REF!</v>
      </c>
      <c r="G170" s="102" t="e">
        <f>IF(G169="","",IF(G169+1&gt;DATE($B$168,9,30),"",IF(OR($C$21="",$C$22=""),"",IF($C$21="月末",IF(EOMONTH(G169,VLOOKUP($C$22,#REF!,2,FALSE))&gt;DATE($B$168,9,30),"",EOMONTH(G169,VLOOKUP($C$22,#REF!,2,FALSE))),IF(EOMONTH(G169,VLOOKUP($C$22,#REF!,2,FALSE)-1)+$C$21&gt;DATE($B$168,9,30),"",EOMONTH(G169,VLOOKUP($C$22,#REF!,2,FALSE)-1)+$C$21)))))</f>
        <v>#REF!</v>
      </c>
      <c r="H170" s="46" t="e">
        <f t="shared" si="160"/>
        <v>#REF!</v>
      </c>
      <c r="I170" s="47" t="e">
        <f t="shared" ref="I170:I172" si="172">IF(G170="","",DATEDIF(E170,G170,"D")+1)</f>
        <v>#REF!</v>
      </c>
      <c r="J170" s="50" t="e">
        <f t="shared" si="170"/>
        <v>#REF!</v>
      </c>
      <c r="K170" s="50" t="e">
        <f>IF(G170&lt;&gt;"",IF($C$14="","",IF(K169="","",IF(K169&lt;=0,"",IF(K169=$C$16,K169-$C$16,K169-$C$15)))),"")</f>
        <v>#REF!</v>
      </c>
      <c r="L170" s="82" t="e" cm="1">
        <f t="array" ref="L170">IF(AND(OR(J170=0,J170=""),OR(K170=0,K170="")),"",_xlfn.IFS($C$23&gt;=0.0035,0.003,$C$23&lt;0.0005,0,$C$23&lt;0.0035,$C$23-0.0005))</f>
        <v>#REF!</v>
      </c>
      <c r="M170" s="64" t="e">
        <f>IF(G170="","",IF(OR(K170="",K170=0),"",ROUNDDOWN(K170*(I170/365)*L170,0)))</f>
        <v>#REF!</v>
      </c>
      <c r="N170" s="65" t="e">
        <f t="shared" si="171"/>
        <v>#REF!</v>
      </c>
      <c r="O170" s="66" t="e">
        <f t="shared" si="168"/>
        <v>#REF!</v>
      </c>
      <c r="P170" s="106"/>
      <c r="Q170" s="12"/>
    </row>
    <row r="171" spans="2:17" hidden="1" x14ac:dyDescent="0.4">
      <c r="B171" s="263"/>
      <c r="C171" s="266"/>
      <c r="D171" s="49" t="s">
        <v>35</v>
      </c>
      <c r="E171" s="73" t="e">
        <f t="shared" si="169"/>
        <v>#REF!</v>
      </c>
      <c r="F171" s="46" t="e">
        <f t="shared" si="101"/>
        <v>#REF!</v>
      </c>
      <c r="G171" s="102" t="e">
        <f>IF(G170="","",IF(G170+1&gt;DATE($B$168,9,30),"",IF(OR($C$21="",$C$22=""),"",IF($C$21="月末",IF(EOMONTH(G170,VLOOKUP($C$22,#REF!,2,FALSE))&gt;DATE($B$168,9,30),"",EOMONTH(G170,VLOOKUP($C$22,#REF!,2,FALSE))),IF(EOMONTH(G170,VLOOKUP($C$22,#REF!,2,FALSE)-1)+$C$21&gt;DATE($B$168,9,30),"",EOMONTH(G170,VLOOKUP($C$22,#REF!,2,FALSE)-1)+$C$21)))))</f>
        <v>#REF!</v>
      </c>
      <c r="H171" s="46" t="e">
        <f t="shared" si="160"/>
        <v>#REF!</v>
      </c>
      <c r="I171" s="47" t="e">
        <f t="shared" si="172"/>
        <v>#REF!</v>
      </c>
      <c r="J171" s="50" t="e">
        <f t="shared" si="170"/>
        <v>#REF!</v>
      </c>
      <c r="K171" s="50" t="e">
        <f>IF(G171&lt;&gt;"",IF($C$14="","",IF(K170="","",IF(K170&lt;=0,"",IF(K170=$C$16,K170-$C$16,K170-$C$15)))),"")</f>
        <v>#REF!</v>
      </c>
      <c r="L171" s="82" t="e" cm="1">
        <f t="array" ref="L171">IF(AND(OR(J171=0,J171=""),OR(K171=0,K171="")),"",_xlfn.IFS($C$23&gt;=0.0035,0.003,$C$23&lt;0.0005,0,$C$23&lt;0.0035,$C$23-0.0005))</f>
        <v>#REF!</v>
      </c>
      <c r="M171" s="64" t="e">
        <f t="shared" ref="M171:M172" si="173">IF(G171="","",IF(OR(K171="",K171=0),"",ROUNDDOWN(K171*(I171/365)*L171,0)))</f>
        <v>#REF!</v>
      </c>
      <c r="N171" s="65" t="e">
        <f t="shared" si="171"/>
        <v>#REF!</v>
      </c>
      <c r="O171" s="66" t="e">
        <f t="shared" si="168"/>
        <v>#REF!</v>
      </c>
      <c r="P171" s="106"/>
      <c r="Q171" s="12"/>
    </row>
    <row r="172" spans="2:17" hidden="1" x14ac:dyDescent="0.4">
      <c r="B172" s="263"/>
      <c r="C172" s="266"/>
      <c r="D172" s="49" t="s">
        <v>36</v>
      </c>
      <c r="E172" s="73" t="e">
        <f>IF(G171="","",IF(G172="","",IF(G171+1&gt;DATE($B$168+1,3,31),"",G171+1)))</f>
        <v>#REF!</v>
      </c>
      <c r="F172" s="46" t="e">
        <f t="shared" si="101"/>
        <v>#REF!</v>
      </c>
      <c r="G172" s="102" t="e">
        <f>IF(G171="","",IF(G171+1&gt;DATE($B$168,9,30),"",IF(OR($C$21="",$C$22=""),"",IF($C$21="月末",IF(EOMONTH(G171,VLOOKUP($C$22,#REF!,2,FALSE))&gt;DATE($B$168,9,30),"",EOMONTH(G171,VLOOKUP($C$22,#REF!,2,FALSE))),IF(EOMONTH(G171,VLOOKUP($C$22,#REF!,2,FALSE)-1)+$C$21&gt;DATE($B$168,9,30),"",EOMONTH(G171,VLOOKUP($C$22,#REF!,2,FALSE)-1)+$C$21)))))</f>
        <v>#REF!</v>
      </c>
      <c r="H172" s="46" t="e">
        <f t="shared" si="160"/>
        <v>#REF!</v>
      </c>
      <c r="I172" s="47" t="e">
        <f t="shared" si="172"/>
        <v>#REF!</v>
      </c>
      <c r="J172" s="50" t="e">
        <f t="shared" si="170"/>
        <v>#REF!</v>
      </c>
      <c r="K172" s="50" t="e">
        <f>IF(G172&lt;&gt;"",IF($C$14="","",IF(K171="","",IF(K171&lt;=0,"",IF(K171=$C$16,K171-$C$16,K171-$C$15)))),"")</f>
        <v>#REF!</v>
      </c>
      <c r="L172" s="82" t="e" cm="1">
        <f t="array" ref="L172">IF(AND(OR(J172=0,J172=""),OR(K172=0,K172="")),"",_xlfn.IFS($C$23&gt;=0.0035,0.003,$C$23&lt;0.0005,0,$C$23&lt;0.0035,$C$23-0.0005))</f>
        <v>#REF!</v>
      </c>
      <c r="M172" s="64" t="e">
        <f t="shared" si="173"/>
        <v>#REF!</v>
      </c>
      <c r="N172" s="65" t="e">
        <f t="shared" si="171"/>
        <v>#REF!</v>
      </c>
      <c r="O172" s="66" t="e">
        <f t="shared" si="168"/>
        <v>#REF!</v>
      </c>
      <c r="P172" s="106"/>
      <c r="Q172" s="12"/>
    </row>
    <row r="173" spans="2:17" ht="19.5" hidden="1" thickBot="1" x14ac:dyDescent="0.45">
      <c r="B173" s="263"/>
      <c r="C173" s="266"/>
      <c r="D173" s="51" t="s">
        <v>40</v>
      </c>
      <c r="E173" s="73" t="e">
        <f t="shared" ref="E173" si="174">IF(G172="","",IF(G173="","",IF(G172+1&gt;DATE($B$168+1,3,31),"",G172+1)))</f>
        <v>#REF!</v>
      </c>
      <c r="F173" s="52" t="e">
        <f t="shared" si="101"/>
        <v>#REF!</v>
      </c>
      <c r="G173" s="102" t="e">
        <f>IF(G172="","",IF(G172+1&gt;DATE($B$168,9,30),"",IF(OR($C$21="",$C$22=""),"",IF($C$21="月末",IF(EOMONTH(G172,VLOOKUP($C$22,#REF!,2,FALSE))&gt;DATE($B$168,9,30),"",EOMONTH(G172,VLOOKUP($C$22,#REF!,2,FALSE))),IF(EOMONTH(G172,VLOOKUP($C$22,#REF!,2,FALSE)-1)+$C$21&gt;DATE($B$168,9,30),"",EOMONTH(G172,VLOOKUP($C$22,#REF!,2,FALSE)-1)+$C$21)))))</f>
        <v>#REF!</v>
      </c>
      <c r="H173" s="52" t="e">
        <f t="shared" si="160"/>
        <v>#REF!</v>
      </c>
      <c r="I173" s="53" t="e">
        <f>IF(G173="","",DATEDIF(E173,G173,"D")+1)</f>
        <v>#REF!</v>
      </c>
      <c r="J173" s="50" t="e">
        <f t="shared" si="170"/>
        <v>#REF!</v>
      </c>
      <c r="K173" s="50" t="e">
        <f>IF(G173&lt;&gt;"",IF($C$14="","",IF(K172="","",IF(K172&lt;=0,"",IF(K172=$C$16,K172-$C$16,K172-$C$15)))),"")</f>
        <v>#REF!</v>
      </c>
      <c r="L173" s="83" t="e" cm="1">
        <f t="array" ref="L173">IF(AND(OR(J173=0,J173=""),OR(K173=0,K173="")),"",_xlfn.IFS($C$23&gt;=0.0035,0.003,$C$23&lt;0.0005,0,$C$23&lt;0.0035,$C$23-0.0005))</f>
        <v>#REF!</v>
      </c>
      <c r="M173" s="67" t="e">
        <f t="shared" ref="M173" si="175">IF(G173="","",IF(K173="","",ROUNDDOWN(K173*(I173/365)*L173,0)))</f>
        <v>#REF!</v>
      </c>
      <c r="N173" s="68" t="e">
        <f t="shared" si="171"/>
        <v>#REF!</v>
      </c>
      <c r="O173" s="69" t="e">
        <f t="shared" si="168"/>
        <v>#REF!</v>
      </c>
      <c r="P173" s="106"/>
      <c r="Q173" s="12"/>
    </row>
    <row r="174" spans="2:17" ht="19.5" hidden="1" thickBot="1" x14ac:dyDescent="0.45">
      <c r="B174" s="264"/>
      <c r="C174" s="57" t="s">
        <v>10</v>
      </c>
      <c r="D174" s="58"/>
      <c r="E174" s="75" t="e" cm="1">
        <f t="array" ref="E174">_xlfn.SINGLE(IF(E168:E173&lt;&gt;"",MIN(E168:E173),""))</f>
        <v>#REF!</v>
      </c>
      <c r="F174" s="59" t="e">
        <f t="shared" si="101"/>
        <v>#REF!</v>
      </c>
      <c r="G174" s="75" t="e">
        <f>MAX(G168:G173)</f>
        <v>#REF!</v>
      </c>
      <c r="H174" s="59" t="e">
        <f t="shared" si="160"/>
        <v>#REF!</v>
      </c>
      <c r="I174" s="60" t="e">
        <f>SUM(I168:I173)</f>
        <v>#REF!</v>
      </c>
      <c r="J174" s="58"/>
      <c r="K174" s="58"/>
      <c r="L174" s="84"/>
      <c r="M174" s="70" t="e">
        <f>SUM(M168:M173)</f>
        <v>#REF!</v>
      </c>
      <c r="N174" s="71"/>
      <c r="O174" s="72"/>
      <c r="P174" s="106"/>
      <c r="Q174" s="12"/>
    </row>
    <row r="175" spans="2:17" hidden="1" x14ac:dyDescent="0.4">
      <c r="B175" s="263"/>
      <c r="C175" s="267" t="s">
        <v>4</v>
      </c>
      <c r="D175" s="54" t="s">
        <v>9</v>
      </c>
      <c r="E175" s="73" t="e">
        <f>IF(G174="","",IF(G175="","",IF(G174+1&gt;DATE($B$168+1,3,31),"",G174+1)))</f>
        <v>#REF!</v>
      </c>
      <c r="F175" s="46" t="e">
        <f t="shared" si="101"/>
        <v>#REF!</v>
      </c>
      <c r="G175" s="102" t="e">
        <f>IF(G174="","",IF(G174+1&gt;DATE($B$168+1,3,31),"",IF(OR($C$21="",$C$22=""),"",IF($C$21="月末",IF(EOMONTH(G174,VLOOKUP($C$22,#REF!,2,FALSE))&gt;DATE($B$168+1,3,31),"",EOMONTH(G174,VLOOKUP($C$22,#REF!,2,FALSE))),IF(EOMONTH(G174,VLOOKUP($C$22,#REF!,2,FALSE)-1)+$C$21&gt;DATE($B$168+1,3,31),"",EOMONTH(G174,VLOOKUP($C$22,#REF!,2,FALSE)-1)+$C$21)))))</f>
        <v>#REF!</v>
      </c>
      <c r="H175" s="46" t="e">
        <f>IF(G175="","",TEXT(G175,"aaa"))</f>
        <v>#REF!</v>
      </c>
      <c r="I175" s="47" t="e">
        <f>IF(G175="","",DATEDIF(E175,G175,"D")+1)</f>
        <v>#REF!</v>
      </c>
      <c r="J175" s="50" t="e" cm="1">
        <f t="array" ref="J175">_xlfn.SINGLE(IF(G175&lt;&gt;"",IF($C$7="","",IF(J168:J173&lt;&gt;"",IF(MIN(J168:J173)&lt;=0,"",IF(MIN(J168:J173)=$C$9,MIN(J168:J173)-$C$9,MIN(J168:J173)-$C$8)),"")),""))</f>
        <v>#REF!</v>
      </c>
      <c r="K175" s="50" t="e" cm="1">
        <f t="array" ref="K175">_xlfn.SINGLE(IF($C$14="","",IF(K168:K173&lt;&gt;"",IF(MIN(K168:K173)&lt;=0,"",IF(MIN(K168:K173)=$C$16,MIN(K168:K173)-$C$16,MIN(K168:K173)-$C$15)),"")))</f>
        <v>#REF!</v>
      </c>
      <c r="L175" s="85" t="e" cm="1">
        <f t="array" ref="L175">IF(AND(OR(J175=0,J175=""),OR(K175=0,K175="")),"",_xlfn.IFS($C$23&gt;=0.0035,0.003,$C$23&lt;0.0005,0,$C$23&lt;0.0035,$C$23-0.0005))</f>
        <v>#REF!</v>
      </c>
      <c r="M175" s="61" t="e">
        <f t="shared" ref="M175:M176" si="176">IF(G175="","",IF(OR(K175="",K175=0),"",ROUNDDOWN(K175*(I175/365)*L175,0)))</f>
        <v>#REF!</v>
      </c>
      <c r="N175" s="62" t="e">
        <f>IF(OR(K175="",K175=0),"",IF(G175="","",$C$8))</f>
        <v>#REF!</v>
      </c>
      <c r="O175" s="63" t="e">
        <f t="shared" ref="O175:O180" si="177">IF(OR(K175="",K175=0),"",IF(G175="","",$C$15))</f>
        <v>#REF!</v>
      </c>
      <c r="P175" s="106"/>
      <c r="Q175" s="12"/>
    </row>
    <row r="176" spans="2:17" hidden="1" x14ac:dyDescent="0.4">
      <c r="B176" s="263"/>
      <c r="C176" s="266"/>
      <c r="D176" s="49" t="s">
        <v>8</v>
      </c>
      <c r="E176" s="73" t="e">
        <f t="shared" ref="E176:E180" si="178">IF(G175="","",IF(G176="","",IF(G175+1&gt;DATE($B$168+1,3,31),"",G175+1)))</f>
        <v>#REF!</v>
      </c>
      <c r="F176" s="46" t="e">
        <f t="shared" si="101"/>
        <v>#REF!</v>
      </c>
      <c r="G176" s="102" t="e">
        <f>IF(G175="","",IF(G175+1&gt;DATE($B$168+1,3,31),"",IF(OR($C$21="",$C$22=""),"",IF($C$21="月末",IF(EOMONTH(G175,VLOOKUP($C$22,#REF!,2,FALSE))&gt;DATE($B$168+1,3,31),"",EOMONTH(G175,VLOOKUP($C$22,#REF!,2,FALSE))),IF(EOMONTH(G175,VLOOKUP($C$22,#REF!,2,FALSE)-1)+$C$21&gt;DATE($B$168+1,3,31),"",EOMONTH(G175,VLOOKUP($C$22,#REF!,2,FALSE)-1)+$C$21)))))</f>
        <v>#REF!</v>
      </c>
      <c r="H176" s="46" t="e">
        <f t="shared" ref="H176:H181" si="179">IF(G176="","",TEXT(G176,"aaa"))</f>
        <v>#REF!</v>
      </c>
      <c r="I176" s="47" t="e">
        <f>IF(G176="","",DATEDIF(E176,G176,"D")+1)</f>
        <v>#REF!</v>
      </c>
      <c r="J176" s="50" t="e">
        <f t="shared" ref="J176:J180" si="180">IF(G176&lt;&gt;"",IF($C$7="","",IF(J175="","",IF(J175&lt;=0,"",IF(J175=$C$9,J175-$C$9,J175-$C$8)))),"")</f>
        <v>#REF!</v>
      </c>
      <c r="K176" s="50" t="e">
        <f>IF(G176&lt;&gt;"",IF($C$14="","",IF(K175="","",IF(K175&lt;=0,"",IF(K175=$C$16,K175-$C$16,K175-$C$15)))),"")</f>
        <v>#REF!</v>
      </c>
      <c r="L176" s="82" t="e" cm="1">
        <f t="array" ref="L176">IF(AND(OR(J176=0,J176=""),OR(K176=0,K176="")),"",_xlfn.IFS($C$23&gt;=0.0035,0.003,$C$23&lt;0.0005,0,$C$23&lt;0.0035,$C$23-0.0005))</f>
        <v>#REF!</v>
      </c>
      <c r="M176" s="64" t="e">
        <f t="shared" si="176"/>
        <v>#REF!</v>
      </c>
      <c r="N176" s="65" t="e">
        <f t="shared" ref="N176:N180" si="181">IF(OR(K176="",K176=0),"",IF(G176="","",$C$8))</f>
        <v>#REF!</v>
      </c>
      <c r="O176" s="66" t="e">
        <f t="shared" si="177"/>
        <v>#REF!</v>
      </c>
      <c r="P176" s="106"/>
      <c r="Q176" s="12"/>
    </row>
    <row r="177" spans="2:17" hidden="1" x14ac:dyDescent="0.4">
      <c r="B177" s="263"/>
      <c r="C177" s="266"/>
      <c r="D177" s="49" t="s">
        <v>37</v>
      </c>
      <c r="E177" s="73" t="e">
        <f t="shared" si="178"/>
        <v>#REF!</v>
      </c>
      <c r="F177" s="46" t="e">
        <f t="shared" si="101"/>
        <v>#REF!</v>
      </c>
      <c r="G177" s="102" t="e">
        <f>IF(G176="","",IF(G176+1&gt;DATE($B$168+1,3,31),"",IF(OR($C$21="",$C$22=""),"",IF($C$21="月末",IF(EOMONTH(G176,VLOOKUP($C$22,#REF!,2,FALSE))&gt;DATE($B$168+1,3,31),"",EOMONTH(G176,VLOOKUP($C$22,#REF!,2,FALSE))),IF(EOMONTH(G176,VLOOKUP($C$22,#REF!,2,FALSE)-1)+$C$21&gt;DATE($B$168+1,3,31),"",EOMONTH(G176,VLOOKUP($C$22,#REF!,2,FALSE)-1)+$C$21)))))</f>
        <v>#REF!</v>
      </c>
      <c r="H177" s="46" t="e">
        <f t="shared" si="179"/>
        <v>#REF!</v>
      </c>
      <c r="I177" s="47" t="e">
        <f t="shared" ref="I177:I179" si="182">IF(G177="","",DATEDIF(E177,G177,"D")+1)</f>
        <v>#REF!</v>
      </c>
      <c r="J177" s="50" t="e">
        <f t="shared" si="180"/>
        <v>#REF!</v>
      </c>
      <c r="K177" s="50" t="e">
        <f>IF(G177&lt;&gt;"",IF($C$14="","",IF(K176="","",IF(K176&lt;=0,"",IF(K176=$C$16,K176-$C$16,K176-$C$15)))),"")</f>
        <v>#REF!</v>
      </c>
      <c r="L177" s="82" t="e" cm="1">
        <f t="array" ref="L177">IF(AND(OR(J177=0,J177=""),OR(K177=0,K177="")),"",_xlfn.IFS($C$23&gt;=0.0035,0.003,$C$23&lt;0.0005,0,$C$23&lt;0.0035,$C$23-0.0005))</f>
        <v>#REF!</v>
      </c>
      <c r="M177" s="64" t="e">
        <f>IF(G177="","",IF(OR(K177="",K177=0),"",ROUNDDOWN(K177*(I177/365)*L177,0)))</f>
        <v>#REF!</v>
      </c>
      <c r="N177" s="65" t="e">
        <f t="shared" si="181"/>
        <v>#REF!</v>
      </c>
      <c r="O177" s="66" t="e">
        <f t="shared" si="177"/>
        <v>#REF!</v>
      </c>
      <c r="P177" s="106"/>
      <c r="Q177" s="12"/>
    </row>
    <row r="178" spans="2:17" hidden="1" x14ac:dyDescent="0.4">
      <c r="B178" s="263"/>
      <c r="C178" s="266"/>
      <c r="D178" s="49" t="s">
        <v>38</v>
      </c>
      <c r="E178" s="73" t="e">
        <f t="shared" si="178"/>
        <v>#REF!</v>
      </c>
      <c r="F178" s="46" t="e">
        <f t="shared" si="101"/>
        <v>#REF!</v>
      </c>
      <c r="G178" s="102" t="e">
        <f>IF(G177="","",IF(G177+1&gt;DATE($B$168+1,3,31),"",IF(OR($C$21="",$C$22=""),"",IF($C$21="月末",IF(EOMONTH(G177,VLOOKUP($C$22,#REF!,2,FALSE))&gt;DATE($B$168+1,3,31),"",EOMONTH(G177,VLOOKUP($C$22,#REF!,2,FALSE))),IF(EOMONTH(G177,VLOOKUP($C$22,#REF!,2,FALSE)-1)+$C$21&gt;DATE($B$168+1,3,31),"",EOMONTH(G177,VLOOKUP($C$22,#REF!,2,FALSE)-1)+$C$21)))))</f>
        <v>#REF!</v>
      </c>
      <c r="H178" s="46" t="e">
        <f t="shared" si="179"/>
        <v>#REF!</v>
      </c>
      <c r="I178" s="47" t="e">
        <f t="shared" si="182"/>
        <v>#REF!</v>
      </c>
      <c r="J178" s="50" t="e">
        <f t="shared" si="180"/>
        <v>#REF!</v>
      </c>
      <c r="K178" s="50" t="e">
        <f>IF(G178&lt;&gt;"",IF($C$14="","",IF(K177="","",IF(K177&lt;=0,"",IF(K177=$C$16,K177-$C$16,K177-$C$15)))),"")</f>
        <v>#REF!</v>
      </c>
      <c r="L178" s="82" t="e" cm="1">
        <f t="array" ref="L178">IF(AND(OR(J178=0,J178=""),OR(K178=0,K178="")),"",_xlfn.IFS($C$23&gt;=0.0035,0.003,$C$23&lt;0.0005,0,$C$23&lt;0.0035,$C$23-0.0005))</f>
        <v>#REF!</v>
      </c>
      <c r="M178" s="64" t="e">
        <f t="shared" ref="M178:M179" si="183">IF(G178="","",IF(OR(K178="",K178=0),"",ROUNDDOWN(K178*(I178/365)*L178,0)))</f>
        <v>#REF!</v>
      </c>
      <c r="N178" s="65" t="e">
        <f t="shared" si="181"/>
        <v>#REF!</v>
      </c>
      <c r="O178" s="66" t="e">
        <f t="shared" si="177"/>
        <v>#REF!</v>
      </c>
      <c r="P178" s="106"/>
      <c r="Q178" s="12"/>
    </row>
    <row r="179" spans="2:17" hidden="1" x14ac:dyDescent="0.4">
      <c r="B179" s="263"/>
      <c r="C179" s="266"/>
      <c r="D179" s="49" t="s">
        <v>39</v>
      </c>
      <c r="E179" s="73" t="e">
        <f t="shared" si="178"/>
        <v>#REF!</v>
      </c>
      <c r="F179" s="46" t="e">
        <f t="shared" si="101"/>
        <v>#REF!</v>
      </c>
      <c r="G179" s="102" t="e">
        <f>IF(G178="","",IF(G178+1&gt;DATE($B$168+1,3,31),"",IF(OR($C$21="",$C$22=""),"",IF($C$21="月末",IF(EOMONTH(G178,VLOOKUP($C$22,#REF!,2,FALSE))&gt;DATE($B$168+1,3,31),"",EOMONTH(G178,VLOOKUP($C$22,#REF!,2,FALSE))),IF(EOMONTH(G178,VLOOKUP($C$22,#REF!,2,FALSE)-1)+$C$21&gt;DATE($B$168+1,3,31),"",EOMONTH(G178,VLOOKUP($C$22,#REF!,2,FALSE)-1)+$C$21)))))</f>
        <v>#REF!</v>
      </c>
      <c r="H179" s="46" t="e">
        <f t="shared" si="179"/>
        <v>#REF!</v>
      </c>
      <c r="I179" s="47" t="e">
        <f t="shared" si="182"/>
        <v>#REF!</v>
      </c>
      <c r="J179" s="50" t="e">
        <f t="shared" si="180"/>
        <v>#REF!</v>
      </c>
      <c r="K179" s="50" t="e">
        <f>IF(G179&lt;&gt;"",IF($C$14="","",IF(K178="","",IF(K178&lt;=0,"",IF(K178=$C$16,K178-$C$16,K178-$C$15)))),"")</f>
        <v>#REF!</v>
      </c>
      <c r="L179" s="82" t="e" cm="1">
        <f t="array" ref="L179">IF(AND(OR(J179=0,J179=""),OR(K179=0,K179="")),"",_xlfn.IFS($C$23&gt;=0.0035,0.003,$C$23&lt;0.0005,0,$C$23&lt;0.0035,$C$23-0.0005))</f>
        <v>#REF!</v>
      </c>
      <c r="M179" s="64" t="e">
        <f t="shared" si="183"/>
        <v>#REF!</v>
      </c>
      <c r="N179" s="65" t="e">
        <f t="shared" si="181"/>
        <v>#REF!</v>
      </c>
      <c r="O179" s="66" t="e">
        <f t="shared" si="177"/>
        <v>#REF!</v>
      </c>
      <c r="P179" s="106"/>
      <c r="Q179" s="12"/>
    </row>
    <row r="180" spans="2:17" ht="19.5" hidden="1" thickBot="1" x14ac:dyDescent="0.45">
      <c r="B180" s="263"/>
      <c r="C180" s="266"/>
      <c r="D180" s="51" t="s">
        <v>41</v>
      </c>
      <c r="E180" s="73" t="e">
        <f t="shared" si="178"/>
        <v>#REF!</v>
      </c>
      <c r="F180" s="52" t="e">
        <f t="shared" ref="F180:F181" si="184">IF(E180="","",TEXT(E180,"aaa"))</f>
        <v>#REF!</v>
      </c>
      <c r="G180" s="102" t="e">
        <f>IF(G179="","",IF(G179+1&gt;DATE($B$168+1,3,31),"",IF(OR($C$21="",$C$22=""),"",IF($C$21="月末",IF(EOMONTH(G179,VLOOKUP($C$22,#REF!,2,FALSE))&gt;DATE($B$168+1,3,31),"",EOMONTH(G179,VLOOKUP($C$22,#REF!,2,FALSE))),IF(EOMONTH(G179,VLOOKUP($C$22,#REF!,2,FALSE)-1)+$C$21&gt;DATE($B$168+1,3,31),"",EOMONTH(G179,VLOOKUP($C$22,#REF!,2,FALSE)-1)+$C$21)))))</f>
        <v>#REF!</v>
      </c>
      <c r="H180" s="52" t="e">
        <f t="shared" si="179"/>
        <v>#REF!</v>
      </c>
      <c r="I180" s="53" t="e">
        <f>IF(G180="","",DATEDIF(E180,G180,"D")+1)</f>
        <v>#REF!</v>
      </c>
      <c r="J180" s="50" t="e">
        <f t="shared" si="180"/>
        <v>#REF!</v>
      </c>
      <c r="K180" s="50" t="e">
        <f>IF(G180&lt;&gt;"",IF($C$14="","",IF(K179="","",IF(K179&lt;=0,"",IF(K179=$C$16,K179-$C$16,K179-$C$15)))),"")</f>
        <v>#REF!</v>
      </c>
      <c r="L180" s="83" t="e" cm="1">
        <f t="array" ref="L180">IF(AND(OR(J180=0,J180=""),OR(K180=0,K180="")),"",_xlfn.IFS($C$23&gt;=0.0035,0.003,$C$23&lt;0.0005,0,$C$23&lt;0.0035,$C$23-0.0005))</f>
        <v>#REF!</v>
      </c>
      <c r="M180" s="67" t="e">
        <f t="shared" ref="M180" si="185">IF(G180="","",IF(K180="","",ROUNDDOWN(K180*(I180/365)*L180,0)))</f>
        <v>#REF!</v>
      </c>
      <c r="N180" s="68" t="e">
        <f t="shared" si="181"/>
        <v>#REF!</v>
      </c>
      <c r="O180" s="69" t="e">
        <f t="shared" si="177"/>
        <v>#REF!</v>
      </c>
      <c r="P180" s="106"/>
      <c r="Q180" s="12"/>
    </row>
    <row r="181" spans="2:17" ht="19.5" hidden="1" thickBot="1" x14ac:dyDescent="0.45">
      <c r="B181" s="265"/>
      <c r="C181" s="57" t="s">
        <v>10</v>
      </c>
      <c r="D181" s="58"/>
      <c r="E181" s="75" t="e" cm="1">
        <f t="array" ref="E181">_xlfn.SINGLE(IF(E175:E180&lt;&gt;"",MIN(E175:E180),""))</f>
        <v>#REF!</v>
      </c>
      <c r="F181" s="59" t="e">
        <f t="shared" si="184"/>
        <v>#REF!</v>
      </c>
      <c r="G181" s="75" t="e" cm="1">
        <f t="array" ref="G181">_xlfn.SINGLE(IF(G175:G180&lt;&gt;"",MAX(G175:G180),""))</f>
        <v>#REF!</v>
      </c>
      <c r="H181" s="59" t="e">
        <f t="shared" si="179"/>
        <v>#REF!</v>
      </c>
      <c r="I181" s="60" t="e">
        <f>SUM(I175:I180)</f>
        <v>#REF!</v>
      </c>
      <c r="J181" s="58"/>
      <c r="K181" s="58"/>
      <c r="L181" s="84"/>
      <c r="M181" s="70" t="e">
        <f>SUM(M175:M180)</f>
        <v>#REF!</v>
      </c>
      <c r="N181" s="71"/>
      <c r="O181" s="72"/>
      <c r="P181" s="106"/>
      <c r="Q181" s="12"/>
    </row>
    <row r="182" spans="2:17" hidden="1" x14ac:dyDescent="0.4">
      <c r="Q182" s="12"/>
    </row>
    <row r="183" spans="2:17" ht="10.5" customHeight="1" x14ac:dyDescent="0.4">
      <c r="Q183" s="12"/>
    </row>
    <row r="184" spans="2:17" ht="24.75" thickBot="1" x14ac:dyDescent="0.45">
      <c r="B184" s="87" t="s">
        <v>54</v>
      </c>
      <c r="E184" s="12"/>
    </row>
    <row r="185" spans="2:17" ht="24.75" thickBot="1" x14ac:dyDescent="0.45">
      <c r="B185" s="103" t="s">
        <v>22</v>
      </c>
      <c r="C185" s="134" t="s">
        <v>57</v>
      </c>
      <c r="E185" s="12"/>
      <c r="L185" s="13"/>
      <c r="Q185" s="12"/>
    </row>
    <row r="186" spans="2:17" ht="20.25" customHeight="1" thickBot="1" x14ac:dyDescent="0.45">
      <c r="B186" s="259">
        <f>$A$28</f>
        <v>2025</v>
      </c>
      <c r="C186" s="260">
        <f>IF(C185="単位期間１",M34,IF(C185="単位期間２",M41,""))</f>
        <v>2323273</v>
      </c>
      <c r="E186" s="12"/>
      <c r="L186" s="13"/>
      <c r="Q186" s="12"/>
    </row>
    <row r="187" spans="2:17" ht="19.5" customHeight="1" thickBot="1" x14ac:dyDescent="0.45">
      <c r="B187" s="259"/>
      <c r="C187" s="260"/>
      <c r="E187" s="12"/>
      <c r="L187" s="13"/>
      <c r="Q187" s="12"/>
    </row>
  </sheetData>
  <sheetProtection algorithmName="SHA-512" hashValue="tCsrfoKpWDJqGQVjOBkq/RXZIk6tGaK+D1pipl41JiSeEaY8T5KWYD42hiRewpZ/V/cXM+ClA8MD++IfaY6ihw==" saltValue="514O1COJlqC+hWQRFcUsxg==" spinCount="100000" sheet="1" selectLockedCells="1" autoFilter="0"/>
  <mergeCells count="39">
    <mergeCell ref="N26:O26"/>
    <mergeCell ref="B186:B187"/>
    <mergeCell ref="C186:C187"/>
    <mergeCell ref="B26:B27"/>
    <mergeCell ref="C26:M26"/>
    <mergeCell ref="B28:B41"/>
    <mergeCell ref="C28:C33"/>
    <mergeCell ref="C35:C40"/>
    <mergeCell ref="B42:B55"/>
    <mergeCell ref="C42:C47"/>
    <mergeCell ref="C49:C54"/>
    <mergeCell ref="B56:B69"/>
    <mergeCell ref="C56:C61"/>
    <mergeCell ref="C63:C68"/>
    <mergeCell ref="B70:B83"/>
    <mergeCell ref="B112:B125"/>
    <mergeCell ref="C112:C117"/>
    <mergeCell ref="C119:C124"/>
    <mergeCell ref="C70:C75"/>
    <mergeCell ref="C77:C82"/>
    <mergeCell ref="B84:B97"/>
    <mergeCell ref="C84:C89"/>
    <mergeCell ref="C91:C96"/>
    <mergeCell ref="Q5:AC5"/>
    <mergeCell ref="B154:B167"/>
    <mergeCell ref="C154:C159"/>
    <mergeCell ref="C161:C166"/>
    <mergeCell ref="B168:B181"/>
    <mergeCell ref="C168:C173"/>
    <mergeCell ref="C175:C180"/>
    <mergeCell ref="B126:B139"/>
    <mergeCell ref="C126:C131"/>
    <mergeCell ref="C133:C138"/>
    <mergeCell ref="B140:B153"/>
    <mergeCell ref="C140:C145"/>
    <mergeCell ref="C147:C152"/>
    <mergeCell ref="B98:B111"/>
    <mergeCell ref="C98:C103"/>
    <mergeCell ref="C105:C110"/>
  </mergeCells>
  <phoneticPr fontId="1"/>
  <conditionalFormatting sqref="H27:H33 F27:F33 F35:F40 H35:H40 H42:H181 F42:F181">
    <cfRule type="beginsWith" dxfId="5" priority="10" operator="beginsWith" text="日">
      <formula>LEFT(F27,LEN("日"))="日"</formula>
    </cfRule>
  </conditionalFormatting>
  <conditionalFormatting sqref="F1:F33 F35:F40 H35:H40 H42:H184 F42:F184 H1:H4 H25:H33 B184:B186 H188:H1048576 F188:F1048576">
    <cfRule type="beginsWith" dxfId="4" priority="9" operator="beginsWith" text="土">
      <formula>LEFT(B1,LEN("土"))="土"</formula>
    </cfRule>
  </conditionalFormatting>
  <conditionalFormatting sqref="H34 F34">
    <cfRule type="beginsWith" dxfId="3" priority="4" operator="beginsWith" text="日">
      <formula>LEFT(F34,LEN("日"))="日"</formula>
    </cfRule>
  </conditionalFormatting>
  <conditionalFormatting sqref="H34 F34">
    <cfRule type="beginsWith" dxfId="2" priority="3" operator="beginsWith" text="土">
      <formula>LEFT(F34,LEN("土"))="土"</formula>
    </cfRule>
  </conditionalFormatting>
  <conditionalFormatting sqref="H41 F41">
    <cfRule type="beginsWith" dxfId="1" priority="2" operator="beginsWith" text="日">
      <formula>LEFT(F41,LEN("日"))="日"</formula>
    </cfRule>
  </conditionalFormatting>
  <conditionalFormatting sqref="H41 F41">
    <cfRule type="beginsWith" dxfId="0" priority="1" operator="beginsWith" text="土">
      <formula>LEFT(F41,LEN("土"))="土"</formula>
    </cfRule>
  </conditionalFormatting>
  <dataValidations count="4">
    <dataValidation type="date" allowBlank="1" showInputMessage="1" showErrorMessage="1" sqref="C19:C20" xr:uid="{D07C500D-DA53-4A0A-A31B-FEE3D8474612}">
      <formula1>C16</formula1>
      <formula2>C16+365</formula2>
    </dataValidation>
    <dataValidation type="list" allowBlank="1" showInputMessage="1" showErrorMessage="1" sqref="C21:C22" xr:uid="{42E0FF6C-4DCC-4600-873E-37CCC84272EF}">
      <formula1>#REF!</formula1>
    </dataValidation>
    <dataValidation type="list" allowBlank="1" showInputMessage="1" showErrorMessage="1" sqref="B28:B41" xr:uid="{320B6047-DE3F-44F7-8D7A-48067E1F4CA6}">
      <formula1>$Q$31:$Q$42</formula1>
    </dataValidation>
    <dataValidation type="list" allowBlank="1" showInputMessage="1" showErrorMessage="1" sqref="C185" xr:uid="{FDC5703F-68AC-4375-B162-EE1A6CC1D40F}">
      <formula1>$Q$28:$Q$29</formula1>
    </dataValidation>
  </dataValidations>
  <pageMargins left="0.7" right="0.7" top="0.75" bottom="0.75" header="0.3" footer="0.3"/>
  <pageSetup paperSize="9" scale="1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融資計画書 </vt:lpstr>
      <vt:lpstr>（計算シート）非表示にする</vt:lpstr>
      <vt:lpstr>実績報告 (据置期間)</vt:lpstr>
      <vt:lpstr>実績報告（据置期間以外）</vt:lpstr>
      <vt:lpstr>'実績報告 (据置期間)'!Print_Area</vt:lpstr>
      <vt:lpstr>'実績報告（据置期間以外）'!Print_Area</vt:lpstr>
      <vt:lpstr>'融資計画書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2022-05-26T01:58:58Z</dcterms:created>
  <dcterms:modified xsi:type="dcterms:W3CDTF">2022-05-26T02:01:58Z</dcterms:modified>
</cp:coreProperties>
</file>