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ables/table1.xml" ContentType="application/vnd.openxmlformats-officedocument.spreadsheetml.table+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1722050\Desktop\0304送付\"/>
    </mc:Choice>
  </mc:AlternateContent>
  <workbookProtection workbookPassword="B437" lockStructure="1"/>
  <bookViews>
    <workbookView xWindow="7000" yWindow="0" windowWidth="16380" windowHeight="0" activeTab="2"/>
  </bookViews>
  <sheets>
    <sheet name="はじめに" sheetId="57" r:id="rId1"/>
    <sheet name="本ツールの使い方" sheetId="59" r:id="rId2"/>
    <sheet name="入門編_計算シート" sheetId="52" r:id="rId3"/>
    <sheet name="（詳細設定）地域内経済効果の按分比率" sheetId="53" state="hidden" r:id="rId4"/>
    <sheet name="更新情報" sheetId="60" r:id="rId5"/>
    <sheet name="インプット" sheetId="26" state="hidden" r:id="rId6"/>
    <sheet name="入門シート換算" sheetId="51" state="hidden" r:id="rId7"/>
    <sheet name="地域経済性計算シート" sheetId="29" state="hidden" r:id="rId8"/>
    <sheet name="地域経済性分析・初期条件" sheetId="31" state="hidden" r:id="rId9"/>
    <sheet name="計算シート" sheetId="14" state="hidden" r:id="rId10"/>
    <sheet name="波及効果シート" sheetId="54" state="hidden" r:id="rId11"/>
  </sheets>
  <definedNames>
    <definedName name="_xlnm._FilterDatabase" localSheetId="9" hidden="1">計算シート!$B$213:$AH$231</definedName>
    <definedName name="_xlnm.Print_Area" localSheetId="5">インプット!$A$1:$L$106</definedName>
    <definedName name="_xlnm.Print_Area" localSheetId="8">地域経済性分析・初期条件!$A$1:$Q$48</definedName>
    <definedName name="_xlnm.Print_Area" localSheetId="2">入門編_計算シート!$A$1:$W$254</definedName>
    <definedName name="_xlnm.Print_Area" localSheetId="10">波及効果シート!#REF!</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9" i="52" l="1"/>
  <c r="E148" i="52"/>
  <c r="E141" i="52"/>
  <c r="D543" i="29"/>
  <c r="D544" i="29" s="1"/>
  <c r="C48" i="52"/>
  <c r="E60" i="52" l="1"/>
  <c r="C52" i="52"/>
  <c r="E24" i="14" l="1"/>
  <c r="F24" i="14" s="1"/>
  <c r="G24" i="14" s="1"/>
  <c r="H24" i="14" s="1"/>
  <c r="I24" i="14" s="1"/>
  <c r="J24" i="14" s="1"/>
  <c r="K24" i="14" s="1"/>
  <c r="L24" i="14" s="1"/>
  <c r="M24" i="14" s="1"/>
  <c r="N24" i="14" s="1"/>
  <c r="O24" i="14" s="1"/>
  <c r="P24" i="14" s="1"/>
  <c r="Q24" i="14" s="1"/>
  <c r="R24" i="14" s="1"/>
  <c r="S24" i="14" s="1"/>
  <c r="T24" i="14" s="1"/>
  <c r="U24" i="14" s="1"/>
  <c r="V24" i="14" s="1"/>
  <c r="W24" i="14" s="1"/>
  <c r="X24" i="14" s="1"/>
  <c r="Y24" i="14" s="1"/>
  <c r="Z24" i="14" s="1"/>
  <c r="AA24" i="14" s="1"/>
  <c r="AB24" i="14" s="1"/>
  <c r="AC24" i="14" s="1"/>
  <c r="AD24" i="14" s="1"/>
  <c r="AE24" i="14" s="1"/>
  <c r="AF24" i="14" s="1"/>
  <c r="AG24" i="14" s="1"/>
  <c r="AH24" i="14" s="1"/>
  <c r="B132" i="52"/>
  <c r="B131" i="52"/>
  <c r="B130" i="52"/>
  <c r="B129" i="52"/>
  <c r="B128" i="52"/>
  <c r="B126" i="52"/>
  <c r="B125" i="52"/>
  <c r="B124" i="52"/>
  <c r="B123" i="52"/>
  <c r="B122" i="52"/>
  <c r="B127" i="52"/>
  <c r="E96" i="51" l="1"/>
  <c r="E95" i="51"/>
  <c r="N51" i="52"/>
  <c r="N48" i="52"/>
  <c r="Z4" i="54" l="1"/>
  <c r="Y4" i="54"/>
  <c r="Y45" i="54"/>
  <c r="Y44" i="54"/>
  <c r="Y43" i="54"/>
  <c r="Y42" i="54"/>
  <c r="Y41" i="54"/>
  <c r="Y40" i="54"/>
  <c r="Y39" i="54"/>
  <c r="Y38" i="54"/>
  <c r="Y37" i="54"/>
  <c r="Y36" i="54"/>
  <c r="Y35" i="54"/>
  <c r="Y34" i="54"/>
  <c r="Y33" i="54"/>
  <c r="Y32" i="54"/>
  <c r="Y31" i="54"/>
  <c r="Y30" i="54"/>
  <c r="Y29" i="54"/>
  <c r="Y27" i="54"/>
  <c r="Y26" i="54"/>
  <c r="Y25" i="54"/>
  <c r="Y24" i="54"/>
  <c r="Y23" i="54"/>
  <c r="Y22" i="54"/>
  <c r="Y21" i="54"/>
  <c r="Y20" i="54"/>
  <c r="Y19" i="54"/>
  <c r="Y17" i="54"/>
  <c r="Y16" i="54"/>
  <c r="Y15" i="54"/>
  <c r="Y14" i="54"/>
  <c r="Y13" i="54"/>
  <c r="Y12" i="54"/>
  <c r="Y11" i="54"/>
  <c r="Y10" i="54"/>
  <c r="Y9" i="54"/>
  <c r="Y8" i="54"/>
  <c r="Y7" i="54"/>
  <c r="Y6" i="54"/>
  <c r="Y5" i="54"/>
  <c r="Z30" i="54"/>
  <c r="Z31" i="54"/>
  <c r="Z32" i="54"/>
  <c r="Z33" i="54"/>
  <c r="Z34" i="54"/>
  <c r="Z35" i="54"/>
  <c r="Z36" i="54"/>
  <c r="Z37" i="54"/>
  <c r="Z38" i="54"/>
  <c r="Z39" i="54"/>
  <c r="Z40" i="54"/>
  <c r="Z41" i="54"/>
  <c r="Z42" i="54"/>
  <c r="Z43" i="54"/>
  <c r="Z44" i="54"/>
  <c r="Z45" i="54"/>
  <c r="Z29" i="54"/>
  <c r="Z20" i="54"/>
  <c r="Z21" i="54"/>
  <c r="Z22" i="54"/>
  <c r="Z23" i="54"/>
  <c r="Z24" i="54"/>
  <c r="Z25" i="54"/>
  <c r="Z26" i="54"/>
  <c r="Z27" i="54"/>
  <c r="Z19" i="54"/>
  <c r="Z5" i="54"/>
  <c r="Z6" i="54"/>
  <c r="Z7" i="54"/>
  <c r="Z8" i="54"/>
  <c r="Z9" i="54"/>
  <c r="Z10" i="54"/>
  <c r="Z11" i="54"/>
  <c r="Z12" i="54"/>
  <c r="Z13" i="54"/>
  <c r="Z14" i="54"/>
  <c r="Z15" i="54"/>
  <c r="Z16" i="54"/>
  <c r="Z17" i="54"/>
  <c r="R4" i="54"/>
  <c r="Q4" i="54"/>
  <c r="X10" i="54"/>
  <c r="R45" i="54"/>
  <c r="R44" i="54"/>
  <c r="R43" i="54"/>
  <c r="R42" i="54"/>
  <c r="R41" i="54"/>
  <c r="R40" i="54"/>
  <c r="R39" i="54"/>
  <c r="R38" i="54"/>
  <c r="R37" i="54"/>
  <c r="R36" i="54"/>
  <c r="R35" i="54"/>
  <c r="R34" i="54"/>
  <c r="R33" i="54"/>
  <c r="R32" i="54"/>
  <c r="R31" i="54"/>
  <c r="R30" i="54"/>
  <c r="R29" i="54"/>
  <c r="R27" i="54"/>
  <c r="R26" i="54"/>
  <c r="R25" i="54"/>
  <c r="R24" i="54"/>
  <c r="R23" i="54"/>
  <c r="R22" i="54"/>
  <c r="R21" i="54"/>
  <c r="R20" i="54"/>
  <c r="R19" i="54"/>
  <c r="R5" i="54"/>
  <c r="R6" i="54"/>
  <c r="R7" i="54"/>
  <c r="R8" i="54"/>
  <c r="R9" i="54"/>
  <c r="R10" i="54"/>
  <c r="R11" i="54"/>
  <c r="R12" i="54"/>
  <c r="R13" i="54"/>
  <c r="R14" i="54"/>
  <c r="R15" i="54"/>
  <c r="R16" i="54"/>
  <c r="R17" i="54"/>
  <c r="Q45" i="54"/>
  <c r="Q44" i="54"/>
  <c r="Q43" i="54"/>
  <c r="Q42" i="54"/>
  <c r="Q41" i="54"/>
  <c r="Q40" i="54"/>
  <c r="Q39" i="54"/>
  <c r="Q38" i="54"/>
  <c r="Q37" i="54"/>
  <c r="Q32" i="54"/>
  <c r="Q31" i="54"/>
  <c r="Q30" i="54"/>
  <c r="Q29" i="54"/>
  <c r="Q23" i="54"/>
  <c r="Q22" i="54"/>
  <c r="Q21" i="54"/>
  <c r="Q20" i="54"/>
  <c r="Q17" i="54"/>
  <c r="Q16" i="54"/>
  <c r="Q15" i="54"/>
  <c r="Q14" i="54"/>
  <c r="Q13" i="54"/>
  <c r="Q12" i="54"/>
  <c r="Q11" i="54"/>
  <c r="Q6" i="54"/>
  <c r="Q5" i="54"/>
  <c r="D57" i="54"/>
  <c r="P4" i="54" s="1"/>
  <c r="D56" i="54"/>
  <c r="O4" i="54" s="1"/>
  <c r="D62" i="54"/>
  <c r="Q36" i="54" s="1"/>
  <c r="Q7" i="54" l="1"/>
  <c r="Q24" i="54"/>
  <c r="Q33" i="54"/>
  <c r="Q8" i="54"/>
  <c r="Q25" i="54"/>
  <c r="Q34" i="54"/>
  <c r="Q9" i="54"/>
  <c r="Q26" i="54"/>
  <c r="Q35" i="54"/>
  <c r="Q10" i="54"/>
  <c r="Q19" i="54"/>
  <c r="Q27" i="54"/>
  <c r="D484" i="29" l="1"/>
  <c r="D487" i="29"/>
  <c r="D515" i="29"/>
  <c r="D516" i="29"/>
  <c r="E61" i="52" l="1"/>
  <c r="E62" i="52"/>
  <c r="E58" i="52" l="1"/>
  <c r="Z203" i="52" l="1"/>
  <c r="D539" i="29"/>
  <c r="X4" i="54" l="1"/>
  <c r="AH512" i="29" l="1"/>
  <c r="AG512" i="29"/>
  <c r="AF512" i="29"/>
  <c r="AE512" i="29"/>
  <c r="AD512" i="29"/>
  <c r="AC512" i="29"/>
  <c r="AB512" i="29"/>
  <c r="AA512" i="29"/>
  <c r="Z512" i="29"/>
  <c r="Y512" i="29"/>
  <c r="X512" i="29"/>
  <c r="W512" i="29"/>
  <c r="V512" i="29"/>
  <c r="U512" i="29"/>
  <c r="T512" i="29"/>
  <c r="S512" i="29"/>
  <c r="R512" i="29"/>
  <c r="Q512" i="29"/>
  <c r="P512" i="29"/>
  <c r="O512" i="29"/>
  <c r="N512" i="29"/>
  <c r="M512" i="29"/>
  <c r="L512" i="29"/>
  <c r="K512" i="29"/>
  <c r="J512" i="29"/>
  <c r="I512" i="29"/>
  <c r="H512" i="29"/>
  <c r="G512" i="29"/>
  <c r="F512" i="29"/>
  <c r="E512" i="29"/>
  <c r="D432" i="29"/>
  <c r="D414" i="29"/>
  <c r="AH396" i="29"/>
  <c r="AG396" i="29"/>
  <c r="AF396" i="29"/>
  <c r="AE396" i="29"/>
  <c r="AD396" i="29"/>
  <c r="AC396" i="29"/>
  <c r="AB396" i="29"/>
  <c r="AA396" i="29"/>
  <c r="Z396" i="29"/>
  <c r="Y396" i="29"/>
  <c r="X396" i="29"/>
  <c r="W396" i="29"/>
  <c r="V396" i="29"/>
  <c r="U396" i="29"/>
  <c r="T396" i="29"/>
  <c r="S396" i="29"/>
  <c r="R396" i="29"/>
  <c r="Q396" i="29"/>
  <c r="P396" i="29"/>
  <c r="O396" i="29"/>
  <c r="N396" i="29"/>
  <c r="M396" i="29"/>
  <c r="L396" i="29"/>
  <c r="K396" i="29"/>
  <c r="J396" i="29"/>
  <c r="I396" i="29"/>
  <c r="H396" i="29"/>
  <c r="G396" i="29"/>
  <c r="F396" i="29"/>
  <c r="E396" i="29"/>
  <c r="B4" i="54"/>
  <c r="D496" i="29"/>
  <c r="D519" i="29" s="1"/>
  <c r="D4" i="54"/>
  <c r="P45" i="54"/>
  <c r="O45" i="54"/>
  <c r="P44" i="54"/>
  <c r="O44" i="54"/>
  <c r="P43" i="54"/>
  <c r="O43" i="54"/>
  <c r="P42" i="54"/>
  <c r="O42" i="54"/>
  <c r="P41" i="54"/>
  <c r="O41" i="54"/>
  <c r="P40" i="54"/>
  <c r="O40" i="54"/>
  <c r="P39" i="54"/>
  <c r="O39" i="54"/>
  <c r="P38" i="54"/>
  <c r="O38" i="54"/>
  <c r="P37" i="54"/>
  <c r="O37" i="54"/>
  <c r="P36" i="54"/>
  <c r="O36" i="54"/>
  <c r="P35" i="54"/>
  <c r="O35" i="54"/>
  <c r="P34" i="54"/>
  <c r="O34" i="54"/>
  <c r="P33" i="54"/>
  <c r="O33" i="54"/>
  <c r="P32" i="54"/>
  <c r="O32" i="54"/>
  <c r="P31" i="54"/>
  <c r="O31" i="54"/>
  <c r="P30" i="54"/>
  <c r="O30" i="54"/>
  <c r="P29" i="54"/>
  <c r="O29" i="54"/>
  <c r="P27" i="54"/>
  <c r="O27" i="54"/>
  <c r="P26" i="54"/>
  <c r="O26" i="54"/>
  <c r="P25" i="54"/>
  <c r="O25" i="54"/>
  <c r="P24" i="54"/>
  <c r="O24" i="54"/>
  <c r="P23" i="54"/>
  <c r="O23" i="54"/>
  <c r="P22" i="54"/>
  <c r="O22" i="54"/>
  <c r="P21" i="54"/>
  <c r="O21" i="54"/>
  <c r="P20" i="54"/>
  <c r="O20" i="54"/>
  <c r="P19" i="54"/>
  <c r="O19" i="54"/>
  <c r="O5" i="54"/>
  <c r="P5" i="54"/>
  <c r="O6" i="54"/>
  <c r="P6" i="54"/>
  <c r="O7" i="54"/>
  <c r="P7" i="54"/>
  <c r="O8" i="54"/>
  <c r="P8" i="54"/>
  <c r="O9" i="54"/>
  <c r="P9" i="54"/>
  <c r="O10" i="54"/>
  <c r="P10" i="54"/>
  <c r="O11" i="54"/>
  <c r="P11" i="54"/>
  <c r="O12" i="54"/>
  <c r="P12" i="54"/>
  <c r="O13" i="54"/>
  <c r="P13" i="54"/>
  <c r="O14" i="54"/>
  <c r="P14" i="54"/>
  <c r="O15" i="54"/>
  <c r="P15" i="54"/>
  <c r="O16" i="54"/>
  <c r="P16" i="54"/>
  <c r="O17" i="54"/>
  <c r="P17" i="54"/>
  <c r="X45" i="54"/>
  <c r="W45" i="54"/>
  <c r="X44" i="54"/>
  <c r="W44" i="54"/>
  <c r="X43" i="54"/>
  <c r="W43" i="54"/>
  <c r="X42" i="54"/>
  <c r="W42" i="54"/>
  <c r="X41" i="54"/>
  <c r="W41" i="54"/>
  <c r="X40" i="54"/>
  <c r="W40" i="54"/>
  <c r="X39" i="54"/>
  <c r="W39" i="54"/>
  <c r="X38" i="54"/>
  <c r="W38" i="54"/>
  <c r="X37" i="54"/>
  <c r="W37" i="54"/>
  <c r="X36" i="54"/>
  <c r="W36" i="54"/>
  <c r="X35" i="54"/>
  <c r="W35" i="54"/>
  <c r="X34" i="54"/>
  <c r="W34" i="54"/>
  <c r="X33" i="54"/>
  <c r="W33" i="54"/>
  <c r="X32" i="54"/>
  <c r="W32" i="54"/>
  <c r="X31" i="54"/>
  <c r="W31" i="54"/>
  <c r="X30" i="54"/>
  <c r="W30" i="54"/>
  <c r="X29" i="54"/>
  <c r="W29" i="54"/>
  <c r="X27" i="54"/>
  <c r="W27" i="54"/>
  <c r="X26" i="54"/>
  <c r="W26" i="54"/>
  <c r="X25" i="54"/>
  <c r="W25" i="54"/>
  <c r="X24" i="54"/>
  <c r="W24" i="54"/>
  <c r="X23" i="54"/>
  <c r="W23" i="54"/>
  <c r="X22" i="54"/>
  <c r="W22" i="54"/>
  <c r="X21" i="54"/>
  <c r="W21" i="54"/>
  <c r="X20" i="54"/>
  <c r="W20" i="54"/>
  <c r="X19" i="54"/>
  <c r="W19" i="54"/>
  <c r="X17" i="54"/>
  <c r="W17" i="54"/>
  <c r="X16" i="54"/>
  <c r="W16" i="54"/>
  <c r="X15" i="54"/>
  <c r="W15" i="54"/>
  <c r="X14" i="54"/>
  <c r="W14" i="54"/>
  <c r="X13" i="54"/>
  <c r="W13" i="54"/>
  <c r="X12" i="54"/>
  <c r="W12" i="54"/>
  <c r="X11" i="54"/>
  <c r="W11" i="54"/>
  <c r="W10" i="54"/>
  <c r="X9" i="54"/>
  <c r="W9" i="54"/>
  <c r="X8" i="54"/>
  <c r="W8" i="54"/>
  <c r="X7" i="54"/>
  <c r="W7" i="54"/>
  <c r="X6" i="54"/>
  <c r="W6" i="54"/>
  <c r="X5" i="54"/>
  <c r="W5" i="54"/>
  <c r="W4" i="54"/>
  <c r="D63" i="54"/>
  <c r="D460" i="29" l="1"/>
  <c r="D462" i="29" s="1"/>
  <c r="D459" i="29"/>
  <c r="D458" i="29"/>
  <c r="D457" i="29"/>
  <c r="D456" i="29"/>
  <c r="D455" i="29"/>
  <c r="D454" i="29"/>
  <c r="D453" i="29"/>
  <c r="D452" i="29"/>
  <c r="D451" i="29"/>
  <c r="D527" i="29" s="1"/>
  <c r="D450" i="29"/>
  <c r="D449" i="29"/>
  <c r="D466" i="29"/>
  <c r="D467" i="29"/>
  <c r="D468" i="29"/>
  <c r="D469" i="29"/>
  <c r="D470" i="29"/>
  <c r="D471" i="29"/>
  <c r="D472" i="29"/>
  <c r="D473" i="29"/>
  <c r="D474" i="29"/>
  <c r="D475" i="29"/>
  <c r="D476" i="29"/>
  <c r="D389" i="29"/>
  <c r="D478" i="29" s="1"/>
  <c r="D286" i="29"/>
  <c r="D285" i="29"/>
  <c r="D463" i="29" l="1"/>
  <c r="D390" i="29"/>
  <c r="D477" i="29" s="1"/>
  <c r="D461" i="29"/>
  <c r="E16" i="26" l="1"/>
  <c r="E7" i="14" s="1"/>
  <c r="E26" i="14" s="1"/>
  <c r="E144" i="52" l="1"/>
  <c r="E145" i="52"/>
  <c r="F96" i="51" l="1"/>
  <c r="F94" i="51"/>
  <c r="F93" i="51"/>
  <c r="F92" i="51"/>
  <c r="E19" i="14"/>
  <c r="F19" i="14" s="1"/>
  <c r="G19" i="14" s="1"/>
  <c r="H19" i="14" s="1"/>
  <c r="I19" i="14" s="1"/>
  <c r="J19" i="14" s="1"/>
  <c r="K19" i="14" s="1"/>
  <c r="L19" i="14" s="1"/>
  <c r="M19" i="14" s="1"/>
  <c r="N19" i="14" s="1"/>
  <c r="O19" i="14" s="1"/>
  <c r="P19" i="14" s="1"/>
  <c r="Q19" i="14" s="1"/>
  <c r="R19" i="14" s="1"/>
  <c r="S19" i="14" s="1"/>
  <c r="T19" i="14" s="1"/>
  <c r="U19" i="14" s="1"/>
  <c r="V19" i="14" s="1"/>
  <c r="W19" i="14" s="1"/>
  <c r="X19" i="14" s="1"/>
  <c r="Y19" i="14" s="1"/>
  <c r="Z19" i="14" s="1"/>
  <c r="AA19" i="14" s="1"/>
  <c r="AB19" i="14" s="1"/>
  <c r="AC19" i="14" s="1"/>
  <c r="AD19" i="14" s="1"/>
  <c r="AE19" i="14" s="1"/>
  <c r="AF19" i="14" s="1"/>
  <c r="AG19" i="14" s="1"/>
  <c r="AH19" i="14" s="1"/>
  <c r="C46" i="51"/>
  <c r="C45" i="51"/>
  <c r="C44" i="51"/>
  <c r="C43" i="51"/>
  <c r="C42" i="51"/>
  <c r="C41" i="51"/>
  <c r="C28" i="51"/>
  <c r="D41" i="51" s="1"/>
  <c r="B46" i="51"/>
  <c r="D28" i="51" l="1"/>
  <c r="G61" i="52" l="1"/>
  <c r="G62" i="52"/>
  <c r="B45" i="51" l="1"/>
  <c r="B44" i="51"/>
  <c r="E59" i="52"/>
  <c r="G59" i="52" s="1"/>
  <c r="B42" i="51" l="1"/>
  <c r="H21" i="52"/>
  <c r="C20" i="52"/>
  <c r="B32" i="52" s="1"/>
  <c r="B14" i="51"/>
  <c r="C13" i="52"/>
  <c r="C62" i="52" l="1"/>
  <c r="C61" i="52"/>
  <c r="C60" i="52"/>
  <c r="C59" i="52"/>
  <c r="C58" i="52"/>
  <c r="E13" i="26"/>
  <c r="G58" i="52"/>
  <c r="C53" i="52"/>
  <c r="G60" i="52" l="1"/>
  <c r="G64" i="52" s="1"/>
  <c r="B43" i="51"/>
  <c r="G93" i="51"/>
  <c r="B41" i="51"/>
  <c r="E64" i="52"/>
  <c r="C64" i="52"/>
  <c r="E38" i="26"/>
  <c r="E50" i="26"/>
  <c r="E30" i="26"/>
  <c r="E34" i="26"/>
  <c r="E46" i="26"/>
  <c r="E42" i="26"/>
  <c r="B47" i="51" l="1"/>
  <c r="E41" i="51"/>
  <c r="C149" i="52"/>
  <c r="F16" i="26" s="1"/>
  <c r="E97" i="26"/>
  <c r="E100" i="26"/>
  <c r="E101" i="26"/>
  <c r="E98" i="26"/>
  <c r="E99" i="26" l="1"/>
  <c r="E96" i="26"/>
  <c r="E95" i="26"/>
  <c r="A45" i="54" l="1"/>
  <c r="A44" i="54"/>
  <c r="A43" i="54"/>
  <c r="A42" i="54"/>
  <c r="A41" i="54"/>
  <c r="A40" i="54"/>
  <c r="A39" i="54"/>
  <c r="A38" i="54"/>
  <c r="A37" i="54"/>
  <c r="A36" i="54"/>
  <c r="A35" i="54"/>
  <c r="A34" i="54"/>
  <c r="A33" i="54"/>
  <c r="A32" i="54"/>
  <c r="A31" i="54"/>
  <c r="A30" i="54"/>
  <c r="A29" i="54"/>
  <c r="A27" i="54"/>
  <c r="A26" i="54"/>
  <c r="A25" i="54"/>
  <c r="A24" i="54"/>
  <c r="A23" i="54"/>
  <c r="A22" i="54"/>
  <c r="A21" i="54"/>
  <c r="A20" i="54"/>
  <c r="A19" i="54"/>
  <c r="A17" i="54"/>
  <c r="A16" i="54"/>
  <c r="A15" i="54"/>
  <c r="A14" i="54"/>
  <c r="A13" i="54"/>
  <c r="A12" i="54"/>
  <c r="A11" i="54"/>
  <c r="A10" i="54"/>
  <c r="A9" i="54"/>
  <c r="A8" i="54"/>
  <c r="A7" i="54"/>
  <c r="A6" i="54"/>
  <c r="A5" i="54"/>
  <c r="A4" i="54"/>
  <c r="B165" i="51" l="1"/>
  <c r="F41" i="31" l="1"/>
  <c r="J68" i="26"/>
  <c r="H68" i="26"/>
  <c r="F68" i="26"/>
  <c r="F60" i="26" l="1"/>
  <c r="H59" i="26"/>
  <c r="F59" i="26"/>
  <c r="F66" i="26" l="1"/>
  <c r="F29" i="31" s="1"/>
  <c r="C142" i="52" l="1"/>
  <c r="Y141" i="52" s="1"/>
  <c r="C143" i="52"/>
  <c r="C144" i="52"/>
  <c r="C145" i="52"/>
  <c r="C141" i="52"/>
  <c r="B159" i="51"/>
  <c r="C158" i="51" s="1"/>
  <c r="Y140" i="52" l="1"/>
  <c r="Y143" i="52"/>
  <c r="Y144" i="52"/>
  <c r="Y142" i="52"/>
  <c r="Y145" i="52"/>
  <c r="C155" i="51"/>
  <c r="C156" i="51"/>
  <c r="C157" i="51"/>
  <c r="C154" i="51"/>
  <c r="C216" i="52" l="1"/>
  <c r="D216" i="52"/>
  <c r="E550" i="29"/>
  <c r="E15" i="51"/>
  <c r="E16" i="51"/>
  <c r="E17" i="51"/>
  <c r="E18" i="51"/>
  <c r="E19" i="51"/>
  <c r="E14" i="51"/>
  <c r="C120" i="52"/>
  <c r="C125" i="52" s="1"/>
  <c r="E11" i="26"/>
  <c r="B169" i="51" s="1"/>
  <c r="B13" i="51"/>
  <c r="E49" i="26"/>
  <c r="E45" i="26"/>
  <c r="E41" i="26"/>
  <c r="E37" i="26"/>
  <c r="E33" i="26"/>
  <c r="E29" i="26"/>
  <c r="C124" i="52" l="1"/>
  <c r="C123" i="52"/>
  <c r="C122" i="52"/>
  <c r="C132" i="52"/>
  <c r="C131" i="52"/>
  <c r="C130" i="52"/>
  <c r="C129" i="52"/>
  <c r="C128" i="52"/>
  <c r="C127" i="52"/>
  <c r="C126" i="52"/>
  <c r="C133" i="51" l="1"/>
  <c r="C138" i="51" s="1"/>
  <c r="C29" i="51" l="1"/>
  <c r="D42" i="51" s="1"/>
  <c r="C30" i="51"/>
  <c r="D43" i="51" s="1"/>
  <c r="E43" i="51" s="1"/>
  <c r="C31" i="51"/>
  <c r="D44" i="51" s="1"/>
  <c r="E44" i="51" s="1"/>
  <c r="C32" i="51"/>
  <c r="D45" i="51" s="1"/>
  <c r="E45" i="51" s="1"/>
  <c r="C33" i="51"/>
  <c r="D46" i="51" s="1"/>
  <c r="E46" i="51" s="1"/>
  <c r="E42" i="51" l="1"/>
  <c r="E47" i="51" s="1"/>
  <c r="L42" i="52" s="1"/>
  <c r="D47" i="51"/>
  <c r="E106" i="51"/>
  <c r="E113" i="51" s="1"/>
  <c r="H106" i="51"/>
  <c r="H113" i="51" s="1"/>
  <c r="G106" i="51"/>
  <c r="G112" i="51" s="1"/>
  <c r="D106" i="51"/>
  <c r="D113" i="51" s="1"/>
  <c r="B106" i="51"/>
  <c r="B113" i="51" s="1"/>
  <c r="B112" i="51" l="1"/>
  <c r="B114" i="51" s="1"/>
  <c r="G113" i="51"/>
  <c r="I113" i="51" s="1"/>
  <c r="D112" i="51"/>
  <c r="D114" i="51" s="1"/>
  <c r="E112" i="51"/>
  <c r="E114" i="51" s="1"/>
  <c r="H112" i="51"/>
  <c r="G114" i="51" l="1"/>
  <c r="H114" i="51"/>
  <c r="I112" i="51"/>
  <c r="L45" i="54" l="1"/>
  <c r="L44" i="54"/>
  <c r="L43" i="54"/>
  <c r="L42" i="54"/>
  <c r="L41" i="54"/>
  <c r="L40" i="54"/>
  <c r="L39" i="54"/>
  <c r="L38" i="54"/>
  <c r="L37" i="54"/>
  <c r="L36" i="54"/>
  <c r="K15" i="54"/>
  <c r="K14" i="54"/>
  <c r="L13" i="54"/>
  <c r="K11" i="54"/>
  <c r="K10" i="54"/>
  <c r="K9" i="54"/>
  <c r="K8" i="54"/>
  <c r="K7" i="54"/>
  <c r="K6" i="54"/>
  <c r="K5" i="54"/>
  <c r="K4" i="54"/>
  <c r="V3" i="54"/>
  <c r="U3" i="54"/>
  <c r="N3" i="54"/>
  <c r="V38" i="54" s="1"/>
  <c r="M3" i="54"/>
  <c r="U41" i="54" s="1"/>
  <c r="C260" i="14"/>
  <c r="B260" i="14"/>
  <c r="C259" i="14"/>
  <c r="B259" i="14"/>
  <c r="C258" i="14"/>
  <c r="B258" i="14"/>
  <c r="C257" i="14"/>
  <c r="C256" i="14"/>
  <c r="C255" i="14"/>
  <c r="C254" i="14"/>
  <c r="C253" i="14"/>
  <c r="C252" i="14"/>
  <c r="C251" i="14"/>
  <c r="C250" i="14"/>
  <c r="C248" i="14"/>
  <c r="C247" i="14"/>
  <c r="AG246" i="14"/>
  <c r="AF246" i="14"/>
  <c r="AE246" i="14"/>
  <c r="AD246" i="14"/>
  <c r="AC246" i="14"/>
  <c r="AB246" i="14"/>
  <c r="AA246" i="14"/>
  <c r="Z246" i="14"/>
  <c r="Y246" i="14"/>
  <c r="X246" i="14"/>
  <c r="W246" i="14"/>
  <c r="V246" i="14"/>
  <c r="U246" i="14"/>
  <c r="T246" i="14"/>
  <c r="S246" i="14"/>
  <c r="R246" i="14"/>
  <c r="Q246" i="14"/>
  <c r="P246" i="14"/>
  <c r="O246" i="14"/>
  <c r="N246" i="14"/>
  <c r="M246" i="14"/>
  <c r="L246" i="14"/>
  <c r="K246" i="14"/>
  <c r="J246" i="14"/>
  <c r="I246" i="14"/>
  <c r="H246" i="14"/>
  <c r="G246" i="14"/>
  <c r="F246" i="14"/>
  <c r="E246" i="14"/>
  <c r="D246" i="14"/>
  <c r="AG245" i="14"/>
  <c r="AF245" i="14"/>
  <c r="AE245" i="14"/>
  <c r="AD245" i="14"/>
  <c r="AC245" i="14"/>
  <c r="AB245" i="14"/>
  <c r="AA245" i="14"/>
  <c r="Z245" i="14"/>
  <c r="Y245" i="14"/>
  <c r="X245" i="14"/>
  <c r="W245" i="14"/>
  <c r="V245" i="14"/>
  <c r="U245" i="14"/>
  <c r="T245" i="14"/>
  <c r="S245" i="14"/>
  <c r="R245" i="14"/>
  <c r="Q245" i="14"/>
  <c r="P245" i="14"/>
  <c r="O245" i="14"/>
  <c r="N245" i="14"/>
  <c r="M245" i="14"/>
  <c r="L245" i="14"/>
  <c r="K245" i="14"/>
  <c r="J245" i="14"/>
  <c r="I245" i="14"/>
  <c r="H245" i="14"/>
  <c r="G245" i="14"/>
  <c r="F245" i="14"/>
  <c r="E245" i="14"/>
  <c r="D245" i="14"/>
  <c r="B245" i="14"/>
  <c r="C244" i="14"/>
  <c r="C242" i="14"/>
  <c r="C241" i="14"/>
  <c r="C240" i="14"/>
  <c r="C239" i="14"/>
  <c r="C238" i="14"/>
  <c r="C237" i="14"/>
  <c r="C236" i="14"/>
  <c r="AH231" i="14"/>
  <c r="AG260" i="14" s="1"/>
  <c r="D219" i="14"/>
  <c r="C249" i="14" s="1"/>
  <c r="B216" i="14"/>
  <c r="B246" i="14" s="1"/>
  <c r="AH211" i="14"/>
  <c r="AG243" i="14" s="1"/>
  <c r="AG211" i="14"/>
  <c r="AF243" i="14" s="1"/>
  <c r="AF211" i="14"/>
  <c r="AE243" i="14" s="1"/>
  <c r="AE211" i="14"/>
  <c r="AD243" i="14" s="1"/>
  <c r="AD211" i="14"/>
  <c r="AC243" i="14" s="1"/>
  <c r="AC211" i="14"/>
  <c r="AB243" i="14" s="1"/>
  <c r="AB211" i="14"/>
  <c r="AA243" i="14" s="1"/>
  <c r="AA211" i="14"/>
  <c r="Z243" i="14" s="1"/>
  <c r="Z211" i="14"/>
  <c r="Y243" i="14" s="1"/>
  <c r="Y211" i="14"/>
  <c r="X243" i="14" s="1"/>
  <c r="X211" i="14"/>
  <c r="W243" i="14" s="1"/>
  <c r="W211" i="14"/>
  <c r="V243" i="14" s="1"/>
  <c r="V211" i="14"/>
  <c r="U243" i="14" s="1"/>
  <c r="U211" i="14"/>
  <c r="T243" i="14" s="1"/>
  <c r="T211" i="14"/>
  <c r="S243" i="14" s="1"/>
  <c r="S211" i="14"/>
  <c r="R243" i="14" s="1"/>
  <c r="R211" i="14"/>
  <c r="Q243" i="14" s="1"/>
  <c r="Q211" i="14"/>
  <c r="P243" i="14" s="1"/>
  <c r="P211" i="14"/>
  <c r="O243" i="14" s="1"/>
  <c r="O211" i="14"/>
  <c r="N243" i="14" s="1"/>
  <c r="N211" i="14"/>
  <c r="M243" i="14" s="1"/>
  <c r="M211" i="14"/>
  <c r="L243" i="14" s="1"/>
  <c r="L211" i="14"/>
  <c r="K243" i="14" s="1"/>
  <c r="K211" i="14"/>
  <c r="J243" i="14" s="1"/>
  <c r="J211" i="14"/>
  <c r="I243" i="14" s="1"/>
  <c r="I211" i="14"/>
  <c r="H243" i="14" s="1"/>
  <c r="H211" i="14"/>
  <c r="G243" i="14" s="1"/>
  <c r="G211" i="14"/>
  <c r="F243" i="14" s="1"/>
  <c r="F211" i="14"/>
  <c r="E243" i="14" s="1"/>
  <c r="E211" i="14"/>
  <c r="D243" i="14" s="1"/>
  <c r="B210" i="14"/>
  <c r="B242" i="14" s="1"/>
  <c r="B207" i="14"/>
  <c r="B239" i="14" s="1"/>
  <c r="B206" i="14"/>
  <c r="B238" i="14" s="1"/>
  <c r="D198" i="14"/>
  <c r="E197" i="14" s="1"/>
  <c r="AH196" i="14"/>
  <c r="AG196" i="14"/>
  <c r="AF196" i="14"/>
  <c r="AE196" i="14"/>
  <c r="AD196" i="14"/>
  <c r="AC196" i="14"/>
  <c r="AB196" i="14"/>
  <c r="AA196" i="14"/>
  <c r="Z196" i="14"/>
  <c r="Y196" i="14"/>
  <c r="X196" i="14"/>
  <c r="W196" i="14"/>
  <c r="V196" i="14"/>
  <c r="U196" i="14"/>
  <c r="T196" i="14"/>
  <c r="S196" i="14"/>
  <c r="R196" i="14"/>
  <c r="Q196" i="14"/>
  <c r="P196" i="14"/>
  <c r="O196" i="14"/>
  <c r="N196" i="14"/>
  <c r="M196" i="14"/>
  <c r="L196" i="14"/>
  <c r="K196" i="14"/>
  <c r="J196" i="14"/>
  <c r="I196" i="14"/>
  <c r="H196" i="14"/>
  <c r="G196" i="14"/>
  <c r="F196" i="14"/>
  <c r="E196" i="14"/>
  <c r="B195" i="14"/>
  <c r="B191" i="14"/>
  <c r="B187" i="14"/>
  <c r="D183" i="14"/>
  <c r="AH182" i="14"/>
  <c r="AG182" i="14"/>
  <c r="AF182" i="14"/>
  <c r="AE182" i="14"/>
  <c r="AD182" i="14"/>
  <c r="AC182" i="14"/>
  <c r="AB182" i="14"/>
  <c r="AA182" i="14"/>
  <c r="Z182" i="14"/>
  <c r="Y182" i="14"/>
  <c r="X182" i="14"/>
  <c r="W182" i="14"/>
  <c r="V182" i="14"/>
  <c r="U182" i="14"/>
  <c r="T182" i="14"/>
  <c r="S182" i="14"/>
  <c r="R182" i="14"/>
  <c r="Q182" i="14"/>
  <c r="P182" i="14"/>
  <c r="O182" i="14"/>
  <c r="N182" i="14"/>
  <c r="M182" i="14"/>
  <c r="L182" i="14"/>
  <c r="K182" i="14"/>
  <c r="J182" i="14"/>
  <c r="I182" i="14"/>
  <c r="H182" i="14"/>
  <c r="G182" i="14"/>
  <c r="F182" i="14"/>
  <c r="E182" i="14"/>
  <c r="B181" i="14"/>
  <c r="D180" i="14"/>
  <c r="AH179" i="14"/>
  <c r="AG179" i="14"/>
  <c r="AF179" i="14"/>
  <c r="AE179" i="14"/>
  <c r="AD179" i="14"/>
  <c r="AC179" i="14"/>
  <c r="AB179" i="14"/>
  <c r="AA179" i="14"/>
  <c r="Z179" i="14"/>
  <c r="Y179" i="14"/>
  <c r="X179" i="14"/>
  <c r="W179" i="14"/>
  <c r="V179" i="14"/>
  <c r="U179" i="14"/>
  <c r="T179" i="14"/>
  <c r="S179" i="14"/>
  <c r="R179" i="14"/>
  <c r="Q179" i="14"/>
  <c r="P179" i="14"/>
  <c r="O179" i="14"/>
  <c r="N179" i="14"/>
  <c r="M179" i="14"/>
  <c r="L179" i="14"/>
  <c r="K179" i="14"/>
  <c r="J179" i="14"/>
  <c r="I179" i="14"/>
  <c r="H179" i="14"/>
  <c r="G179" i="14"/>
  <c r="F179" i="14"/>
  <c r="E179" i="14"/>
  <c r="B178" i="14"/>
  <c r="D177" i="14"/>
  <c r="AH176" i="14"/>
  <c r="AG176" i="14"/>
  <c r="AF176" i="14"/>
  <c r="AE176" i="14"/>
  <c r="AD176" i="14"/>
  <c r="AC176" i="14"/>
  <c r="AB176" i="14"/>
  <c r="AA176" i="14"/>
  <c r="Z176" i="14"/>
  <c r="Y176" i="14"/>
  <c r="X176" i="14"/>
  <c r="W176" i="14"/>
  <c r="V176" i="14"/>
  <c r="U176" i="14"/>
  <c r="T176" i="14"/>
  <c r="S176" i="14"/>
  <c r="R176" i="14"/>
  <c r="Q176" i="14"/>
  <c r="P176" i="14"/>
  <c r="O176" i="14"/>
  <c r="N176" i="14"/>
  <c r="M176" i="14"/>
  <c r="L176" i="14"/>
  <c r="K176" i="14"/>
  <c r="J176" i="14"/>
  <c r="I176" i="14"/>
  <c r="H176" i="14"/>
  <c r="G176" i="14"/>
  <c r="F176" i="14"/>
  <c r="E176" i="14"/>
  <c r="B175" i="14"/>
  <c r="D174" i="14"/>
  <c r="AH173" i="14"/>
  <c r="AG173" i="14"/>
  <c r="AF173" i="14"/>
  <c r="AE173" i="14"/>
  <c r="AD173" i="14"/>
  <c r="AC173" i="14"/>
  <c r="AB173" i="14"/>
  <c r="AA173" i="14"/>
  <c r="Z173" i="14"/>
  <c r="Y173" i="14"/>
  <c r="X173" i="14"/>
  <c r="W173" i="14"/>
  <c r="V173" i="14"/>
  <c r="U173" i="14"/>
  <c r="T173" i="14"/>
  <c r="S173" i="14"/>
  <c r="R173" i="14"/>
  <c r="Q173" i="14"/>
  <c r="P173" i="14"/>
  <c r="O173" i="14"/>
  <c r="N173" i="14"/>
  <c r="M173" i="14"/>
  <c r="L173" i="14"/>
  <c r="K173" i="14"/>
  <c r="J173" i="14"/>
  <c r="I173" i="14"/>
  <c r="H173" i="14"/>
  <c r="G173" i="14"/>
  <c r="F173" i="14"/>
  <c r="E173" i="14"/>
  <c r="B172" i="14"/>
  <c r="D171" i="14"/>
  <c r="AH170" i="14"/>
  <c r="AG170" i="14"/>
  <c r="AF170" i="14"/>
  <c r="AE170" i="14"/>
  <c r="AD170" i="14"/>
  <c r="AC170" i="14"/>
  <c r="AB170" i="14"/>
  <c r="AA170" i="14"/>
  <c r="Z170" i="14"/>
  <c r="Y170" i="14"/>
  <c r="X170" i="14"/>
  <c r="W170" i="14"/>
  <c r="V170" i="14"/>
  <c r="U170" i="14"/>
  <c r="T170" i="14"/>
  <c r="S170" i="14"/>
  <c r="R170" i="14"/>
  <c r="Q170" i="14"/>
  <c r="P170" i="14"/>
  <c r="O170" i="14"/>
  <c r="N170" i="14"/>
  <c r="M170" i="14"/>
  <c r="L170" i="14"/>
  <c r="K170" i="14"/>
  <c r="J170" i="14"/>
  <c r="I170" i="14"/>
  <c r="H170" i="14"/>
  <c r="G170" i="14"/>
  <c r="F170" i="14"/>
  <c r="E170" i="14"/>
  <c r="B169" i="14"/>
  <c r="B166" i="14"/>
  <c r="AH164" i="14"/>
  <c r="AG164" i="14"/>
  <c r="AF164" i="14"/>
  <c r="AE164" i="14"/>
  <c r="AD164" i="14"/>
  <c r="AC164" i="14"/>
  <c r="AB164" i="14"/>
  <c r="AA164" i="14"/>
  <c r="Z164" i="14"/>
  <c r="Y164" i="14"/>
  <c r="B163" i="14"/>
  <c r="D157" i="14"/>
  <c r="AH155" i="14"/>
  <c r="AG155" i="14"/>
  <c r="AF155" i="14"/>
  <c r="AE155" i="14"/>
  <c r="AD155" i="14"/>
  <c r="AC155" i="14"/>
  <c r="AB155" i="14"/>
  <c r="AA155" i="14"/>
  <c r="Z155" i="14"/>
  <c r="Y155" i="14"/>
  <c r="X155" i="14"/>
  <c r="W155" i="14"/>
  <c r="V155" i="14"/>
  <c r="U155" i="14"/>
  <c r="T155" i="14"/>
  <c r="S155" i="14"/>
  <c r="R155" i="14"/>
  <c r="Q155" i="14"/>
  <c r="P155" i="14"/>
  <c r="O155" i="14"/>
  <c r="N155" i="14"/>
  <c r="M155" i="14"/>
  <c r="L155" i="14"/>
  <c r="K155" i="14"/>
  <c r="J155" i="14"/>
  <c r="I155" i="14"/>
  <c r="H155" i="14"/>
  <c r="G155" i="14"/>
  <c r="F155" i="14"/>
  <c r="E155" i="14"/>
  <c r="E149" i="14"/>
  <c r="F149" i="14" s="1"/>
  <c r="F150" i="14" s="1"/>
  <c r="AH147" i="14"/>
  <c r="AG147" i="14"/>
  <c r="AF147" i="14"/>
  <c r="AE147" i="14"/>
  <c r="AD147" i="14"/>
  <c r="AC147" i="14"/>
  <c r="AB147" i="14"/>
  <c r="AA147" i="14"/>
  <c r="Z147" i="14"/>
  <c r="Y147" i="14"/>
  <c r="X147" i="14"/>
  <c r="W147" i="14"/>
  <c r="V147" i="14"/>
  <c r="U147" i="14"/>
  <c r="T147" i="14"/>
  <c r="S147" i="14"/>
  <c r="R147" i="14"/>
  <c r="Q147" i="14"/>
  <c r="P147" i="14"/>
  <c r="O147" i="14"/>
  <c r="N147" i="14"/>
  <c r="M147" i="14"/>
  <c r="L147" i="14"/>
  <c r="K147" i="14"/>
  <c r="J147" i="14"/>
  <c r="I147" i="14"/>
  <c r="H147" i="14"/>
  <c r="G147" i="14"/>
  <c r="F147" i="14"/>
  <c r="E147" i="14"/>
  <c r="U148" i="14" s="1"/>
  <c r="D138" i="14"/>
  <c r="AH124" i="14"/>
  <c r="E88" i="14"/>
  <c r="AH70" i="14"/>
  <c r="AH227" i="14" s="1"/>
  <c r="AG256" i="14" s="1"/>
  <c r="AG70" i="14"/>
  <c r="AG227" i="14" s="1"/>
  <c r="AF256" i="14" s="1"/>
  <c r="AF70" i="14"/>
  <c r="AF227" i="14" s="1"/>
  <c r="AE256" i="14" s="1"/>
  <c r="AE70" i="14"/>
  <c r="AE227" i="14" s="1"/>
  <c r="AD256" i="14" s="1"/>
  <c r="AD70" i="14"/>
  <c r="AD227" i="14" s="1"/>
  <c r="AC256" i="14" s="1"/>
  <c r="AC70" i="14"/>
  <c r="AC227" i="14" s="1"/>
  <c r="AB256" i="14" s="1"/>
  <c r="AB70" i="14"/>
  <c r="AB227" i="14" s="1"/>
  <c r="AA256" i="14" s="1"/>
  <c r="AA70" i="14"/>
  <c r="AA227" i="14" s="1"/>
  <c r="Z256" i="14" s="1"/>
  <c r="Z70" i="14"/>
  <c r="Z227" i="14" s="1"/>
  <c r="Y256" i="14" s="1"/>
  <c r="Y70" i="14"/>
  <c r="Y227" i="14" s="1"/>
  <c r="X256" i="14" s="1"/>
  <c r="X70" i="14"/>
  <c r="X227" i="14" s="1"/>
  <c r="W256" i="14" s="1"/>
  <c r="W70" i="14"/>
  <c r="W227" i="14" s="1"/>
  <c r="V256" i="14" s="1"/>
  <c r="V70" i="14"/>
  <c r="V227" i="14" s="1"/>
  <c r="U256" i="14" s="1"/>
  <c r="U70" i="14"/>
  <c r="U227" i="14" s="1"/>
  <c r="T256" i="14" s="1"/>
  <c r="T70" i="14"/>
  <c r="T227" i="14" s="1"/>
  <c r="S256" i="14" s="1"/>
  <c r="S70" i="14"/>
  <c r="S227" i="14" s="1"/>
  <c r="R256" i="14" s="1"/>
  <c r="R70" i="14"/>
  <c r="R227" i="14" s="1"/>
  <c r="Q256" i="14" s="1"/>
  <c r="Q70" i="14"/>
  <c r="Q227" i="14" s="1"/>
  <c r="P256" i="14" s="1"/>
  <c r="P70" i="14"/>
  <c r="P227" i="14" s="1"/>
  <c r="O256" i="14" s="1"/>
  <c r="O70" i="14"/>
  <c r="O227" i="14" s="1"/>
  <c r="N256" i="14" s="1"/>
  <c r="N70" i="14"/>
  <c r="N227" i="14" s="1"/>
  <c r="M256" i="14" s="1"/>
  <c r="M70" i="14"/>
  <c r="M227" i="14" s="1"/>
  <c r="L256" i="14" s="1"/>
  <c r="L70" i="14"/>
  <c r="L227" i="14" s="1"/>
  <c r="K256" i="14" s="1"/>
  <c r="K70" i="14"/>
  <c r="K227" i="14" s="1"/>
  <c r="J256" i="14" s="1"/>
  <c r="J70" i="14"/>
  <c r="J227" i="14" s="1"/>
  <c r="I256" i="14" s="1"/>
  <c r="I70" i="14"/>
  <c r="I227" i="14" s="1"/>
  <c r="H256" i="14" s="1"/>
  <c r="H70" i="14"/>
  <c r="H227" i="14" s="1"/>
  <c r="G256" i="14" s="1"/>
  <c r="G70" i="14"/>
  <c r="F70" i="14"/>
  <c r="F227" i="14" s="1"/>
  <c r="E256" i="14" s="1"/>
  <c r="E70" i="14"/>
  <c r="E227" i="14" s="1"/>
  <c r="B70" i="14"/>
  <c r="B227" i="14" s="1"/>
  <c r="B257" i="14" s="1"/>
  <c r="AH69" i="14"/>
  <c r="AH226" i="14" s="1"/>
  <c r="AG255" i="14" s="1"/>
  <c r="AG69" i="14"/>
  <c r="AG226" i="14" s="1"/>
  <c r="AF255" i="14" s="1"/>
  <c r="AF69" i="14"/>
  <c r="AF226" i="14" s="1"/>
  <c r="AE255" i="14" s="1"/>
  <c r="AE69" i="14"/>
  <c r="AE226" i="14" s="1"/>
  <c r="AD255" i="14" s="1"/>
  <c r="AD69" i="14"/>
  <c r="AD226" i="14" s="1"/>
  <c r="AC255" i="14" s="1"/>
  <c r="AC69" i="14"/>
  <c r="AC226" i="14" s="1"/>
  <c r="AB255" i="14" s="1"/>
  <c r="AB69" i="14"/>
  <c r="AB226" i="14" s="1"/>
  <c r="AA255" i="14" s="1"/>
  <c r="AA69" i="14"/>
  <c r="AA226" i="14" s="1"/>
  <c r="Z255" i="14" s="1"/>
  <c r="Z69" i="14"/>
  <c r="Z226" i="14" s="1"/>
  <c r="Y255" i="14" s="1"/>
  <c r="Y69" i="14"/>
  <c r="Y226" i="14" s="1"/>
  <c r="X255" i="14" s="1"/>
  <c r="X69" i="14"/>
  <c r="X226" i="14" s="1"/>
  <c r="W255" i="14" s="1"/>
  <c r="W69" i="14"/>
  <c r="W226" i="14" s="1"/>
  <c r="V255" i="14" s="1"/>
  <c r="V69" i="14"/>
  <c r="V226" i="14" s="1"/>
  <c r="U255" i="14" s="1"/>
  <c r="U69" i="14"/>
  <c r="U226" i="14" s="1"/>
  <c r="T255" i="14" s="1"/>
  <c r="T69" i="14"/>
  <c r="T226" i="14" s="1"/>
  <c r="S255" i="14" s="1"/>
  <c r="S69" i="14"/>
  <c r="S226" i="14" s="1"/>
  <c r="R255" i="14" s="1"/>
  <c r="R69" i="14"/>
  <c r="R226" i="14" s="1"/>
  <c r="Q255" i="14" s="1"/>
  <c r="Q69" i="14"/>
  <c r="Q226" i="14" s="1"/>
  <c r="P255" i="14" s="1"/>
  <c r="P69" i="14"/>
  <c r="P226" i="14" s="1"/>
  <c r="O255" i="14" s="1"/>
  <c r="O69" i="14"/>
  <c r="O226" i="14" s="1"/>
  <c r="N255" i="14" s="1"/>
  <c r="N69" i="14"/>
  <c r="N226" i="14" s="1"/>
  <c r="M255" i="14" s="1"/>
  <c r="M69" i="14"/>
  <c r="M226" i="14" s="1"/>
  <c r="L255" i="14" s="1"/>
  <c r="L69" i="14"/>
  <c r="L226" i="14" s="1"/>
  <c r="K255" i="14" s="1"/>
  <c r="K69" i="14"/>
  <c r="K226" i="14" s="1"/>
  <c r="J255" i="14" s="1"/>
  <c r="J69" i="14"/>
  <c r="J226" i="14" s="1"/>
  <c r="I255" i="14" s="1"/>
  <c r="I69" i="14"/>
  <c r="I226" i="14" s="1"/>
  <c r="H255" i="14" s="1"/>
  <c r="H69" i="14"/>
  <c r="H226" i="14" s="1"/>
  <c r="G255" i="14" s="1"/>
  <c r="G69" i="14"/>
  <c r="F69" i="14"/>
  <c r="F226" i="14" s="1"/>
  <c r="E255" i="14" s="1"/>
  <c r="E69" i="14"/>
  <c r="E226" i="14" s="1"/>
  <c r="B69" i="14"/>
  <c r="B226" i="14" s="1"/>
  <c r="B256" i="14" s="1"/>
  <c r="B68" i="14"/>
  <c r="B225" i="14" s="1"/>
  <c r="B255" i="14" s="1"/>
  <c r="B67" i="14"/>
  <c r="B224" i="14" s="1"/>
  <c r="B254" i="14" s="1"/>
  <c r="B66" i="14"/>
  <c r="B223" i="14" s="1"/>
  <c r="B253" i="14" s="1"/>
  <c r="AH58" i="14"/>
  <c r="AG58" i="14"/>
  <c r="AF58" i="14"/>
  <c r="AE58" i="14"/>
  <c r="AD58" i="14"/>
  <c r="AC58" i="14"/>
  <c r="AB58" i="14"/>
  <c r="AA58" i="14"/>
  <c r="Z58" i="14"/>
  <c r="Y58" i="14"/>
  <c r="X58" i="14"/>
  <c r="W58" i="14"/>
  <c r="V58" i="14"/>
  <c r="U58" i="14"/>
  <c r="T58" i="14"/>
  <c r="S58" i="14"/>
  <c r="R58" i="14"/>
  <c r="Q58" i="14"/>
  <c r="P58" i="14"/>
  <c r="O58" i="14"/>
  <c r="N58" i="14"/>
  <c r="M58" i="14"/>
  <c r="L58" i="14"/>
  <c r="K58" i="14"/>
  <c r="J58" i="14"/>
  <c r="I58" i="14"/>
  <c r="H58" i="14"/>
  <c r="G58" i="14"/>
  <c r="F58" i="14"/>
  <c r="E58" i="14"/>
  <c r="B58" i="14"/>
  <c r="B57" i="14"/>
  <c r="AH40" i="14"/>
  <c r="AG40" i="14"/>
  <c r="AF40" i="14"/>
  <c r="AE40" i="14"/>
  <c r="AD40" i="14"/>
  <c r="AC40" i="14"/>
  <c r="AB40" i="14"/>
  <c r="AA40" i="14"/>
  <c r="Z40" i="14"/>
  <c r="Y40" i="14"/>
  <c r="X40" i="14"/>
  <c r="W40" i="14"/>
  <c r="V40" i="14"/>
  <c r="U40" i="14"/>
  <c r="T40" i="14"/>
  <c r="S40" i="14"/>
  <c r="R40" i="14"/>
  <c r="Q40" i="14"/>
  <c r="P40" i="14"/>
  <c r="O40" i="14"/>
  <c r="N40" i="14"/>
  <c r="M40" i="14"/>
  <c r="L40" i="14"/>
  <c r="K40" i="14"/>
  <c r="J40" i="14"/>
  <c r="I40" i="14"/>
  <c r="H40" i="14"/>
  <c r="G40" i="14"/>
  <c r="F40" i="14"/>
  <c r="E40" i="14"/>
  <c r="C40" i="14"/>
  <c r="B39" i="14"/>
  <c r="C37" i="14"/>
  <c r="C34" i="14"/>
  <c r="C31" i="14"/>
  <c r="B30" i="14"/>
  <c r="C28" i="14"/>
  <c r="B27" i="14"/>
  <c r="B13" i="14"/>
  <c r="B64" i="14" s="1"/>
  <c r="B222" i="14" s="1"/>
  <c r="B252" i="14" s="1"/>
  <c r="B12" i="14"/>
  <c r="B63" i="14" s="1"/>
  <c r="B221" i="14" s="1"/>
  <c r="B251" i="14" s="1"/>
  <c r="B11" i="14"/>
  <c r="B62" i="14" s="1"/>
  <c r="B220" i="14" s="1"/>
  <c r="B250" i="14" s="1"/>
  <c r="B10" i="14"/>
  <c r="B61" i="14" s="1"/>
  <c r="B219" i="14" s="1"/>
  <c r="B249" i="14" s="1"/>
  <c r="B9" i="14"/>
  <c r="B60" i="14" s="1"/>
  <c r="B218" i="14" s="1"/>
  <c r="B248" i="14" s="1"/>
  <c r="B8" i="14"/>
  <c r="B59" i="14" s="1"/>
  <c r="B217" i="14" s="1"/>
  <c r="B247" i="14" s="1"/>
  <c r="O47" i="31"/>
  <c r="N47" i="31"/>
  <c r="M47" i="31"/>
  <c r="L47" i="31"/>
  <c r="K47" i="31"/>
  <c r="J47" i="31"/>
  <c r="I47" i="31"/>
  <c r="H47" i="31"/>
  <c r="O46" i="31"/>
  <c r="N46" i="31"/>
  <c r="M46" i="31"/>
  <c r="L46" i="31"/>
  <c r="K46" i="31"/>
  <c r="J46" i="31"/>
  <c r="I46" i="31"/>
  <c r="H46" i="31"/>
  <c r="O45" i="31"/>
  <c r="N45" i="31"/>
  <c r="M45" i="31"/>
  <c r="L45" i="31"/>
  <c r="K45" i="31"/>
  <c r="J45" i="31"/>
  <c r="I45" i="31"/>
  <c r="H45" i="31"/>
  <c r="G43" i="31"/>
  <c r="F43" i="31"/>
  <c r="G42" i="31"/>
  <c r="F42" i="31"/>
  <c r="G39" i="31"/>
  <c r="F39" i="31"/>
  <c r="D362" i="29" s="1"/>
  <c r="G38" i="31"/>
  <c r="F38" i="31"/>
  <c r="D348" i="29" s="1"/>
  <c r="G37" i="31"/>
  <c r="F37" i="31"/>
  <c r="D334" i="29" s="1"/>
  <c r="B37" i="31"/>
  <c r="B37" i="29" s="1"/>
  <c r="A332" i="29" s="1"/>
  <c r="G35" i="31"/>
  <c r="F35" i="31"/>
  <c r="D317" i="29" s="1"/>
  <c r="G34" i="31"/>
  <c r="F34" i="31"/>
  <c r="D303" i="29" s="1"/>
  <c r="G33" i="31"/>
  <c r="B33" i="31"/>
  <c r="B36" i="29" s="1"/>
  <c r="A287" i="29" s="1"/>
  <c r="G27" i="31"/>
  <c r="F27" i="31"/>
  <c r="D258" i="29" s="1"/>
  <c r="G26" i="31"/>
  <c r="F26" i="31"/>
  <c r="D244" i="29" s="1"/>
  <c r="G25" i="31"/>
  <c r="B25" i="31"/>
  <c r="G23" i="31"/>
  <c r="F23" i="31"/>
  <c r="G22" i="31"/>
  <c r="A198" i="29" s="1"/>
  <c r="A205" i="29" s="1"/>
  <c r="F22" i="31"/>
  <c r="D199" i="29" s="1"/>
  <c r="G21" i="31"/>
  <c r="B21" i="31"/>
  <c r="B32" i="29" s="1"/>
  <c r="A183" i="29" s="1"/>
  <c r="G19" i="31"/>
  <c r="F19" i="31"/>
  <c r="D168" i="29" s="1"/>
  <c r="G18" i="31"/>
  <c r="F18" i="31"/>
  <c r="D154" i="29" s="1"/>
  <c r="G15" i="31"/>
  <c r="A121" i="29" s="1"/>
  <c r="F15" i="31"/>
  <c r="G14" i="31"/>
  <c r="F14" i="31"/>
  <c r="G13" i="31"/>
  <c r="B13" i="31"/>
  <c r="B29" i="29" s="1"/>
  <c r="A92" i="29" s="1"/>
  <c r="G11" i="31"/>
  <c r="A76" i="29" s="1"/>
  <c r="A82" i="29" s="1"/>
  <c r="F11" i="31"/>
  <c r="G10" i="31"/>
  <c r="F10" i="31"/>
  <c r="G9" i="31"/>
  <c r="A48" i="29" s="1"/>
  <c r="A55" i="29" s="1"/>
  <c r="B9" i="31"/>
  <c r="B28" i="29" s="1"/>
  <c r="A47" i="29" s="1"/>
  <c r="D565" i="29"/>
  <c r="D564" i="29"/>
  <c r="D514" i="29"/>
  <c r="D513" i="29"/>
  <c r="D505" i="29"/>
  <c r="D504" i="29"/>
  <c r="D518" i="29" s="1"/>
  <c r="D500" i="29"/>
  <c r="D499" i="29"/>
  <c r="D498" i="29"/>
  <c r="D497" i="29"/>
  <c r="D495" i="29"/>
  <c r="D494" i="29"/>
  <c r="D493" i="29"/>
  <c r="D492" i="29"/>
  <c r="D491" i="29"/>
  <c r="D490" i="29"/>
  <c r="AH489" i="29"/>
  <c r="AG489" i="29"/>
  <c r="AF489" i="29"/>
  <c r="AE489" i="29"/>
  <c r="AD489" i="29"/>
  <c r="AC489" i="29"/>
  <c r="AB489" i="29"/>
  <c r="AA489" i="29"/>
  <c r="Z489" i="29"/>
  <c r="Y489" i="29"/>
  <c r="X489" i="29"/>
  <c r="W489" i="29"/>
  <c r="V489" i="29"/>
  <c r="U489" i="29"/>
  <c r="T489" i="29"/>
  <c r="S489" i="29"/>
  <c r="R489" i="29"/>
  <c r="Q489" i="29"/>
  <c r="P489" i="29"/>
  <c r="O489" i="29"/>
  <c r="N489" i="29"/>
  <c r="M489" i="29"/>
  <c r="L489" i="29"/>
  <c r="K489" i="29"/>
  <c r="J489" i="29"/>
  <c r="I489" i="29"/>
  <c r="H489" i="29"/>
  <c r="G489" i="29"/>
  <c r="F489" i="29"/>
  <c r="E489" i="29"/>
  <c r="D486" i="29"/>
  <c r="D485" i="29"/>
  <c r="AK483" i="29"/>
  <c r="AJ483" i="29"/>
  <c r="AI483" i="29"/>
  <c r="AK431" i="29"/>
  <c r="AJ431" i="29"/>
  <c r="AI431" i="29"/>
  <c r="A384" i="29"/>
  <c r="A383" i="29"/>
  <c r="A333" i="29"/>
  <c r="A345" i="29" s="1"/>
  <c r="A257" i="29"/>
  <c r="D213"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AH47" i="29"/>
  <c r="AG47" i="29"/>
  <c r="AF47" i="29"/>
  <c r="AE47" i="29"/>
  <c r="AD47" i="29"/>
  <c r="AC47" i="29"/>
  <c r="AB47" i="29"/>
  <c r="AA47" i="29"/>
  <c r="Z47" i="29"/>
  <c r="Y47" i="29"/>
  <c r="X47" i="29"/>
  <c r="W47" i="29"/>
  <c r="V47" i="29"/>
  <c r="U47" i="29"/>
  <c r="T47" i="29"/>
  <c r="S47" i="29"/>
  <c r="R47" i="29"/>
  <c r="Q47" i="29"/>
  <c r="P47" i="29"/>
  <c r="O47" i="29"/>
  <c r="N47" i="29"/>
  <c r="M47" i="29"/>
  <c r="L47" i="29"/>
  <c r="K47" i="29"/>
  <c r="J47" i="29"/>
  <c r="I47" i="29"/>
  <c r="H47" i="29"/>
  <c r="G47" i="29"/>
  <c r="F47" i="29"/>
  <c r="E47" i="29"/>
  <c r="AK43" i="29"/>
  <c r="D42" i="29"/>
  <c r="AK38" i="29"/>
  <c r="B35" i="29"/>
  <c r="AK34" i="29"/>
  <c r="AJ34" i="29"/>
  <c r="AI34" i="29"/>
  <c r="B33" i="29"/>
  <c r="A228" i="29" s="1"/>
  <c r="B31" i="29"/>
  <c r="A138" i="29" s="1"/>
  <c r="AK30" i="29"/>
  <c r="AJ30" i="29"/>
  <c r="AI30"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G27" i="29"/>
  <c r="F27" i="29"/>
  <c r="E27" i="29"/>
  <c r="C148" i="51"/>
  <c r="C147" i="51"/>
  <c r="C146" i="51"/>
  <c r="C145" i="51"/>
  <c r="C144" i="51"/>
  <c r="C143" i="51"/>
  <c r="C142" i="51"/>
  <c r="C141" i="51"/>
  <c r="C140" i="51"/>
  <c r="C139" i="51"/>
  <c r="I133" i="51"/>
  <c r="I138" i="51" s="1"/>
  <c r="H133" i="51"/>
  <c r="H138" i="51" s="1"/>
  <c r="G133" i="51"/>
  <c r="G138" i="51" s="1"/>
  <c r="F133" i="51"/>
  <c r="F136" i="51" s="1"/>
  <c r="E133" i="51"/>
  <c r="E139" i="51" s="1"/>
  <c r="D133" i="51"/>
  <c r="D146" i="51" s="1"/>
  <c r="B133" i="51"/>
  <c r="B139" i="51" s="1"/>
  <c r="K67" i="51"/>
  <c r="J67" i="51"/>
  <c r="I67" i="51"/>
  <c r="H67" i="51"/>
  <c r="G67" i="51"/>
  <c r="M67" i="51" s="1"/>
  <c r="F67" i="51"/>
  <c r="L67" i="51" s="1"/>
  <c r="K66" i="51"/>
  <c r="J66" i="51"/>
  <c r="I66" i="51"/>
  <c r="H66" i="51"/>
  <c r="G66" i="51"/>
  <c r="M66" i="51" s="1"/>
  <c r="F66" i="51"/>
  <c r="L66" i="51" s="1"/>
  <c r="K65" i="51"/>
  <c r="J65" i="51"/>
  <c r="I65" i="51"/>
  <c r="H65" i="51"/>
  <c r="G65" i="51"/>
  <c r="M65" i="51" s="1"/>
  <c r="F65" i="51"/>
  <c r="L65" i="51" s="1"/>
  <c r="K64" i="51"/>
  <c r="J64" i="51"/>
  <c r="I64" i="51"/>
  <c r="H64" i="51"/>
  <c r="G64" i="51"/>
  <c r="M64" i="51" s="1"/>
  <c r="F64" i="51"/>
  <c r="L64" i="51" s="1"/>
  <c r="K63" i="51"/>
  <c r="J63" i="51"/>
  <c r="I63" i="51"/>
  <c r="H63" i="51"/>
  <c r="G63" i="51"/>
  <c r="M63" i="51" s="1"/>
  <c r="F63" i="51"/>
  <c r="L63" i="51" s="1"/>
  <c r="K62" i="51"/>
  <c r="J62" i="51"/>
  <c r="I62" i="51"/>
  <c r="H62" i="51"/>
  <c r="G62" i="51"/>
  <c r="M62" i="51" s="1"/>
  <c r="F62" i="51"/>
  <c r="L62" i="51" s="1"/>
  <c r="K61" i="51"/>
  <c r="J61" i="51"/>
  <c r="I61" i="51"/>
  <c r="H61" i="51"/>
  <c r="G61" i="51"/>
  <c r="M61" i="51" s="1"/>
  <c r="F61" i="51"/>
  <c r="L61" i="51" s="1"/>
  <c r="K60" i="51"/>
  <c r="J60" i="51"/>
  <c r="I60" i="51"/>
  <c r="H60" i="51"/>
  <c r="G60" i="51"/>
  <c r="M60" i="51" s="1"/>
  <c r="F60" i="51"/>
  <c r="L60" i="51" s="1"/>
  <c r="K59" i="51"/>
  <c r="J59" i="51"/>
  <c r="I59" i="51"/>
  <c r="H59" i="51"/>
  <c r="G59" i="51"/>
  <c r="M59" i="51" s="1"/>
  <c r="F59" i="51"/>
  <c r="L59" i="51" s="1"/>
  <c r="K58" i="51"/>
  <c r="J58" i="51"/>
  <c r="I58" i="51"/>
  <c r="H58" i="51"/>
  <c r="G58" i="51"/>
  <c r="M58" i="51" s="1"/>
  <c r="F58" i="51"/>
  <c r="L58" i="51" s="1"/>
  <c r="K57" i="51"/>
  <c r="J57" i="51"/>
  <c r="I57" i="51"/>
  <c r="H57" i="51"/>
  <c r="G57" i="51"/>
  <c r="M57" i="51" s="1"/>
  <c r="F57" i="51"/>
  <c r="L57" i="51" s="1"/>
  <c r="K56" i="51"/>
  <c r="J56" i="51"/>
  <c r="I56" i="51"/>
  <c r="H56" i="51"/>
  <c r="G56" i="51"/>
  <c r="M56" i="51" s="1"/>
  <c r="F56" i="51"/>
  <c r="L56" i="51" s="1"/>
  <c r="K55" i="51"/>
  <c r="J55" i="51"/>
  <c r="I55" i="51"/>
  <c r="H55" i="51"/>
  <c r="G55" i="51"/>
  <c r="M55" i="51" s="1"/>
  <c r="F55" i="51"/>
  <c r="L55" i="51" s="1"/>
  <c r="K54" i="51"/>
  <c r="J54" i="51"/>
  <c r="I54" i="51"/>
  <c r="H54" i="51"/>
  <c r="G54" i="51"/>
  <c r="M54" i="51" s="1"/>
  <c r="F54" i="51"/>
  <c r="L54" i="51" s="1"/>
  <c r="D33" i="51"/>
  <c r="B33" i="51"/>
  <c r="D32" i="51"/>
  <c r="B32" i="51"/>
  <c r="D31" i="51"/>
  <c r="B31" i="51"/>
  <c r="D30" i="51"/>
  <c r="G33" i="51" s="1"/>
  <c r="G35" i="51" s="1"/>
  <c r="B30" i="51"/>
  <c r="D29" i="51"/>
  <c r="B29" i="51"/>
  <c r="B28" i="51"/>
  <c r="E28" i="51" s="1"/>
  <c r="F19" i="51"/>
  <c r="F18" i="51"/>
  <c r="F17" i="51"/>
  <c r="F16" i="51"/>
  <c r="F15" i="51"/>
  <c r="F14" i="51"/>
  <c r="B1" i="51"/>
  <c r="C148" i="52"/>
  <c r="F15" i="26" s="1"/>
  <c r="D4" i="29" s="1"/>
  <c r="E4" i="29" s="1"/>
  <c r="F4" i="29" s="1"/>
  <c r="G4" i="29" s="1"/>
  <c r="H4" i="29" s="1"/>
  <c r="I4" i="29" s="1"/>
  <c r="J4" i="29" s="1"/>
  <c r="K4" i="29" s="1"/>
  <c r="L4" i="29" s="1"/>
  <c r="M4" i="29" s="1"/>
  <c r="N4" i="29" s="1"/>
  <c r="O4" i="29" s="1"/>
  <c r="P4" i="29" s="1"/>
  <c r="Q4" i="29" s="1"/>
  <c r="R4" i="29" s="1"/>
  <c r="S4" i="29" s="1"/>
  <c r="T4" i="29" s="1"/>
  <c r="U4" i="29" s="1"/>
  <c r="V4" i="29" s="1"/>
  <c r="W4" i="29" s="1"/>
  <c r="X4" i="29" s="1"/>
  <c r="Y4" i="29" s="1"/>
  <c r="Z4" i="29" s="1"/>
  <c r="AA4" i="29" s="1"/>
  <c r="AB4" i="29" s="1"/>
  <c r="AC4" i="29" s="1"/>
  <c r="AD4" i="29" s="1"/>
  <c r="AE4" i="29" s="1"/>
  <c r="AF4" i="29" s="1"/>
  <c r="AG4" i="29" s="1"/>
  <c r="AH4" i="29" s="1"/>
  <c r="E132" i="52"/>
  <c r="D132" i="52"/>
  <c r="E131" i="52"/>
  <c r="D131" i="52"/>
  <c r="E130" i="52"/>
  <c r="D130" i="52"/>
  <c r="E129" i="52"/>
  <c r="D129" i="52"/>
  <c r="E128" i="52"/>
  <c r="D128" i="52"/>
  <c r="E127" i="52"/>
  <c r="D127" i="52"/>
  <c r="E126" i="52"/>
  <c r="D126" i="52"/>
  <c r="E125" i="52"/>
  <c r="D125" i="52"/>
  <c r="E124" i="52"/>
  <c r="D124" i="52"/>
  <c r="E123" i="52"/>
  <c r="D123" i="52"/>
  <c r="E122" i="52"/>
  <c r="D122" i="52"/>
  <c r="D194" i="14"/>
  <c r="D190" i="14"/>
  <c r="E188" i="14" s="1"/>
  <c r="J92" i="26"/>
  <c r="J93" i="26" s="1"/>
  <c r="J89" i="26"/>
  <c r="J90" i="26" s="1"/>
  <c r="J86" i="26"/>
  <c r="J87" i="26" s="1"/>
  <c r="J83" i="26"/>
  <c r="J84" i="26" s="1"/>
  <c r="F79" i="26"/>
  <c r="F76" i="26"/>
  <c r="F13" i="31" s="1"/>
  <c r="F73" i="26"/>
  <c r="F67" i="26"/>
  <c r="F33" i="31" s="1"/>
  <c r="F25" i="31"/>
  <c r="F21" i="31"/>
  <c r="B49" i="26"/>
  <c r="B45" i="26"/>
  <c r="B41" i="26"/>
  <c r="B37" i="26"/>
  <c r="B49" i="14" s="1"/>
  <c r="B33" i="26"/>
  <c r="B29" i="26"/>
  <c r="M34" i="14"/>
  <c r="AF31" i="14"/>
  <c r="AC28" i="14"/>
  <c r="E15" i="26"/>
  <c r="D5" i="29" s="1"/>
  <c r="E5" i="29" s="1"/>
  <c r="F5" i="29" s="1"/>
  <c r="G5" i="29" s="1"/>
  <c r="H5" i="29" s="1"/>
  <c r="I5" i="29" s="1"/>
  <c r="J5" i="29" s="1"/>
  <c r="K5" i="29" s="1"/>
  <c r="L5" i="29" s="1"/>
  <c r="M5" i="29" s="1"/>
  <c r="N5" i="29" s="1"/>
  <c r="O5" i="29" s="1"/>
  <c r="P5" i="29" s="1"/>
  <c r="Q5" i="29" s="1"/>
  <c r="R5" i="29" s="1"/>
  <c r="S5" i="29" s="1"/>
  <c r="T5" i="29" s="1"/>
  <c r="U5" i="29" s="1"/>
  <c r="V5" i="29" s="1"/>
  <c r="W5" i="29" s="1"/>
  <c r="X5" i="29" s="1"/>
  <c r="Y5" i="29" s="1"/>
  <c r="Z5" i="29" s="1"/>
  <c r="AA5" i="29" s="1"/>
  <c r="AB5" i="29" s="1"/>
  <c r="AC5" i="29" s="1"/>
  <c r="AD5" i="29" s="1"/>
  <c r="AE5" i="29" s="1"/>
  <c r="AF5" i="29" s="1"/>
  <c r="AG5" i="29" s="1"/>
  <c r="AH5" i="29" s="1"/>
  <c r="E12" i="26"/>
  <c r="E10" i="26"/>
  <c r="B168" i="51" s="1"/>
  <c r="D155" i="29" l="1"/>
  <c r="D156" i="29"/>
  <c r="D169" i="29"/>
  <c r="D170" i="29"/>
  <c r="D200" i="29"/>
  <c r="D201" i="29"/>
  <c r="D260" i="29"/>
  <c r="D259" i="29"/>
  <c r="D335" i="29"/>
  <c r="D336" i="29"/>
  <c r="D215" i="29"/>
  <c r="D214" i="29"/>
  <c r="D350" i="29"/>
  <c r="D349" i="29"/>
  <c r="D304" i="29"/>
  <c r="D305" i="29"/>
  <c r="D363" i="29"/>
  <c r="D364" i="29"/>
  <c r="D245" i="29"/>
  <c r="D246" i="29"/>
  <c r="D319" i="29"/>
  <c r="D318" i="29"/>
  <c r="I32" i="54"/>
  <c r="O37" i="31" s="1"/>
  <c r="H9" i="54"/>
  <c r="N9" i="31" s="1"/>
  <c r="D129" i="14"/>
  <c r="U77" i="29"/>
  <c r="M77" i="29"/>
  <c r="E77" i="29"/>
  <c r="AC77" i="29"/>
  <c r="A93" i="29"/>
  <c r="A102" i="29" s="1"/>
  <c r="A288" i="29"/>
  <c r="A295" i="29" s="1"/>
  <c r="A184" i="29"/>
  <c r="A194" i="29" s="1"/>
  <c r="A361" i="29"/>
  <c r="A370" i="29" s="1"/>
  <c r="F16" i="31"/>
  <c r="E122" i="29"/>
  <c r="U122" i="29"/>
  <c r="AC122" i="29"/>
  <c r="M122" i="29"/>
  <c r="H122" i="29"/>
  <c r="P122" i="29"/>
  <c r="X122" i="29"/>
  <c r="AF122" i="29"/>
  <c r="G63" i="29"/>
  <c r="O63" i="29"/>
  <c r="AE63" i="29"/>
  <c r="A167" i="29"/>
  <c r="A179" i="29" s="1"/>
  <c r="A229" i="29"/>
  <c r="A235" i="29" s="1"/>
  <c r="D261" i="29"/>
  <c r="V19" i="54"/>
  <c r="E32" i="51"/>
  <c r="E31" i="51"/>
  <c r="E30" i="51"/>
  <c r="E29" i="51"/>
  <c r="E33" i="51"/>
  <c r="J122" i="29"/>
  <c r="R122" i="29"/>
  <c r="Z122" i="29"/>
  <c r="AH122" i="29"/>
  <c r="K122" i="29"/>
  <c r="S122" i="29"/>
  <c r="AA122" i="29"/>
  <c r="V13" i="54"/>
  <c r="T122" i="29"/>
  <c r="I10" i="54"/>
  <c r="H30" i="54"/>
  <c r="N21" i="31" s="1"/>
  <c r="F122" i="29"/>
  <c r="N122" i="29"/>
  <c r="V122" i="29"/>
  <c r="AD122" i="29"/>
  <c r="G122" i="29"/>
  <c r="O122" i="29"/>
  <c r="W122" i="29"/>
  <c r="AE122" i="29"/>
  <c r="A212" i="29"/>
  <c r="A222" i="29" s="1"/>
  <c r="V27" i="54"/>
  <c r="I122" i="29"/>
  <c r="Q122" i="29"/>
  <c r="Y122" i="29"/>
  <c r="AG122" i="29"/>
  <c r="A316" i="29"/>
  <c r="A329" i="29" s="1"/>
  <c r="L108" i="29"/>
  <c r="AB108" i="29"/>
  <c r="E171" i="14"/>
  <c r="F171" i="14" s="1"/>
  <c r="G171" i="14" s="1"/>
  <c r="H171" i="14" s="1"/>
  <c r="I171" i="14" s="1"/>
  <c r="J171" i="14" s="1"/>
  <c r="K171" i="14" s="1"/>
  <c r="L171" i="14" s="1"/>
  <c r="M171" i="14" s="1"/>
  <c r="N171" i="14" s="1"/>
  <c r="O171" i="14" s="1"/>
  <c r="P171" i="14" s="1"/>
  <c r="Q171" i="14" s="1"/>
  <c r="R171" i="14" s="1"/>
  <c r="S171" i="14" s="1"/>
  <c r="T171" i="14" s="1"/>
  <c r="U171" i="14" s="1"/>
  <c r="V171" i="14" s="1"/>
  <c r="W171" i="14" s="1"/>
  <c r="X171" i="14" s="1"/>
  <c r="Y171" i="14" s="1"/>
  <c r="Z171" i="14" s="1"/>
  <c r="AA171" i="14" s="1"/>
  <c r="AB171" i="14" s="1"/>
  <c r="AC171" i="14" s="1"/>
  <c r="AD171" i="14" s="1"/>
  <c r="AE171" i="14" s="1"/>
  <c r="AF171" i="14" s="1"/>
  <c r="AG171" i="14" s="1"/>
  <c r="AH171" i="14" s="1"/>
  <c r="E177" i="14"/>
  <c r="F177" i="14" s="1"/>
  <c r="G177" i="14" s="1"/>
  <c r="H177" i="14" s="1"/>
  <c r="I177" i="14" s="1"/>
  <c r="J177" i="14" s="1"/>
  <c r="K177" i="14" s="1"/>
  <c r="L177" i="14" s="1"/>
  <c r="M177" i="14" s="1"/>
  <c r="N177" i="14" s="1"/>
  <c r="O177" i="14" s="1"/>
  <c r="P177" i="14" s="1"/>
  <c r="Q177" i="14" s="1"/>
  <c r="R177" i="14" s="1"/>
  <c r="S177" i="14" s="1"/>
  <c r="T177" i="14" s="1"/>
  <c r="U177" i="14" s="1"/>
  <c r="V177" i="14" s="1"/>
  <c r="W177" i="14" s="1"/>
  <c r="X177" i="14" s="1"/>
  <c r="Y177" i="14" s="1"/>
  <c r="Z177" i="14" s="1"/>
  <c r="AA177" i="14" s="1"/>
  <c r="AB177" i="14" s="1"/>
  <c r="AC177" i="14" s="1"/>
  <c r="AD177" i="14" s="1"/>
  <c r="AE177" i="14" s="1"/>
  <c r="AF177" i="14" s="1"/>
  <c r="AG177" i="14" s="1"/>
  <c r="AH177" i="14" s="1"/>
  <c r="E183" i="14"/>
  <c r="F183" i="14" s="1"/>
  <c r="G183" i="14" s="1"/>
  <c r="H183" i="14" s="1"/>
  <c r="I183" i="14" s="1"/>
  <c r="J183" i="14" s="1"/>
  <c r="K183" i="14" s="1"/>
  <c r="L183" i="14" s="1"/>
  <c r="M183" i="14" s="1"/>
  <c r="N183" i="14" s="1"/>
  <c r="O183" i="14" s="1"/>
  <c r="P183" i="14" s="1"/>
  <c r="Q183" i="14" s="1"/>
  <c r="R183" i="14" s="1"/>
  <c r="S183" i="14" s="1"/>
  <c r="T183" i="14" s="1"/>
  <c r="U183" i="14" s="1"/>
  <c r="V183" i="14" s="1"/>
  <c r="W183" i="14" s="1"/>
  <c r="X183" i="14" s="1"/>
  <c r="Y183" i="14" s="1"/>
  <c r="Z183" i="14" s="1"/>
  <c r="AA183" i="14" s="1"/>
  <c r="AB183" i="14" s="1"/>
  <c r="AC183" i="14" s="1"/>
  <c r="AD183" i="14" s="1"/>
  <c r="AE183" i="14" s="1"/>
  <c r="AF183" i="14" s="1"/>
  <c r="AG183" i="14" s="1"/>
  <c r="AH183" i="14" s="1"/>
  <c r="B164" i="51"/>
  <c r="B170" i="51"/>
  <c r="U20" i="54"/>
  <c r="O14" i="31"/>
  <c r="K77" i="29"/>
  <c r="S77" i="29"/>
  <c r="AA77" i="29"/>
  <c r="D479" i="29"/>
  <c r="L77" i="29"/>
  <c r="T77" i="29"/>
  <c r="AB77" i="29"/>
  <c r="A62" i="29"/>
  <c r="A70" i="29" s="1"/>
  <c r="E180" i="14"/>
  <c r="F180" i="14" s="1"/>
  <c r="G180" i="14" s="1"/>
  <c r="H180" i="14" s="1"/>
  <c r="I180" i="14" s="1"/>
  <c r="J180" i="14" s="1"/>
  <c r="K180" i="14" s="1"/>
  <c r="L180" i="14" s="1"/>
  <c r="M180" i="14" s="1"/>
  <c r="N180" i="14" s="1"/>
  <c r="O180" i="14" s="1"/>
  <c r="P180" i="14" s="1"/>
  <c r="Q180" i="14" s="1"/>
  <c r="R180" i="14" s="1"/>
  <c r="S180" i="14" s="1"/>
  <c r="T180" i="14" s="1"/>
  <c r="U180" i="14" s="1"/>
  <c r="V180" i="14" s="1"/>
  <c r="W180" i="14" s="1"/>
  <c r="X180" i="14" s="1"/>
  <c r="Y180" i="14" s="1"/>
  <c r="Z180" i="14" s="1"/>
  <c r="AA180" i="14" s="1"/>
  <c r="AB180" i="14" s="1"/>
  <c r="AC180" i="14" s="1"/>
  <c r="AD180" i="14" s="1"/>
  <c r="AE180" i="14" s="1"/>
  <c r="AF180" i="14" s="1"/>
  <c r="AG180" i="14" s="1"/>
  <c r="AH180" i="14" s="1"/>
  <c r="H15" i="54"/>
  <c r="V24" i="54"/>
  <c r="I30" i="54"/>
  <c r="O21" i="31" s="1"/>
  <c r="V77" i="29"/>
  <c r="G77" i="29"/>
  <c r="O77" i="29"/>
  <c r="W77" i="29"/>
  <c r="AE77" i="29"/>
  <c r="W63" i="29"/>
  <c r="A139" i="29"/>
  <c r="I11" i="31"/>
  <c r="I15" i="54"/>
  <c r="F77" i="29"/>
  <c r="AD77" i="29"/>
  <c r="D158" i="29"/>
  <c r="H77" i="29"/>
  <c r="P77" i="29"/>
  <c r="X77" i="29"/>
  <c r="V41" i="54"/>
  <c r="N77" i="29"/>
  <c r="AF77" i="29"/>
  <c r="I77" i="29"/>
  <c r="Q77" i="29"/>
  <c r="Y77" i="29"/>
  <c r="AG77" i="29"/>
  <c r="A107" i="29"/>
  <c r="A113" i="29" s="1"/>
  <c r="A153" i="29"/>
  <c r="A158" i="29" s="1"/>
  <c r="D216" i="29"/>
  <c r="J77" i="29"/>
  <c r="R77" i="29"/>
  <c r="Z77" i="29"/>
  <c r="AH77" i="29"/>
  <c r="U108" i="29"/>
  <c r="M31" i="31"/>
  <c r="V10" i="54"/>
  <c r="G10" i="54" s="1"/>
  <c r="U12" i="54"/>
  <c r="I10" i="31"/>
  <c r="O29" i="31"/>
  <c r="I42" i="31"/>
  <c r="K10" i="31"/>
  <c r="H15" i="31"/>
  <c r="J23" i="31"/>
  <c r="D220" i="29" s="1"/>
  <c r="O27" i="31"/>
  <c r="D270" i="29" s="1"/>
  <c r="O42" i="31"/>
  <c r="M10" i="31"/>
  <c r="M30" i="31"/>
  <c r="K14" i="31"/>
  <c r="I14" i="31"/>
  <c r="H10" i="31"/>
  <c r="L19" i="31"/>
  <c r="D177" i="29" s="1"/>
  <c r="M35" i="31"/>
  <c r="D327" i="29" s="1"/>
  <c r="K29" i="31"/>
  <c r="D262" i="29"/>
  <c r="A127" i="29"/>
  <c r="A122" i="29"/>
  <c r="X63" i="29"/>
  <c r="L15" i="31"/>
  <c r="L18" i="31"/>
  <c r="I34" i="31"/>
  <c r="D309" i="29" s="1"/>
  <c r="AI58" i="14"/>
  <c r="E150" i="14"/>
  <c r="C151" i="14" s="1"/>
  <c r="U24" i="54"/>
  <c r="V36" i="54"/>
  <c r="J18" i="31"/>
  <c r="K27" i="31"/>
  <c r="D266" i="29" s="1"/>
  <c r="I30" i="31"/>
  <c r="M34" i="31"/>
  <c r="D313" i="29" s="1"/>
  <c r="I9" i="54"/>
  <c r="H12" i="54"/>
  <c r="AF63" i="29"/>
  <c r="A243" i="29"/>
  <c r="A249" i="29" s="1"/>
  <c r="D306" i="29"/>
  <c r="U7" i="54"/>
  <c r="U21" i="54"/>
  <c r="F21" i="54" s="1"/>
  <c r="U32" i="54"/>
  <c r="F32" i="54" s="1"/>
  <c r="L37" i="31" s="1"/>
  <c r="H36" i="54"/>
  <c r="N41" i="31" s="1"/>
  <c r="O30" i="31"/>
  <c r="U29" i="54"/>
  <c r="E108" i="29"/>
  <c r="D248" i="29"/>
  <c r="A302" i="29"/>
  <c r="J10" i="31"/>
  <c r="I7" i="54"/>
  <c r="U10" i="54"/>
  <c r="F10" i="54" s="1"/>
  <c r="U13" i="54"/>
  <c r="U16" i="54"/>
  <c r="V29" i="54"/>
  <c r="D307" i="29"/>
  <c r="U25" i="54"/>
  <c r="A347" i="29"/>
  <c r="A360" i="29" s="1"/>
  <c r="D549" i="29"/>
  <c r="D563" i="29" s="1"/>
  <c r="L10" i="31"/>
  <c r="H14" i="31"/>
  <c r="H19" i="31"/>
  <c r="D173" i="29" s="1"/>
  <c r="N23" i="31"/>
  <c r="D224" i="29" s="1"/>
  <c r="K31" i="31"/>
  <c r="O35" i="31"/>
  <c r="D329" i="29" s="1"/>
  <c r="K42" i="31"/>
  <c r="H4" i="54"/>
  <c r="N13" i="31" s="1"/>
  <c r="H10" i="54"/>
  <c r="U44" i="54"/>
  <c r="U8" i="54"/>
  <c r="U22" i="54"/>
  <c r="N10" i="31"/>
  <c r="L14" i="31"/>
  <c r="N19" i="31"/>
  <c r="D179" i="29" s="1"/>
  <c r="O31" i="31"/>
  <c r="U30" i="54"/>
  <c r="U39" i="54"/>
  <c r="O10" i="31"/>
  <c r="M14" i="31"/>
  <c r="D171" i="29"/>
  <c r="V5" i="54"/>
  <c r="U14" i="54"/>
  <c r="F14" i="54" s="1"/>
  <c r="H17" i="54"/>
  <c r="U26" i="54"/>
  <c r="F63" i="29"/>
  <c r="N14" i="31"/>
  <c r="U11" i="54"/>
  <c r="H14" i="54"/>
  <c r="H26" i="54"/>
  <c r="H146" i="51"/>
  <c r="K26" i="31"/>
  <c r="D252" i="29" s="1"/>
  <c r="I29" i="31"/>
  <c r="M43" i="31"/>
  <c r="E174" i="14"/>
  <c r="F174" i="14" s="1"/>
  <c r="G174" i="14" s="1"/>
  <c r="H174" i="14" s="1"/>
  <c r="I174" i="14" s="1"/>
  <c r="J174" i="14" s="1"/>
  <c r="K174" i="14" s="1"/>
  <c r="L174" i="14" s="1"/>
  <c r="M174" i="14" s="1"/>
  <c r="N174" i="14" s="1"/>
  <c r="O174" i="14" s="1"/>
  <c r="P174" i="14" s="1"/>
  <c r="Q174" i="14" s="1"/>
  <c r="R174" i="14" s="1"/>
  <c r="S174" i="14" s="1"/>
  <c r="T174" i="14" s="1"/>
  <c r="U174" i="14" s="1"/>
  <c r="V174" i="14" s="1"/>
  <c r="W174" i="14" s="1"/>
  <c r="X174" i="14" s="1"/>
  <c r="Y174" i="14" s="1"/>
  <c r="Z174" i="14" s="1"/>
  <c r="AA174" i="14" s="1"/>
  <c r="AB174" i="14" s="1"/>
  <c r="AC174" i="14" s="1"/>
  <c r="AD174" i="14" s="1"/>
  <c r="AE174" i="14" s="1"/>
  <c r="AF174" i="14" s="1"/>
  <c r="AG174" i="14" s="1"/>
  <c r="AH174" i="14" s="1"/>
  <c r="H5" i="54"/>
  <c r="I14" i="54"/>
  <c r="U23" i="54"/>
  <c r="P63" i="29"/>
  <c r="O26" i="31"/>
  <c r="D256" i="29" s="1"/>
  <c r="O43" i="31"/>
  <c r="U9" i="54"/>
  <c r="F9" i="54" s="1"/>
  <c r="H19" i="54"/>
  <c r="V63" i="29"/>
  <c r="D247" i="29"/>
  <c r="U6" i="54"/>
  <c r="U15" i="54"/>
  <c r="F15" i="54" s="1"/>
  <c r="U27" i="54"/>
  <c r="U31" i="54"/>
  <c r="Q63" i="29"/>
  <c r="AG63" i="29"/>
  <c r="A56" i="29"/>
  <c r="R63" i="29"/>
  <c r="AH63" i="29"/>
  <c r="S63" i="29"/>
  <c r="T63" i="29"/>
  <c r="E63" i="29"/>
  <c r="U63" i="29"/>
  <c r="H63" i="29"/>
  <c r="I63" i="29"/>
  <c r="Y63" i="29"/>
  <c r="J63" i="29"/>
  <c r="Z63" i="29"/>
  <c r="K63" i="29"/>
  <c r="AA63" i="29"/>
  <c r="L63" i="29"/>
  <c r="AB63" i="29"/>
  <c r="M63" i="29"/>
  <c r="AC63" i="29"/>
  <c r="B142" i="51"/>
  <c r="N63" i="29"/>
  <c r="AD63" i="29"/>
  <c r="M108" i="29"/>
  <c r="AC108" i="29"/>
  <c r="L122" i="29"/>
  <c r="AB122" i="29"/>
  <c r="N108" i="29"/>
  <c r="AD108" i="29"/>
  <c r="O108" i="29"/>
  <c r="AE108" i="29"/>
  <c r="A130" i="29"/>
  <c r="P108" i="29"/>
  <c r="AF108" i="29"/>
  <c r="A129" i="29"/>
  <c r="Q108" i="29"/>
  <c r="AG108" i="29"/>
  <c r="A77" i="29"/>
  <c r="R108" i="29"/>
  <c r="AH108" i="29"/>
  <c r="S108" i="29"/>
  <c r="T108" i="29"/>
  <c r="A85" i="29"/>
  <c r="F108" i="29"/>
  <c r="V108" i="29"/>
  <c r="A84" i="29"/>
  <c r="G108" i="29"/>
  <c r="W108" i="29"/>
  <c r="A83" i="29"/>
  <c r="H108" i="29"/>
  <c r="X108" i="29"/>
  <c r="I108" i="29"/>
  <c r="Y108" i="29"/>
  <c r="J108" i="29"/>
  <c r="Z108" i="29"/>
  <c r="K108" i="29"/>
  <c r="AA108" i="29"/>
  <c r="A128" i="29"/>
  <c r="D172" i="29"/>
  <c r="D217" i="29"/>
  <c r="A261" i="29"/>
  <c r="A262" i="29"/>
  <c r="A263" i="29"/>
  <c r="A258" i="29"/>
  <c r="A264" i="29"/>
  <c r="A265" i="29"/>
  <c r="A266" i="29"/>
  <c r="A267" i="29"/>
  <c r="A268" i="29"/>
  <c r="A269" i="29"/>
  <c r="A270" i="29"/>
  <c r="D321" i="29"/>
  <c r="M11" i="31"/>
  <c r="L11" i="31"/>
  <c r="K11" i="31"/>
  <c r="H11" i="31"/>
  <c r="O11" i="31"/>
  <c r="N11" i="31"/>
  <c r="J11" i="31"/>
  <c r="D157" i="29"/>
  <c r="O15" i="31"/>
  <c r="N15" i="31"/>
  <c r="K15" i="31"/>
  <c r="I15" i="31"/>
  <c r="J15" i="31"/>
  <c r="H18" i="31"/>
  <c r="M15" i="31"/>
  <c r="H23" i="31"/>
  <c r="D218" i="29" s="1"/>
  <c r="I27" i="31"/>
  <c r="D264" i="29" s="1"/>
  <c r="I35" i="31"/>
  <c r="D323" i="29" s="1"/>
  <c r="D320" i="29"/>
  <c r="K43" i="31"/>
  <c r="M26" i="31"/>
  <c r="D254" i="29" s="1"/>
  <c r="K34" i="31"/>
  <c r="D311" i="29" s="1"/>
  <c r="J14" i="31"/>
  <c r="D203" i="29"/>
  <c r="Y148" i="14"/>
  <c r="I148" i="14"/>
  <c r="T148" i="14"/>
  <c r="AH148" i="14"/>
  <c r="R148" i="14"/>
  <c r="W148" i="14"/>
  <c r="V148" i="14"/>
  <c r="Q148" i="14"/>
  <c r="P148" i="14"/>
  <c r="O148" i="14"/>
  <c r="AG148" i="14"/>
  <c r="N148" i="14"/>
  <c r="AF148" i="14"/>
  <c r="M148" i="14"/>
  <c r="AE148" i="14"/>
  <c r="L148" i="14"/>
  <c r="AD148" i="14"/>
  <c r="K148" i="14"/>
  <c r="AC148" i="14"/>
  <c r="J148" i="14"/>
  <c r="AB148" i="14"/>
  <c r="H148" i="14"/>
  <c r="Z148" i="14"/>
  <c r="X148" i="14"/>
  <c r="E148" i="14"/>
  <c r="F148" i="14" s="1"/>
  <c r="AA148" i="14"/>
  <c r="S148" i="14"/>
  <c r="G148" i="14"/>
  <c r="G227" i="14"/>
  <c r="F256" i="14" s="1"/>
  <c r="AI70" i="14"/>
  <c r="G226" i="14"/>
  <c r="F255" i="14" s="1"/>
  <c r="AI69" i="14"/>
  <c r="D255" i="14"/>
  <c r="D256" i="14"/>
  <c r="G149" i="14"/>
  <c r="H45" i="54"/>
  <c r="H32" i="54"/>
  <c r="N37" i="31" s="1"/>
  <c r="D345" i="29" s="1"/>
  <c r="V44" i="54"/>
  <c r="E198" i="14"/>
  <c r="F198" i="14" s="1"/>
  <c r="I17" i="54"/>
  <c r="I24" i="54"/>
  <c r="F30" i="54"/>
  <c r="L21" i="31" s="1"/>
  <c r="V31" i="54"/>
  <c r="U34" i="54"/>
  <c r="H38" i="54"/>
  <c r="N39" i="31" s="1"/>
  <c r="D373" i="29" s="1"/>
  <c r="F41" i="54"/>
  <c r="V16" i="54"/>
  <c r="V34" i="54"/>
  <c r="U37" i="54"/>
  <c r="V6" i="54"/>
  <c r="V20" i="54"/>
  <c r="I31" i="54"/>
  <c r="O22" i="31" s="1"/>
  <c r="D211" i="29" s="1"/>
  <c r="V37" i="54"/>
  <c r="U40" i="54"/>
  <c r="H44" i="54"/>
  <c r="V9" i="54"/>
  <c r="G9" i="54" s="1"/>
  <c r="M9" i="31" s="1"/>
  <c r="V23" i="54"/>
  <c r="V40" i="54"/>
  <c r="U43" i="54"/>
  <c r="V12" i="54"/>
  <c r="V26" i="54"/>
  <c r="V43" i="54"/>
  <c r="V30" i="54"/>
  <c r="G30" i="54" s="1"/>
  <c r="M21" i="31" s="1"/>
  <c r="U33" i="54"/>
  <c r="U5" i="54"/>
  <c r="F5" i="54" s="1"/>
  <c r="V15" i="54"/>
  <c r="G15" i="54" s="1"/>
  <c r="U19" i="54"/>
  <c r="V33" i="54"/>
  <c r="U36" i="54"/>
  <c r="V8" i="54"/>
  <c r="V22" i="54"/>
  <c r="V39" i="54"/>
  <c r="U42" i="54"/>
  <c r="V11" i="54"/>
  <c r="L14" i="54"/>
  <c r="N14" i="54" s="1"/>
  <c r="V25" i="54"/>
  <c r="V42" i="54"/>
  <c r="U45" i="54"/>
  <c r="V45" i="54"/>
  <c r="U4" i="54"/>
  <c r="F4" i="54" s="1"/>
  <c r="L13" i="31" s="1"/>
  <c r="V14" i="54"/>
  <c r="U17" i="54"/>
  <c r="F17" i="54" s="1"/>
  <c r="I25" i="54"/>
  <c r="V32" i="54"/>
  <c r="G32" i="54" s="1"/>
  <c r="M37" i="31" s="1"/>
  <c r="U35" i="54"/>
  <c r="I42" i="54"/>
  <c r="V4" i="54"/>
  <c r="V17" i="54"/>
  <c r="G17" i="54" s="1"/>
  <c r="V35" i="54"/>
  <c r="U38" i="54"/>
  <c r="I39" i="54"/>
  <c r="H42" i="54"/>
  <c r="V7" i="54"/>
  <c r="V21" i="54"/>
  <c r="F40" i="31"/>
  <c r="A57" i="29"/>
  <c r="A49" i="29"/>
  <c r="A54" i="29"/>
  <c r="A340" i="29"/>
  <c r="A346" i="29"/>
  <c r="A341" i="29"/>
  <c r="D366" i="29"/>
  <c r="A337" i="29"/>
  <c r="A342" i="29"/>
  <c r="D352" i="29"/>
  <c r="A334" i="29"/>
  <c r="A338" i="29"/>
  <c r="A343" i="29"/>
  <c r="D365" i="29"/>
  <c r="D338" i="29"/>
  <c r="A344" i="29"/>
  <c r="D351" i="29"/>
  <c r="A339" i="29"/>
  <c r="D337" i="29"/>
  <c r="A206" i="29"/>
  <c r="A211" i="29"/>
  <c r="A202" i="29"/>
  <c r="A207" i="29"/>
  <c r="D202" i="29"/>
  <c r="A208" i="29"/>
  <c r="A199" i="29"/>
  <c r="A203" i="29"/>
  <c r="A209" i="29"/>
  <c r="A204" i="29"/>
  <c r="A210" i="29"/>
  <c r="L4" i="54"/>
  <c r="N4" i="54" s="1"/>
  <c r="L6" i="54"/>
  <c r="N6" i="54" s="1"/>
  <c r="L8" i="54"/>
  <c r="N8" i="54" s="1"/>
  <c r="L10" i="54"/>
  <c r="N10" i="54" s="1"/>
  <c r="L5" i="54"/>
  <c r="N5" i="54" s="1"/>
  <c r="L7" i="54"/>
  <c r="N7" i="54" s="1"/>
  <c r="L9" i="54"/>
  <c r="N9" i="54" s="1"/>
  <c r="L11" i="54"/>
  <c r="L43" i="31"/>
  <c r="I147" i="51"/>
  <c r="B145" i="51"/>
  <c r="I139" i="51"/>
  <c r="G146" i="51"/>
  <c r="B144" i="51"/>
  <c r="B140" i="51"/>
  <c r="B143" i="51"/>
  <c r="B146" i="51"/>
  <c r="B148" i="51"/>
  <c r="G141" i="51"/>
  <c r="H141" i="51"/>
  <c r="H144" i="51"/>
  <c r="I146" i="51"/>
  <c r="I141" i="51"/>
  <c r="I144" i="51"/>
  <c r="B147" i="51"/>
  <c r="G143" i="51"/>
  <c r="H140" i="51"/>
  <c r="I143" i="51"/>
  <c r="G145" i="51"/>
  <c r="H148" i="51"/>
  <c r="G140" i="51"/>
  <c r="H143" i="51"/>
  <c r="G148" i="51"/>
  <c r="I140" i="51"/>
  <c r="G142" i="51"/>
  <c r="H145" i="51"/>
  <c r="I148" i="51"/>
  <c r="B9" i="51"/>
  <c r="B16" i="51"/>
  <c r="B20" i="51" s="1"/>
  <c r="G139" i="51"/>
  <c r="B141" i="51"/>
  <c r="H142" i="51"/>
  <c r="I145" i="51"/>
  <c r="G147" i="51"/>
  <c r="H139" i="51"/>
  <c r="I142" i="51"/>
  <c r="G144" i="51"/>
  <c r="H147" i="51"/>
  <c r="S94" i="29"/>
  <c r="F94" i="29"/>
  <c r="V94" i="29"/>
  <c r="D3" i="29"/>
  <c r="E3" i="29" s="1"/>
  <c r="F3" i="29" s="1"/>
  <c r="G3" i="29" s="1"/>
  <c r="H3" i="29" s="1"/>
  <c r="I3" i="29" s="1"/>
  <c r="J3" i="29" s="1"/>
  <c r="K3" i="29" s="1"/>
  <c r="L3" i="29" s="1"/>
  <c r="M3" i="29" s="1"/>
  <c r="N3" i="29" s="1"/>
  <c r="O3" i="29" s="1"/>
  <c r="P3" i="29" s="1"/>
  <c r="Q3" i="29" s="1"/>
  <c r="R3" i="29" s="1"/>
  <c r="S3" i="29" s="1"/>
  <c r="T3" i="29" s="1"/>
  <c r="U3" i="29" s="1"/>
  <c r="V3" i="29" s="1"/>
  <c r="W3" i="29" s="1"/>
  <c r="X3" i="29" s="1"/>
  <c r="Y3" i="29" s="1"/>
  <c r="Z3" i="29" s="1"/>
  <c r="AA3" i="29" s="1"/>
  <c r="AB3" i="29" s="1"/>
  <c r="AC3" i="29" s="1"/>
  <c r="AD3" i="29" s="1"/>
  <c r="AE3" i="29" s="1"/>
  <c r="AF3" i="29" s="1"/>
  <c r="AG3" i="29" s="1"/>
  <c r="AH3" i="29" s="1"/>
  <c r="G94" i="29"/>
  <c r="W94" i="29"/>
  <c r="K94" i="29"/>
  <c r="AA94" i="29"/>
  <c r="Z211" i="52"/>
  <c r="M94" i="29"/>
  <c r="AC94" i="29"/>
  <c r="N94" i="29"/>
  <c r="AD94" i="29"/>
  <c r="O94" i="29"/>
  <c r="AE94" i="29"/>
  <c r="J80" i="26"/>
  <c r="J81" i="26" s="1"/>
  <c r="E94" i="29"/>
  <c r="U94" i="29"/>
  <c r="F24" i="31"/>
  <c r="D185" i="29"/>
  <c r="E193" i="14"/>
  <c r="E40" i="29" s="1"/>
  <c r="AC7" i="14"/>
  <c r="U7" i="14"/>
  <c r="M7" i="14"/>
  <c r="AB7" i="14"/>
  <c r="T7" i="14"/>
  <c r="L7" i="14"/>
  <c r="AA7" i="14"/>
  <c r="S7" i="14"/>
  <c r="K7" i="14"/>
  <c r="AH7" i="14"/>
  <c r="Z7" i="14"/>
  <c r="R7" i="14"/>
  <c r="J7" i="14"/>
  <c r="AG7" i="14"/>
  <c r="Y7" i="14"/>
  <c r="Q7" i="14"/>
  <c r="I7" i="14"/>
  <c r="AF7" i="14"/>
  <c r="X7" i="14"/>
  <c r="P7" i="14"/>
  <c r="H7" i="14"/>
  <c r="AE7" i="14"/>
  <c r="W7" i="14"/>
  <c r="O7" i="14"/>
  <c r="G7" i="14"/>
  <c r="AD7" i="14"/>
  <c r="V7" i="14"/>
  <c r="N7" i="14"/>
  <c r="F7" i="14"/>
  <c r="F36" i="31"/>
  <c r="D289" i="29"/>
  <c r="F44" i="31"/>
  <c r="F9" i="31"/>
  <c r="D135" i="14"/>
  <c r="D120" i="14" s="1"/>
  <c r="D503" i="29"/>
  <c r="AG5" i="14"/>
  <c r="Y5" i="14"/>
  <c r="Q5" i="14"/>
  <c r="I5" i="14"/>
  <c r="I35" i="14" s="1"/>
  <c r="AF5" i="14"/>
  <c r="AF38" i="14" s="1"/>
  <c r="X5" i="14"/>
  <c r="X32" i="14" s="1"/>
  <c r="P5" i="14"/>
  <c r="P51" i="14" s="1"/>
  <c r="H5" i="14"/>
  <c r="AE5" i="14"/>
  <c r="AE38" i="14" s="1"/>
  <c r="W5" i="14"/>
  <c r="O5" i="14"/>
  <c r="G5" i="14"/>
  <c r="G32" i="14" s="1"/>
  <c r="AD5" i="14"/>
  <c r="AD32" i="14" s="1"/>
  <c r="V5" i="14"/>
  <c r="V35" i="14" s="1"/>
  <c r="N5" i="14"/>
  <c r="F5" i="14"/>
  <c r="AC5" i="14"/>
  <c r="U5" i="14"/>
  <c r="M5" i="14"/>
  <c r="E5" i="14"/>
  <c r="E29" i="14" s="1"/>
  <c r="AB5" i="14"/>
  <c r="AB29" i="14" s="1"/>
  <c r="T5" i="14"/>
  <c r="L5" i="14"/>
  <c r="AA5" i="14"/>
  <c r="S5" i="14"/>
  <c r="S29" i="14" s="1"/>
  <c r="K5" i="14"/>
  <c r="AH5" i="14"/>
  <c r="Z5" i="14"/>
  <c r="Z29" i="14" s="1"/>
  <c r="R5" i="14"/>
  <c r="J5" i="14"/>
  <c r="J29" i="14" s="1"/>
  <c r="J74" i="26"/>
  <c r="J75" i="26" s="1"/>
  <c r="H94" i="29"/>
  <c r="P94" i="29"/>
  <c r="X94" i="29"/>
  <c r="AF94" i="29"/>
  <c r="F28" i="31"/>
  <c r="D230" i="29"/>
  <c r="AE188" i="14"/>
  <c r="AE504" i="29" s="1"/>
  <c r="AE518" i="29" s="1"/>
  <c r="W188" i="14"/>
  <c r="W504" i="29" s="1"/>
  <c r="W518" i="29" s="1"/>
  <c r="O188" i="14"/>
  <c r="O504" i="29" s="1"/>
  <c r="O518" i="29" s="1"/>
  <c r="G188" i="14"/>
  <c r="G518" i="29" s="1"/>
  <c r="AD188" i="14"/>
  <c r="AD504" i="29" s="1"/>
  <c r="AD518" i="29" s="1"/>
  <c r="V188" i="14"/>
  <c r="V504" i="29" s="1"/>
  <c r="V518" i="29" s="1"/>
  <c r="N188" i="14"/>
  <c r="N504" i="29" s="1"/>
  <c r="N518" i="29" s="1"/>
  <c r="F188" i="14"/>
  <c r="F504" i="29" s="1"/>
  <c r="F518" i="29" s="1"/>
  <c r="AC188" i="14"/>
  <c r="AC504" i="29" s="1"/>
  <c r="AC518" i="29" s="1"/>
  <c r="U188" i="14"/>
  <c r="U504" i="29" s="1"/>
  <c r="U518" i="29" s="1"/>
  <c r="M188" i="14"/>
  <c r="M504" i="29" s="1"/>
  <c r="M518" i="29" s="1"/>
  <c r="E504" i="29"/>
  <c r="E518" i="29" s="1"/>
  <c r="AB188" i="14"/>
  <c r="AB504" i="29" s="1"/>
  <c r="AB518" i="29" s="1"/>
  <c r="T188" i="14"/>
  <c r="T504" i="29" s="1"/>
  <c r="T518" i="29" s="1"/>
  <c r="L188" i="14"/>
  <c r="L504" i="29" s="1"/>
  <c r="L518" i="29" s="1"/>
  <c r="AA188" i="14"/>
  <c r="AA504" i="29" s="1"/>
  <c r="AA518" i="29" s="1"/>
  <c r="S188" i="14"/>
  <c r="S504" i="29" s="1"/>
  <c r="S518" i="29" s="1"/>
  <c r="K188" i="14"/>
  <c r="K504" i="29" s="1"/>
  <c r="K518" i="29" s="1"/>
  <c r="AH188" i="14"/>
  <c r="AH504" i="29" s="1"/>
  <c r="AH518" i="29" s="1"/>
  <c r="Z188" i="14"/>
  <c r="Z504" i="29" s="1"/>
  <c r="Z518" i="29" s="1"/>
  <c r="R188" i="14"/>
  <c r="R504" i="29" s="1"/>
  <c r="R518" i="29" s="1"/>
  <c r="J188" i="14"/>
  <c r="J504" i="29" s="1"/>
  <c r="J518" i="29" s="1"/>
  <c r="AG188" i="14"/>
  <c r="AG504" i="29" s="1"/>
  <c r="AG518" i="29" s="1"/>
  <c r="Y188" i="14"/>
  <c r="Y504" i="29" s="1"/>
  <c r="Y518" i="29" s="1"/>
  <c r="Q188" i="14"/>
  <c r="Q504" i="29" s="1"/>
  <c r="Q518" i="29" s="1"/>
  <c r="I188" i="14"/>
  <c r="I504" i="29" s="1"/>
  <c r="I518" i="29" s="1"/>
  <c r="AF188" i="14"/>
  <c r="AF504" i="29" s="1"/>
  <c r="AF518" i="29" s="1"/>
  <c r="X188" i="14"/>
  <c r="X504" i="29" s="1"/>
  <c r="X518" i="29" s="1"/>
  <c r="P188" i="14"/>
  <c r="P504" i="29" s="1"/>
  <c r="P518" i="29" s="1"/>
  <c r="H188" i="14"/>
  <c r="H504" i="29" s="1"/>
  <c r="H518" i="29" s="1"/>
  <c r="I94" i="29"/>
  <c r="Q94" i="29"/>
  <c r="Y94" i="29"/>
  <c r="AG94" i="29"/>
  <c r="B52" i="14"/>
  <c r="B51" i="14"/>
  <c r="E189" i="14"/>
  <c r="D121" i="14"/>
  <c r="B46" i="14"/>
  <c r="B45" i="14"/>
  <c r="B54" i="14"/>
  <c r="B53" i="14"/>
  <c r="J77" i="26"/>
  <c r="J78" i="26" s="1"/>
  <c r="J94" i="29"/>
  <c r="R94" i="29"/>
  <c r="Z94" i="29"/>
  <c r="AH94" i="29"/>
  <c r="AA6" i="14"/>
  <c r="AA21" i="14" s="1"/>
  <c r="AA11" i="29" s="1"/>
  <c r="S6" i="14"/>
  <c r="S21" i="14" s="1"/>
  <c r="S11" i="29" s="1"/>
  <c r="K6" i="14"/>
  <c r="K21" i="14" s="1"/>
  <c r="K11" i="29" s="1"/>
  <c r="AH6" i="14"/>
  <c r="AH21" i="14" s="1"/>
  <c r="AH11" i="29" s="1"/>
  <c r="Z6" i="14"/>
  <c r="Z21" i="14" s="1"/>
  <c r="Z11" i="29" s="1"/>
  <c r="R6" i="14"/>
  <c r="R21" i="14" s="1"/>
  <c r="R11" i="29" s="1"/>
  <c r="J6" i="14"/>
  <c r="J21" i="14" s="1"/>
  <c r="J11" i="29" s="1"/>
  <c r="AG6" i="14"/>
  <c r="AG21" i="14" s="1"/>
  <c r="AG11" i="29" s="1"/>
  <c r="Y6" i="14"/>
  <c r="Y21" i="14" s="1"/>
  <c r="Y11" i="29" s="1"/>
  <c r="Q6" i="14"/>
  <c r="Q21" i="14" s="1"/>
  <c r="Q11" i="29" s="1"/>
  <c r="I6" i="14"/>
  <c r="I21" i="14" s="1"/>
  <c r="I11" i="29" s="1"/>
  <c r="AF6" i="14"/>
  <c r="AF21" i="14" s="1"/>
  <c r="AF11" i="29" s="1"/>
  <c r="X6" i="14"/>
  <c r="X21" i="14" s="1"/>
  <c r="X11" i="29" s="1"/>
  <c r="P6" i="14"/>
  <c r="P21" i="14" s="1"/>
  <c r="P11" i="29" s="1"/>
  <c r="H6" i="14"/>
  <c r="H21" i="14" s="1"/>
  <c r="H11" i="29" s="1"/>
  <c r="AE6" i="14"/>
  <c r="AE21" i="14" s="1"/>
  <c r="AE11" i="29" s="1"/>
  <c r="W6" i="14"/>
  <c r="W21" i="14" s="1"/>
  <c r="W11" i="29" s="1"/>
  <c r="O6" i="14"/>
  <c r="O21" i="14" s="1"/>
  <c r="O11" i="29" s="1"/>
  <c r="G6" i="14"/>
  <c r="G21" i="14" s="1"/>
  <c r="G11" i="29" s="1"/>
  <c r="AD6" i="14"/>
  <c r="AD21" i="14" s="1"/>
  <c r="AD11" i="29" s="1"/>
  <c r="V6" i="14"/>
  <c r="V21" i="14" s="1"/>
  <c r="V11" i="29" s="1"/>
  <c r="N6" i="14"/>
  <c r="N21" i="14" s="1"/>
  <c r="N11" i="29" s="1"/>
  <c r="F6" i="14"/>
  <c r="F21" i="14" s="1"/>
  <c r="F11" i="29" s="1"/>
  <c r="AC6" i="14"/>
  <c r="AC21" i="14" s="1"/>
  <c r="AC11" i="29" s="1"/>
  <c r="U6" i="14"/>
  <c r="U21" i="14" s="1"/>
  <c r="U11" i="29" s="1"/>
  <c r="M6" i="14"/>
  <c r="M21" i="14" s="1"/>
  <c r="M11" i="29" s="1"/>
  <c r="E6" i="14"/>
  <c r="E21" i="14" s="1"/>
  <c r="E11" i="29" s="1"/>
  <c r="T6" i="14"/>
  <c r="T21" i="14" s="1"/>
  <c r="T11" i="29" s="1"/>
  <c r="L6" i="14"/>
  <c r="L21" i="14" s="1"/>
  <c r="L11" i="29" s="1"/>
  <c r="AB6" i="14"/>
  <c r="AB21" i="14" s="1"/>
  <c r="AB11" i="29" s="1"/>
  <c r="B50" i="14"/>
  <c r="B48" i="14"/>
  <c r="B47" i="14"/>
  <c r="AA192" i="14"/>
  <c r="S192" i="14"/>
  <c r="K192" i="14"/>
  <c r="AH192" i="14"/>
  <c r="Z192" i="14"/>
  <c r="R192" i="14"/>
  <c r="J192" i="14"/>
  <c r="AG192" i="14"/>
  <c r="Y192" i="14"/>
  <c r="Q192" i="14"/>
  <c r="I192" i="14"/>
  <c r="AF192" i="14"/>
  <c r="X192" i="14"/>
  <c r="P192" i="14"/>
  <c r="H192" i="14"/>
  <c r="AE192" i="14"/>
  <c r="W192" i="14"/>
  <c r="O192" i="14"/>
  <c r="G192" i="14"/>
  <c r="AD192" i="14"/>
  <c r="V192" i="14"/>
  <c r="N192" i="14"/>
  <c r="F192" i="14"/>
  <c r="AC192" i="14"/>
  <c r="U192" i="14"/>
  <c r="M192" i="14"/>
  <c r="E192" i="14"/>
  <c r="E194" i="14" s="1"/>
  <c r="AB192" i="14"/>
  <c r="T192" i="14"/>
  <c r="L192" i="14"/>
  <c r="L94" i="29"/>
  <c r="T94" i="29"/>
  <c r="AB94" i="29"/>
  <c r="F197" i="14"/>
  <c r="B33" i="14"/>
  <c r="B208" i="14"/>
  <c r="B240" i="14" s="1"/>
  <c r="F28" i="14"/>
  <c r="N28" i="14"/>
  <c r="V28" i="14"/>
  <c r="AD28" i="14"/>
  <c r="I31" i="14"/>
  <c r="Q31" i="14"/>
  <c r="Y31" i="14"/>
  <c r="AG31" i="14"/>
  <c r="AB34" i="14"/>
  <c r="T34" i="14"/>
  <c r="L34" i="14"/>
  <c r="AA34" i="14"/>
  <c r="S34" i="14"/>
  <c r="K34" i="14"/>
  <c r="AH34" i="14"/>
  <c r="Z34" i="14"/>
  <c r="R34" i="14"/>
  <c r="J34" i="14"/>
  <c r="AG34" i="14"/>
  <c r="Y34" i="14"/>
  <c r="Q34" i="14"/>
  <c r="I34" i="14"/>
  <c r="AF34" i="14"/>
  <c r="X34" i="14"/>
  <c r="P34" i="14"/>
  <c r="H34" i="14"/>
  <c r="AE34" i="14"/>
  <c r="W34" i="14"/>
  <c r="O34" i="14"/>
  <c r="G34" i="14"/>
  <c r="AD34" i="14"/>
  <c r="V34" i="14"/>
  <c r="N34" i="14"/>
  <c r="F34" i="14"/>
  <c r="G28" i="14"/>
  <c r="O28" i="14"/>
  <c r="W28" i="14"/>
  <c r="AE28" i="14"/>
  <c r="J31" i="14"/>
  <c r="R31" i="14"/>
  <c r="Z31" i="14"/>
  <c r="AH31" i="14"/>
  <c r="U34" i="14"/>
  <c r="H28" i="14"/>
  <c r="P28" i="14"/>
  <c r="X28" i="14"/>
  <c r="AF28" i="14"/>
  <c r="K31" i="14"/>
  <c r="S31" i="14"/>
  <c r="AA31" i="14"/>
  <c r="AC34" i="14"/>
  <c r="B36" i="14"/>
  <c r="B209" i="14"/>
  <c r="B241" i="14" s="1"/>
  <c r="I28" i="14"/>
  <c r="Q28" i="14"/>
  <c r="Y28" i="14"/>
  <c r="AG28" i="14"/>
  <c r="L31" i="14"/>
  <c r="T31" i="14"/>
  <c r="AB31" i="14"/>
  <c r="AE37" i="14"/>
  <c r="W37" i="14"/>
  <c r="O37" i="14"/>
  <c r="G37" i="14"/>
  <c r="AD37" i="14"/>
  <c r="V37" i="14"/>
  <c r="N37" i="14"/>
  <c r="F37" i="14"/>
  <c r="AC37" i="14"/>
  <c r="U37" i="14"/>
  <c r="M37" i="14"/>
  <c r="E37" i="14"/>
  <c r="AB37" i="14"/>
  <c r="T37" i="14"/>
  <c r="L37" i="14"/>
  <c r="AA37" i="14"/>
  <c r="S37" i="14"/>
  <c r="K37" i="14"/>
  <c r="AH37" i="14"/>
  <c r="Z37" i="14"/>
  <c r="R37" i="14"/>
  <c r="J37" i="14"/>
  <c r="AG37" i="14"/>
  <c r="Y37" i="14"/>
  <c r="Q37" i="14"/>
  <c r="I37" i="14"/>
  <c r="J28" i="14"/>
  <c r="R28" i="14"/>
  <c r="Z28" i="14"/>
  <c r="AH28" i="14"/>
  <c r="E31" i="14"/>
  <c r="M31" i="14"/>
  <c r="U31" i="14"/>
  <c r="AC31" i="14"/>
  <c r="H37" i="14"/>
  <c r="K28" i="14"/>
  <c r="S28" i="14"/>
  <c r="AA28" i="14"/>
  <c r="F31" i="14"/>
  <c r="N31" i="14"/>
  <c r="V31" i="14"/>
  <c r="AD31" i="14"/>
  <c r="P37" i="14"/>
  <c r="B56" i="14"/>
  <c r="B55" i="14"/>
  <c r="L28" i="14"/>
  <c r="T28" i="14"/>
  <c r="AB28" i="14"/>
  <c r="G31" i="14"/>
  <c r="O31" i="14"/>
  <c r="W31" i="14"/>
  <c r="AE31" i="14"/>
  <c r="X37" i="14"/>
  <c r="E28" i="14"/>
  <c r="M28" i="14"/>
  <c r="U28" i="14"/>
  <c r="H31" i="14"/>
  <c r="P31" i="14"/>
  <c r="X31" i="14"/>
  <c r="E34" i="14"/>
  <c r="AF37" i="14"/>
  <c r="M5" i="54"/>
  <c r="M7" i="54"/>
  <c r="M9" i="54"/>
  <c r="M11" i="54"/>
  <c r="N13" i="54"/>
  <c r="M4" i="54"/>
  <c r="M6" i="54"/>
  <c r="M8" i="54"/>
  <c r="M10" i="54"/>
  <c r="K18" i="31"/>
  <c r="O19" i="31"/>
  <c r="D180" i="29" s="1"/>
  <c r="I23" i="31"/>
  <c r="D219" i="29" s="1"/>
  <c r="N26" i="31"/>
  <c r="J27" i="31"/>
  <c r="J29" i="31"/>
  <c r="H30" i="31"/>
  <c r="N31" i="31"/>
  <c r="L34" i="31"/>
  <c r="H35" i="31"/>
  <c r="J42" i="31"/>
  <c r="N43" i="31"/>
  <c r="L25" i="54"/>
  <c r="K25" i="54"/>
  <c r="L34" i="54"/>
  <c r="K34" i="54"/>
  <c r="L22" i="54"/>
  <c r="K22" i="54"/>
  <c r="L31" i="54"/>
  <c r="K31" i="54"/>
  <c r="N36" i="54"/>
  <c r="N38" i="54"/>
  <c r="N40" i="54"/>
  <c r="N42" i="54"/>
  <c r="N44" i="54"/>
  <c r="M18" i="31"/>
  <c r="I19" i="31"/>
  <c r="D174" i="29" s="1"/>
  <c r="K23" i="31"/>
  <c r="D221" i="29" s="1"/>
  <c r="H26" i="31"/>
  <c r="L27" i="31"/>
  <c r="L29" i="31"/>
  <c r="J30" i="31"/>
  <c r="H31" i="31"/>
  <c r="N34" i="31"/>
  <c r="J35" i="31"/>
  <c r="L42" i="31"/>
  <c r="H43" i="31"/>
  <c r="K13" i="54"/>
  <c r="M14" i="54"/>
  <c r="L19" i="54"/>
  <c r="K19" i="54"/>
  <c r="L27" i="54"/>
  <c r="K27" i="54"/>
  <c r="N18" i="31"/>
  <c r="J19" i="31"/>
  <c r="D175" i="29" s="1"/>
  <c r="L23" i="31"/>
  <c r="D222" i="29" s="1"/>
  <c r="I26" i="31"/>
  <c r="M27" i="31"/>
  <c r="M29" i="31"/>
  <c r="K30" i="31"/>
  <c r="I31" i="31"/>
  <c r="O34" i="31"/>
  <c r="K35" i="31"/>
  <c r="M42" i="31"/>
  <c r="I43" i="31"/>
  <c r="K12" i="54"/>
  <c r="L24" i="54"/>
  <c r="K24" i="54"/>
  <c r="L33" i="54"/>
  <c r="K33" i="54"/>
  <c r="O18" i="31"/>
  <c r="K19" i="31"/>
  <c r="D176" i="29" s="1"/>
  <c r="M23" i="31"/>
  <c r="D223" i="29" s="1"/>
  <c r="J26" i="31"/>
  <c r="N27" i="31"/>
  <c r="N29" i="31"/>
  <c r="L30" i="31"/>
  <c r="J31" i="31"/>
  <c r="H34" i="31"/>
  <c r="L35" i="31"/>
  <c r="N42" i="31"/>
  <c r="J43" i="31"/>
  <c r="L12" i="54"/>
  <c r="L21" i="54"/>
  <c r="K21" i="54"/>
  <c r="L30" i="54"/>
  <c r="K30" i="54"/>
  <c r="M15" i="54"/>
  <c r="L17" i="54"/>
  <c r="K17" i="54"/>
  <c r="L26" i="54"/>
  <c r="K26" i="54"/>
  <c r="L35" i="54"/>
  <c r="K35" i="54"/>
  <c r="N37" i="54"/>
  <c r="N39" i="54"/>
  <c r="N41" i="54"/>
  <c r="N43" i="54"/>
  <c r="N45" i="54"/>
  <c r="I18" i="31"/>
  <c r="M19" i="31"/>
  <c r="D178" i="29" s="1"/>
  <c r="O23" i="31"/>
  <c r="D225" i="29" s="1"/>
  <c r="L26" i="31"/>
  <c r="H27" i="31"/>
  <c r="H29" i="31"/>
  <c r="N30" i="31"/>
  <c r="L31" i="31"/>
  <c r="J34" i="31"/>
  <c r="N35" i="31"/>
  <c r="H42" i="31"/>
  <c r="L15" i="54"/>
  <c r="L23" i="54"/>
  <c r="K23" i="54"/>
  <c r="L32" i="54"/>
  <c r="K32" i="54"/>
  <c r="L16" i="54"/>
  <c r="K16" i="54"/>
  <c r="L20" i="54"/>
  <c r="K20" i="54"/>
  <c r="L29" i="54"/>
  <c r="K29" i="54"/>
  <c r="K36" i="54"/>
  <c r="K37" i="54"/>
  <c r="K38" i="54"/>
  <c r="K39" i="54"/>
  <c r="K40" i="54"/>
  <c r="K41" i="54"/>
  <c r="K42" i="54"/>
  <c r="K43" i="54"/>
  <c r="K44" i="54"/>
  <c r="K45" i="54"/>
  <c r="B34" i="51"/>
  <c r="AF48" i="14"/>
  <c r="X48" i="14"/>
  <c r="P48" i="14"/>
  <c r="H48" i="14"/>
  <c r="AE48" i="14"/>
  <c r="W48" i="14"/>
  <c r="O48" i="14"/>
  <c r="G48" i="14"/>
  <c r="AD48" i="14"/>
  <c r="V48" i="14"/>
  <c r="N48" i="14"/>
  <c r="F48" i="14"/>
  <c r="AC48" i="14"/>
  <c r="U48" i="14"/>
  <c r="M48" i="14"/>
  <c r="E48" i="14"/>
  <c r="AB48" i="14"/>
  <c r="T48" i="14"/>
  <c r="L48" i="14"/>
  <c r="AA48" i="14"/>
  <c r="S48" i="14"/>
  <c r="K48" i="14"/>
  <c r="AG48" i="14"/>
  <c r="Y48" i="14"/>
  <c r="Q48" i="14"/>
  <c r="I48" i="14"/>
  <c r="AH48" i="14"/>
  <c r="Z48" i="14"/>
  <c r="R48" i="14"/>
  <c r="J48" i="14"/>
  <c r="AF56" i="14"/>
  <c r="X56" i="14"/>
  <c r="P56" i="14"/>
  <c r="H56" i="14"/>
  <c r="AE56" i="14"/>
  <c r="W56" i="14"/>
  <c r="O56" i="14"/>
  <c r="G56" i="14"/>
  <c r="AD56" i="14"/>
  <c r="V56" i="14"/>
  <c r="N56" i="14"/>
  <c r="F56" i="14"/>
  <c r="AC56" i="14"/>
  <c r="U56" i="14"/>
  <c r="M56" i="14"/>
  <c r="E56" i="14"/>
  <c r="AB56" i="14"/>
  <c r="T56" i="14"/>
  <c r="L56" i="14"/>
  <c r="AA56" i="14"/>
  <c r="S56" i="14"/>
  <c r="K56" i="14"/>
  <c r="AG56" i="14"/>
  <c r="Y56" i="14"/>
  <c r="Q56" i="14"/>
  <c r="I56" i="14"/>
  <c r="AH56" i="14"/>
  <c r="Z56" i="14"/>
  <c r="R56" i="14"/>
  <c r="J56" i="14"/>
  <c r="AF50" i="14"/>
  <c r="X50" i="14"/>
  <c r="P50" i="14"/>
  <c r="H50" i="14"/>
  <c r="AE50" i="14"/>
  <c r="W50" i="14"/>
  <c r="O50" i="14"/>
  <c r="G50" i="14"/>
  <c r="AD50" i="14"/>
  <c r="V50" i="14"/>
  <c r="N50" i="14"/>
  <c r="F50" i="14"/>
  <c r="AC50" i="14"/>
  <c r="U50" i="14"/>
  <c r="M50" i="14"/>
  <c r="E50" i="14"/>
  <c r="AB50" i="14"/>
  <c r="T50" i="14"/>
  <c r="L50" i="14"/>
  <c r="AA50" i="14"/>
  <c r="S50" i="14"/>
  <c r="K50" i="14"/>
  <c r="AG50" i="14"/>
  <c r="Y50" i="14"/>
  <c r="Q50" i="14"/>
  <c r="I50" i="14"/>
  <c r="AH50" i="14"/>
  <c r="Z50" i="14"/>
  <c r="R50" i="14"/>
  <c r="J50" i="14"/>
  <c r="AF46" i="14"/>
  <c r="X46" i="14"/>
  <c r="P46" i="14"/>
  <c r="H46" i="14"/>
  <c r="AE46" i="14"/>
  <c r="W46" i="14"/>
  <c r="O46" i="14"/>
  <c r="G46" i="14"/>
  <c r="AD46" i="14"/>
  <c r="V46" i="14"/>
  <c r="N46" i="14"/>
  <c r="F46" i="14"/>
  <c r="AC46" i="14"/>
  <c r="U46" i="14"/>
  <c r="M46" i="14"/>
  <c r="E46" i="14"/>
  <c r="AB46" i="14"/>
  <c r="T46" i="14"/>
  <c r="L46" i="14"/>
  <c r="AA46" i="14"/>
  <c r="S46" i="14"/>
  <c r="K46" i="14"/>
  <c r="AG46" i="14"/>
  <c r="Y46" i="14"/>
  <c r="Q46" i="14"/>
  <c r="I46" i="14"/>
  <c r="J46" i="14"/>
  <c r="AH46" i="14"/>
  <c r="Z46" i="14"/>
  <c r="R46" i="14"/>
  <c r="AF54" i="14"/>
  <c r="X54" i="14"/>
  <c r="P54" i="14"/>
  <c r="H54" i="14"/>
  <c r="AE54" i="14"/>
  <c r="W54" i="14"/>
  <c r="O54" i="14"/>
  <c r="G54" i="14"/>
  <c r="AD54" i="14"/>
  <c r="V54" i="14"/>
  <c r="N54" i="14"/>
  <c r="F54" i="14"/>
  <c r="AC54" i="14"/>
  <c r="U54" i="14"/>
  <c r="M54" i="14"/>
  <c r="E54" i="14"/>
  <c r="AB54" i="14"/>
  <c r="T54" i="14"/>
  <c r="L54" i="14"/>
  <c r="AA54" i="14"/>
  <c r="S54" i="14"/>
  <c r="K54" i="14"/>
  <c r="AG54" i="14"/>
  <c r="Y54" i="14"/>
  <c r="Q54" i="14"/>
  <c r="I54" i="14"/>
  <c r="AH54" i="14"/>
  <c r="Z54" i="14"/>
  <c r="R54" i="14"/>
  <c r="J54" i="14"/>
  <c r="AF52" i="14"/>
  <c r="X52" i="14"/>
  <c r="P52" i="14"/>
  <c r="H52" i="14"/>
  <c r="AE52" i="14"/>
  <c r="W52" i="14"/>
  <c r="O52" i="14"/>
  <c r="G52" i="14"/>
  <c r="AD52" i="14"/>
  <c r="V52" i="14"/>
  <c r="N52" i="14"/>
  <c r="F52" i="14"/>
  <c r="AC52" i="14"/>
  <c r="U52" i="14"/>
  <c r="M52" i="14"/>
  <c r="E52" i="14"/>
  <c r="AB52" i="14"/>
  <c r="T52" i="14"/>
  <c r="L52" i="14"/>
  <c r="AA52" i="14"/>
  <c r="S52" i="14"/>
  <c r="K52" i="14"/>
  <c r="AG52" i="14"/>
  <c r="Y52" i="14"/>
  <c r="Q52" i="14"/>
  <c r="I52" i="14"/>
  <c r="R52" i="14"/>
  <c r="J52" i="14"/>
  <c r="AH52" i="14"/>
  <c r="Z52" i="14"/>
  <c r="D136" i="51"/>
  <c r="D138" i="51"/>
  <c r="B72" i="51"/>
  <c r="F137" i="51"/>
  <c r="D140" i="51"/>
  <c r="D143" i="51"/>
  <c r="D145" i="51"/>
  <c r="D147" i="51"/>
  <c r="D148" i="51"/>
  <c r="B17" i="51"/>
  <c r="D34" i="51"/>
  <c r="G136" i="51"/>
  <c r="G137" i="51"/>
  <c r="F139" i="51"/>
  <c r="E140" i="51"/>
  <c r="E141" i="51"/>
  <c r="E142" i="51"/>
  <c r="E143" i="51"/>
  <c r="E144" i="51"/>
  <c r="E145" i="51"/>
  <c r="E146" i="51"/>
  <c r="E147" i="51"/>
  <c r="E148" i="51"/>
  <c r="D137" i="51"/>
  <c r="E136" i="51"/>
  <c r="E138" i="51"/>
  <c r="H136" i="51"/>
  <c r="H137" i="51"/>
  <c r="F140" i="51"/>
  <c r="F141" i="51"/>
  <c r="F142" i="51"/>
  <c r="F143" i="51"/>
  <c r="F144" i="51"/>
  <c r="F145" i="51"/>
  <c r="F146" i="51"/>
  <c r="F147" i="51"/>
  <c r="F148" i="51"/>
  <c r="I136" i="51"/>
  <c r="I137" i="51"/>
  <c r="E137" i="51"/>
  <c r="D139" i="51"/>
  <c r="F138" i="51"/>
  <c r="D142" i="51"/>
  <c r="B136" i="51"/>
  <c r="B137" i="51"/>
  <c r="B138" i="51"/>
  <c r="D141" i="51"/>
  <c r="D144" i="51"/>
  <c r="C136" i="51"/>
  <c r="C137" i="51"/>
  <c r="R95" i="29" l="1"/>
  <c r="R96" i="29"/>
  <c r="J65" i="29"/>
  <c r="J64" i="29"/>
  <c r="J123" i="29"/>
  <c r="J124" i="29"/>
  <c r="Z95" i="29"/>
  <c r="Z96" i="29"/>
  <c r="AF96" i="29"/>
  <c r="AF95" i="29"/>
  <c r="AC95" i="29"/>
  <c r="AC96" i="29"/>
  <c r="V96" i="29"/>
  <c r="V95" i="29"/>
  <c r="J110" i="29"/>
  <c r="J109" i="29"/>
  <c r="O109" i="29"/>
  <c r="O110" i="29"/>
  <c r="N65" i="29"/>
  <c r="N64" i="29"/>
  <c r="Z65" i="29"/>
  <c r="Z64" i="29"/>
  <c r="S65" i="29"/>
  <c r="S64" i="29"/>
  <c r="R79" i="29"/>
  <c r="R78" i="29"/>
  <c r="AG78" i="29"/>
  <c r="AG79" i="29"/>
  <c r="X79" i="29"/>
  <c r="X78" i="29"/>
  <c r="T79" i="29"/>
  <c r="T78" i="29"/>
  <c r="W123" i="29"/>
  <c r="W124" i="29"/>
  <c r="R123" i="29"/>
  <c r="R124" i="29"/>
  <c r="P124" i="29"/>
  <c r="P123" i="29"/>
  <c r="F96" i="29"/>
  <c r="F95" i="29"/>
  <c r="AD110" i="29"/>
  <c r="AD109" i="29"/>
  <c r="J95" i="29"/>
  <c r="J96" i="29"/>
  <c r="P96" i="29"/>
  <c r="P95" i="29"/>
  <c r="E95" i="29"/>
  <c r="E96" i="29"/>
  <c r="S96" i="29"/>
  <c r="S95" i="29"/>
  <c r="I109" i="29"/>
  <c r="I110" i="29"/>
  <c r="F110" i="29"/>
  <c r="F109" i="29"/>
  <c r="Q110" i="29"/>
  <c r="Q109" i="29"/>
  <c r="N110" i="29"/>
  <c r="N109" i="29"/>
  <c r="AC65" i="29"/>
  <c r="AC64" i="29"/>
  <c r="Y64" i="29"/>
  <c r="Y65" i="29"/>
  <c r="R65" i="29"/>
  <c r="R64" i="29"/>
  <c r="P65" i="29"/>
  <c r="P64" i="29"/>
  <c r="Q78" i="29"/>
  <c r="Q79" i="29"/>
  <c r="H79" i="29"/>
  <c r="H78" i="29"/>
  <c r="W64" i="29"/>
  <c r="W65" i="29"/>
  <c r="Y124" i="29"/>
  <c r="Y123" i="29"/>
  <c r="G123" i="29"/>
  <c r="G124" i="29"/>
  <c r="M123" i="29"/>
  <c r="M124" i="29"/>
  <c r="H96" i="29"/>
  <c r="H95" i="29"/>
  <c r="AA96" i="29"/>
  <c r="AA95" i="29"/>
  <c r="X110" i="29"/>
  <c r="X109" i="29"/>
  <c r="AB124" i="29"/>
  <c r="AB123" i="29"/>
  <c r="M64" i="29"/>
  <c r="M65" i="29"/>
  <c r="I64" i="29"/>
  <c r="I65" i="29"/>
  <c r="V65" i="29"/>
  <c r="V64" i="29"/>
  <c r="F64" i="29"/>
  <c r="F65" i="29"/>
  <c r="E110" i="29"/>
  <c r="E109" i="29"/>
  <c r="I78" i="29"/>
  <c r="I79" i="29"/>
  <c r="AE79" i="29"/>
  <c r="AE78" i="29"/>
  <c r="AA78" i="29"/>
  <c r="AA79" i="29"/>
  <c r="Q123" i="29"/>
  <c r="Q124" i="29"/>
  <c r="AD123" i="29"/>
  <c r="AD124" i="29"/>
  <c r="AA124" i="29"/>
  <c r="AA123" i="29"/>
  <c r="AE64" i="29"/>
  <c r="AE65" i="29"/>
  <c r="AC123" i="29"/>
  <c r="AC124" i="29"/>
  <c r="AC78" i="29"/>
  <c r="AC79" i="29"/>
  <c r="V110" i="29"/>
  <c r="V109" i="29"/>
  <c r="Y78" i="29"/>
  <c r="Y79" i="29"/>
  <c r="AG96" i="29"/>
  <c r="AG95" i="29"/>
  <c r="AE95" i="29"/>
  <c r="AE96" i="29"/>
  <c r="K96" i="29"/>
  <c r="K95" i="29"/>
  <c r="H110" i="29"/>
  <c r="H109" i="29"/>
  <c r="T109" i="29"/>
  <c r="T110" i="29"/>
  <c r="AF110" i="29"/>
  <c r="AF109" i="29"/>
  <c r="L124" i="29"/>
  <c r="L123" i="29"/>
  <c r="AB64" i="29"/>
  <c r="AB65" i="29"/>
  <c r="H65" i="29"/>
  <c r="H64" i="29"/>
  <c r="AG64" i="29"/>
  <c r="AG65" i="29"/>
  <c r="X65" i="29"/>
  <c r="X64" i="29"/>
  <c r="AF79" i="29"/>
  <c r="AF78" i="29"/>
  <c r="AD78" i="29"/>
  <c r="AD79" i="29"/>
  <c r="W79" i="29"/>
  <c r="W78" i="29"/>
  <c r="S78" i="29"/>
  <c r="S79" i="29"/>
  <c r="I124" i="29"/>
  <c r="I123" i="29"/>
  <c r="V123" i="29"/>
  <c r="V124" i="29"/>
  <c r="S124" i="29"/>
  <c r="S123" i="29"/>
  <c r="O64" i="29"/>
  <c r="O65" i="29"/>
  <c r="U124" i="29"/>
  <c r="U123" i="29"/>
  <c r="E78" i="29"/>
  <c r="E79" i="29"/>
  <c r="AB96" i="29"/>
  <c r="AB95" i="29"/>
  <c r="Y95" i="29"/>
  <c r="Y96" i="29"/>
  <c r="O95" i="29"/>
  <c r="O96" i="29"/>
  <c r="W95" i="29"/>
  <c r="W96" i="29"/>
  <c r="AA110" i="29"/>
  <c r="AA109" i="29"/>
  <c r="S110" i="29"/>
  <c r="S109" i="29"/>
  <c r="P109" i="29"/>
  <c r="P110" i="29"/>
  <c r="AC110" i="29"/>
  <c r="AC109" i="29"/>
  <c r="L65" i="29"/>
  <c r="L64" i="29"/>
  <c r="U64" i="29"/>
  <c r="U65" i="29"/>
  <c r="Q64" i="29"/>
  <c r="Q65" i="29"/>
  <c r="AF65" i="29"/>
  <c r="AF64" i="29"/>
  <c r="U110" i="29"/>
  <c r="U109" i="29"/>
  <c r="N78" i="29"/>
  <c r="N79" i="29"/>
  <c r="F79" i="29"/>
  <c r="F78" i="29"/>
  <c r="O79" i="29"/>
  <c r="O78" i="29"/>
  <c r="K78" i="29"/>
  <c r="K79" i="29"/>
  <c r="N123" i="29"/>
  <c r="N124" i="29"/>
  <c r="K124" i="29"/>
  <c r="K123" i="29"/>
  <c r="G65" i="29"/>
  <c r="G64" i="29"/>
  <c r="E124" i="29"/>
  <c r="E123" i="29"/>
  <c r="M78" i="29"/>
  <c r="M79" i="29"/>
  <c r="U95" i="29"/>
  <c r="U96" i="29"/>
  <c r="AG110" i="29"/>
  <c r="AG109" i="29"/>
  <c r="AH65" i="29"/>
  <c r="AH64" i="29"/>
  <c r="J79" i="29"/>
  <c r="J78" i="29"/>
  <c r="L79" i="29"/>
  <c r="L78" i="29"/>
  <c r="O123" i="29"/>
  <c r="O124" i="29"/>
  <c r="T96" i="29"/>
  <c r="T95" i="29"/>
  <c r="Q96" i="29"/>
  <c r="Q95" i="29"/>
  <c r="D231" i="29"/>
  <c r="D232" i="29"/>
  <c r="AD96" i="29"/>
  <c r="AD95" i="29"/>
  <c r="G95" i="29"/>
  <c r="G96" i="29"/>
  <c r="K110" i="29"/>
  <c r="K109" i="29"/>
  <c r="W110" i="29"/>
  <c r="W109" i="29"/>
  <c r="AH109" i="29"/>
  <c r="AH110" i="29"/>
  <c r="M110" i="29"/>
  <c r="M109" i="29"/>
  <c r="AA64" i="29"/>
  <c r="AA65" i="29"/>
  <c r="E64" i="29"/>
  <c r="E65" i="29"/>
  <c r="AH79" i="29"/>
  <c r="AH78" i="29"/>
  <c r="G79" i="29"/>
  <c r="G78" i="29"/>
  <c r="AB109" i="29"/>
  <c r="AB110" i="29"/>
  <c r="F123" i="29"/>
  <c r="F124" i="29"/>
  <c r="AH123" i="29"/>
  <c r="AH124" i="29"/>
  <c r="AF124" i="29"/>
  <c r="AF123" i="29"/>
  <c r="U79" i="29"/>
  <c r="U78" i="29"/>
  <c r="X96" i="29"/>
  <c r="X95" i="29"/>
  <c r="M95" i="29"/>
  <c r="M96" i="29"/>
  <c r="Y110" i="29"/>
  <c r="Y109" i="29"/>
  <c r="P78" i="29"/>
  <c r="P79" i="29"/>
  <c r="AG123" i="29"/>
  <c r="AG124" i="29"/>
  <c r="T123" i="29"/>
  <c r="T124" i="29"/>
  <c r="H124" i="29"/>
  <c r="H123" i="29"/>
  <c r="L95" i="29"/>
  <c r="L96" i="29"/>
  <c r="AH95" i="29"/>
  <c r="AH96" i="29"/>
  <c r="I96" i="29"/>
  <c r="I95" i="29"/>
  <c r="D291" i="29"/>
  <c r="D290" i="29"/>
  <c r="D187" i="29"/>
  <c r="D186" i="29"/>
  <c r="D435" i="29" s="1"/>
  <c r="N96" i="29"/>
  <c r="N95" i="29"/>
  <c r="Z110" i="29"/>
  <c r="Z109" i="29"/>
  <c r="G109" i="29"/>
  <c r="G110" i="29"/>
  <c r="R110" i="29"/>
  <c r="R109" i="29"/>
  <c r="AE109" i="29"/>
  <c r="AE110" i="29"/>
  <c r="AD65" i="29"/>
  <c r="AD64" i="29"/>
  <c r="K64" i="29"/>
  <c r="K65" i="29"/>
  <c r="T64" i="29"/>
  <c r="T65" i="29"/>
  <c r="Z79" i="29"/>
  <c r="Z78" i="29"/>
  <c r="V78" i="29"/>
  <c r="V79" i="29"/>
  <c r="AB79" i="29"/>
  <c r="AB78" i="29"/>
  <c r="L109" i="29"/>
  <c r="L110" i="29"/>
  <c r="AE123" i="29"/>
  <c r="AE124" i="29"/>
  <c r="Z123" i="29"/>
  <c r="Z124" i="29"/>
  <c r="X124" i="29"/>
  <c r="X123" i="29"/>
  <c r="D433" i="29"/>
  <c r="E14" i="54"/>
  <c r="I11" i="54"/>
  <c r="O9" i="31"/>
  <c r="I35" i="54"/>
  <c r="O25" i="31" s="1"/>
  <c r="D242" i="29" s="1"/>
  <c r="I6" i="54"/>
  <c r="F35" i="54"/>
  <c r="L33" i="31" s="1"/>
  <c r="D298" i="29" s="1"/>
  <c r="F7" i="54"/>
  <c r="I4" i="54"/>
  <c r="O13" i="31" s="1"/>
  <c r="M106" i="29" s="1"/>
  <c r="G36" i="54"/>
  <c r="M41" i="31" s="1"/>
  <c r="M83" i="29"/>
  <c r="G5" i="54"/>
  <c r="F24" i="54"/>
  <c r="I33" i="54"/>
  <c r="G12" i="54"/>
  <c r="F8" i="54"/>
  <c r="G4" i="54"/>
  <c r="M13" i="31" s="1"/>
  <c r="AE104" i="29" s="1"/>
  <c r="F22" i="54"/>
  <c r="F39" i="54"/>
  <c r="I21" i="54"/>
  <c r="O17" i="31" s="1"/>
  <c r="D166" i="29" s="1"/>
  <c r="L17" i="31"/>
  <c r="D163" i="29" s="1"/>
  <c r="L9" i="31"/>
  <c r="G14" i="54"/>
  <c r="G26" i="54"/>
  <c r="G45" i="54"/>
  <c r="G19" i="54"/>
  <c r="G24" i="54"/>
  <c r="A99" i="29"/>
  <c r="E83" i="29"/>
  <c r="A94" i="29"/>
  <c r="X69" i="29"/>
  <c r="A101" i="29"/>
  <c r="A195" i="29"/>
  <c r="A100" i="29"/>
  <c r="A190" i="29"/>
  <c r="A192" i="29"/>
  <c r="A373" i="29"/>
  <c r="A294" i="29"/>
  <c r="A296" i="29"/>
  <c r="A300" i="29"/>
  <c r="A297" i="29"/>
  <c r="A289" i="29"/>
  <c r="A301" i="29"/>
  <c r="A293" i="29"/>
  <c r="A299" i="29"/>
  <c r="A292" i="29"/>
  <c r="A298" i="29"/>
  <c r="A234" i="29"/>
  <c r="A191" i="29"/>
  <c r="A189" i="29"/>
  <c r="A193" i="29"/>
  <c r="A196" i="29"/>
  <c r="A185" i="29"/>
  <c r="A188" i="29"/>
  <c r="A197" i="29"/>
  <c r="AG128" i="29"/>
  <c r="AF132" i="29"/>
  <c r="A365" i="29"/>
  <c r="A367" i="29"/>
  <c r="A374" i="29"/>
  <c r="A371" i="29"/>
  <c r="A368" i="29"/>
  <c r="A366" i="29"/>
  <c r="A369" i="29"/>
  <c r="A372" i="29"/>
  <c r="A362" i="29"/>
  <c r="H86" i="29"/>
  <c r="U120" i="29"/>
  <c r="AE69" i="29"/>
  <c r="AE72" i="29"/>
  <c r="AE67" i="29"/>
  <c r="AE66" i="29"/>
  <c r="AE70" i="29"/>
  <c r="AE73" i="29"/>
  <c r="G69" i="29"/>
  <c r="G66" i="29"/>
  <c r="G74" i="29"/>
  <c r="G67" i="29"/>
  <c r="L120" i="29"/>
  <c r="AB87" i="29"/>
  <c r="O74" i="29"/>
  <c r="U127" i="29"/>
  <c r="U119" i="29"/>
  <c r="O75" i="29"/>
  <c r="A240" i="29"/>
  <c r="A237" i="29"/>
  <c r="O69" i="29"/>
  <c r="U131" i="29"/>
  <c r="A238" i="29"/>
  <c r="O67" i="29"/>
  <c r="A230" i="29"/>
  <c r="A236" i="29"/>
  <c r="U116" i="29"/>
  <c r="O66" i="29"/>
  <c r="A241" i="29"/>
  <c r="A242" i="29"/>
  <c r="A233" i="29"/>
  <c r="A239" i="29"/>
  <c r="U126" i="29"/>
  <c r="W118" i="29"/>
  <c r="G75" i="29"/>
  <c r="A175" i="29"/>
  <c r="M127" i="29"/>
  <c r="O131" i="29"/>
  <c r="A174" i="29"/>
  <c r="P129" i="29"/>
  <c r="A180" i="29"/>
  <c r="P127" i="29"/>
  <c r="A177" i="29"/>
  <c r="A172" i="29"/>
  <c r="A171" i="29"/>
  <c r="A173" i="29"/>
  <c r="P131" i="29"/>
  <c r="A168" i="29"/>
  <c r="A176" i="29"/>
  <c r="A178" i="29"/>
  <c r="AC83" i="29"/>
  <c r="A322" i="29"/>
  <c r="O73" i="29"/>
  <c r="G73" i="29"/>
  <c r="U83" i="29"/>
  <c r="L83" i="29"/>
  <c r="X131" i="29"/>
  <c r="W75" i="29"/>
  <c r="W69" i="29"/>
  <c r="AB111" i="29"/>
  <c r="AB116" i="29"/>
  <c r="AB114" i="29"/>
  <c r="V69" i="29"/>
  <c r="U69" i="29"/>
  <c r="L116" i="29"/>
  <c r="Q69" i="29"/>
  <c r="H69" i="29"/>
  <c r="AD83" i="29"/>
  <c r="K83" i="29"/>
  <c r="N118" i="29"/>
  <c r="AE131" i="29"/>
  <c r="U114" i="29"/>
  <c r="L119" i="29"/>
  <c r="W66" i="29"/>
  <c r="L114" i="29"/>
  <c r="W73" i="29"/>
  <c r="H118" i="29"/>
  <c r="L111" i="29"/>
  <c r="W67" i="29"/>
  <c r="G83" i="29"/>
  <c r="U113" i="29"/>
  <c r="P69" i="29"/>
  <c r="O127" i="29"/>
  <c r="AB119" i="29"/>
  <c r="S83" i="29"/>
  <c r="Q127" i="29"/>
  <c r="AA83" i="29"/>
  <c r="A69" i="29"/>
  <c r="X66" i="29"/>
  <c r="AB83" i="29"/>
  <c r="V83" i="29"/>
  <c r="V82" i="29"/>
  <c r="A247" i="29"/>
  <c r="N127" i="29"/>
  <c r="AB120" i="29"/>
  <c r="F118" i="29"/>
  <c r="F83" i="29"/>
  <c r="L69" i="29"/>
  <c r="AF89" i="29"/>
  <c r="AE83" i="29"/>
  <c r="AC69" i="29"/>
  <c r="AF83" i="29"/>
  <c r="R83" i="29"/>
  <c r="Y69" i="29"/>
  <c r="AH69" i="29"/>
  <c r="R84" i="29"/>
  <c r="N87" i="29"/>
  <c r="A116" i="29"/>
  <c r="A115" i="29"/>
  <c r="AG83" i="29"/>
  <c r="Z69" i="29"/>
  <c r="A114" i="29"/>
  <c r="N83" i="29"/>
  <c r="F67" i="29"/>
  <c r="R69" i="29"/>
  <c r="A108" i="29"/>
  <c r="A313" i="29"/>
  <c r="I118" i="29"/>
  <c r="A326" i="29"/>
  <c r="A312" i="29"/>
  <c r="A354" i="29"/>
  <c r="A357" i="29"/>
  <c r="A356" i="29"/>
  <c r="AC118" i="29"/>
  <c r="A328" i="29"/>
  <c r="A324" i="29"/>
  <c r="A303" i="29"/>
  <c r="A355" i="29"/>
  <c r="A359" i="29"/>
  <c r="A358" i="29"/>
  <c r="A352" i="29"/>
  <c r="A351" i="29"/>
  <c r="AF69" i="29"/>
  <c r="E69" i="29"/>
  <c r="AG130" i="29"/>
  <c r="A325" i="29"/>
  <c r="A314" i="29"/>
  <c r="A309" i="29"/>
  <c r="A353" i="29"/>
  <c r="A348" i="29"/>
  <c r="AD69" i="29"/>
  <c r="A315" i="29"/>
  <c r="Z118" i="29"/>
  <c r="A323" i="29"/>
  <c r="H83" i="29"/>
  <c r="AF67" i="29"/>
  <c r="R118" i="29"/>
  <c r="T69" i="29"/>
  <c r="F73" i="29"/>
  <c r="X75" i="29"/>
  <c r="Q83" i="29"/>
  <c r="E115" i="29"/>
  <c r="X73" i="29"/>
  <c r="M69" i="29"/>
  <c r="Z125" i="29"/>
  <c r="O88" i="29"/>
  <c r="E120" i="29"/>
  <c r="E112" i="29"/>
  <c r="F69" i="29"/>
  <c r="E118" i="29"/>
  <c r="E114" i="29"/>
  <c r="F66" i="29"/>
  <c r="E116" i="29"/>
  <c r="E119" i="29"/>
  <c r="F74" i="29"/>
  <c r="X83" i="29"/>
  <c r="J83" i="29"/>
  <c r="S118" i="29"/>
  <c r="P118" i="29"/>
  <c r="A250" i="29"/>
  <c r="Q118" i="29"/>
  <c r="F75" i="29"/>
  <c r="A252" i="29"/>
  <c r="A251" i="29"/>
  <c r="N69" i="29"/>
  <c r="A254" i="29"/>
  <c r="A255" i="29"/>
  <c r="A256" i="29"/>
  <c r="W83" i="29"/>
  <c r="J69" i="29"/>
  <c r="Y83" i="29"/>
  <c r="AG69" i="29"/>
  <c r="O118" i="29"/>
  <c r="I83" i="29"/>
  <c r="AB69" i="29"/>
  <c r="S131" i="29"/>
  <c r="A220" i="29"/>
  <c r="I69" i="29"/>
  <c r="I80" i="29"/>
  <c r="D197" i="29"/>
  <c r="AF66" i="29"/>
  <c r="A152" i="29"/>
  <c r="A221" i="29"/>
  <c r="AH83" i="29"/>
  <c r="A147" i="29"/>
  <c r="A144" i="29"/>
  <c r="O85" i="29"/>
  <c r="A224" i="29"/>
  <c r="A160" i="29"/>
  <c r="A140" i="29"/>
  <c r="A165" i="29"/>
  <c r="O83" i="29"/>
  <c r="A146" i="29"/>
  <c r="A223" i="29"/>
  <c r="A219" i="29"/>
  <c r="A151" i="29"/>
  <c r="A150" i="29"/>
  <c r="AH133" i="29"/>
  <c r="A163" i="29"/>
  <c r="AF75" i="29"/>
  <c r="A217" i="29"/>
  <c r="A213" i="29"/>
  <c r="A145" i="29"/>
  <c r="A143" i="29"/>
  <c r="AH134" i="29"/>
  <c r="A162" i="29"/>
  <c r="P83" i="29"/>
  <c r="AF73" i="29"/>
  <c r="A216" i="29"/>
  <c r="E117" i="29"/>
  <c r="Z83" i="29"/>
  <c r="T83" i="29"/>
  <c r="X67" i="29"/>
  <c r="O98" i="29"/>
  <c r="A68" i="29"/>
  <c r="A63" i="29"/>
  <c r="A71" i="29"/>
  <c r="E105" i="29"/>
  <c r="A161" i="29"/>
  <c r="L118" i="29"/>
  <c r="AA98" i="29"/>
  <c r="P81" i="29"/>
  <c r="AE98" i="29"/>
  <c r="AC105" i="29"/>
  <c r="W98" i="29"/>
  <c r="P73" i="29"/>
  <c r="AF128" i="29"/>
  <c r="AA128" i="29"/>
  <c r="AB128" i="29"/>
  <c r="F128" i="29"/>
  <c r="O128" i="29"/>
  <c r="G41" i="14"/>
  <c r="G39" i="14" s="1"/>
  <c r="G210" i="14" s="1"/>
  <c r="F242" i="14" s="1"/>
  <c r="I38" i="14"/>
  <c r="I36" i="14" s="1"/>
  <c r="I209" i="14" s="1"/>
  <c r="H241" i="14" s="1"/>
  <c r="X41" i="14"/>
  <c r="X39" i="14" s="1"/>
  <c r="X210" i="14" s="1"/>
  <c r="W242" i="14" s="1"/>
  <c r="V38" i="14"/>
  <c r="V36" i="14" s="1"/>
  <c r="V209" i="14" s="1"/>
  <c r="U241" i="14" s="1"/>
  <c r="AE35" i="14"/>
  <c r="AE32" i="14"/>
  <c r="AE30" i="14" s="1"/>
  <c r="AE207" i="14" s="1"/>
  <c r="AD239" i="14" s="1"/>
  <c r="X29" i="14"/>
  <c r="X27" i="14" s="1"/>
  <c r="G70" i="29"/>
  <c r="A320" i="29"/>
  <c r="V66" i="29"/>
  <c r="A321" i="29"/>
  <c r="W70" i="29"/>
  <c r="F70" i="29"/>
  <c r="A317" i="29"/>
  <c r="X70" i="29"/>
  <c r="O70" i="29"/>
  <c r="A327" i="29"/>
  <c r="A218" i="29"/>
  <c r="A225" i="29"/>
  <c r="AF70" i="29"/>
  <c r="J81" i="29"/>
  <c r="F81" i="29"/>
  <c r="AG81" i="29"/>
  <c r="L81" i="29"/>
  <c r="W81" i="29"/>
  <c r="E38" i="14"/>
  <c r="E36" i="14" s="1"/>
  <c r="E209" i="14" s="1"/>
  <c r="AE97" i="29"/>
  <c r="I41" i="14"/>
  <c r="I39" i="14" s="1"/>
  <c r="I210" i="14" s="1"/>
  <c r="H242" i="14" s="1"/>
  <c r="AC97" i="29"/>
  <c r="AD81" i="29"/>
  <c r="M81" i="29"/>
  <c r="K81" i="29"/>
  <c r="I81" i="29"/>
  <c r="X81" i="29"/>
  <c r="U81" i="29"/>
  <c r="R81" i="29"/>
  <c r="AE81" i="29"/>
  <c r="AF81" i="29"/>
  <c r="AB81" i="29"/>
  <c r="Z81" i="29"/>
  <c r="G81" i="29"/>
  <c r="V81" i="29"/>
  <c r="T81" i="29"/>
  <c r="Q81" i="29"/>
  <c r="N81" i="29"/>
  <c r="AC81" i="29"/>
  <c r="AA81" i="29"/>
  <c r="Y81" i="29"/>
  <c r="H81" i="29"/>
  <c r="E81" i="29"/>
  <c r="AH81" i="29"/>
  <c r="O81" i="29"/>
  <c r="S81" i="29"/>
  <c r="J57" i="14"/>
  <c r="J13" i="14"/>
  <c r="J64" i="14" s="1"/>
  <c r="J222" i="14" s="1"/>
  <c r="I251" i="14" s="1"/>
  <c r="J11" i="14"/>
  <c r="J62" i="14" s="1"/>
  <c r="J220" i="14" s="1"/>
  <c r="J12" i="14"/>
  <c r="J63" i="14" s="1"/>
  <c r="J221" i="14" s="1"/>
  <c r="I250" i="14" s="1"/>
  <c r="J10" i="14"/>
  <c r="J61" i="14" s="1"/>
  <c r="J219" i="14" s="1"/>
  <c r="I249" i="14" s="1"/>
  <c r="T57" i="14"/>
  <c r="T11" i="14"/>
  <c r="T62" i="14" s="1"/>
  <c r="T220" i="14" s="1"/>
  <c r="T12" i="14"/>
  <c r="T63" i="14" s="1"/>
  <c r="T221" i="14" s="1"/>
  <c r="S250" i="14" s="1"/>
  <c r="T13" i="14"/>
  <c r="T64" i="14" s="1"/>
  <c r="T222" i="14" s="1"/>
  <c r="S251" i="14" s="1"/>
  <c r="T10" i="14"/>
  <c r="T61" i="14" s="1"/>
  <c r="T219" i="14" s="1"/>
  <c r="S249" i="14" s="1"/>
  <c r="V57" i="14"/>
  <c r="V12" i="14"/>
  <c r="V63" i="14" s="1"/>
  <c r="V221" i="14" s="1"/>
  <c r="U250" i="14" s="1"/>
  <c r="V10" i="14"/>
  <c r="V61" i="14" s="1"/>
  <c r="V219" i="14" s="1"/>
  <c r="U249" i="14" s="1"/>
  <c r="V11" i="14"/>
  <c r="V62" i="14" s="1"/>
  <c r="V220" i="14" s="1"/>
  <c r="V13" i="14"/>
  <c r="V64" i="14" s="1"/>
  <c r="V222" i="14" s="1"/>
  <c r="U251" i="14" s="1"/>
  <c r="X57" i="14"/>
  <c r="X10" i="14"/>
  <c r="X61" i="14" s="1"/>
  <c r="X219" i="14" s="1"/>
  <c r="W249" i="14" s="1"/>
  <c r="X13" i="14"/>
  <c r="X64" i="14" s="1"/>
  <c r="X222" i="14" s="1"/>
  <c r="W251" i="14" s="1"/>
  <c r="X11" i="14"/>
  <c r="X62" i="14" s="1"/>
  <c r="X220" i="14" s="1"/>
  <c r="X12" i="14"/>
  <c r="X63" i="14" s="1"/>
  <c r="X221" i="14" s="1"/>
  <c r="W250" i="14" s="1"/>
  <c r="R57" i="14"/>
  <c r="R13" i="14"/>
  <c r="R64" i="14" s="1"/>
  <c r="R222" i="14" s="1"/>
  <c r="Q251" i="14" s="1"/>
  <c r="R11" i="14"/>
  <c r="R62" i="14" s="1"/>
  <c r="R220" i="14" s="1"/>
  <c r="R12" i="14"/>
  <c r="R63" i="14" s="1"/>
  <c r="R221" i="14" s="1"/>
  <c r="Q250" i="14" s="1"/>
  <c r="R10" i="14"/>
  <c r="R61" i="14" s="1"/>
  <c r="R219" i="14" s="1"/>
  <c r="Q249" i="14" s="1"/>
  <c r="AB57" i="14"/>
  <c r="AB11" i="14"/>
  <c r="AB62" i="14" s="1"/>
  <c r="AB220" i="14" s="1"/>
  <c r="AB12" i="14"/>
  <c r="AB63" i="14" s="1"/>
  <c r="AB221" i="14" s="1"/>
  <c r="AA250" i="14" s="1"/>
  <c r="AB10" i="14"/>
  <c r="AB61" i="14" s="1"/>
  <c r="AB219" i="14" s="1"/>
  <c r="AA249" i="14" s="1"/>
  <c r="AB13" i="14"/>
  <c r="AB64" i="14" s="1"/>
  <c r="AB222" i="14" s="1"/>
  <c r="AA251" i="14" s="1"/>
  <c r="AD57" i="14"/>
  <c r="AD12" i="14"/>
  <c r="AD63" i="14" s="1"/>
  <c r="AD221" i="14" s="1"/>
  <c r="AC250" i="14" s="1"/>
  <c r="AD10" i="14"/>
  <c r="AD61" i="14" s="1"/>
  <c r="AD219" i="14" s="1"/>
  <c r="AC249" i="14" s="1"/>
  <c r="AD13" i="14"/>
  <c r="AD64" i="14" s="1"/>
  <c r="AD222" i="14" s="1"/>
  <c r="AC251" i="14" s="1"/>
  <c r="AD11" i="14"/>
  <c r="AD62" i="14" s="1"/>
  <c r="AD220" i="14" s="1"/>
  <c r="AF57" i="14"/>
  <c r="AF10" i="14"/>
  <c r="AF61" i="14" s="1"/>
  <c r="AF219" i="14" s="1"/>
  <c r="AE249" i="14" s="1"/>
  <c r="AF13" i="14"/>
  <c r="AF64" i="14" s="1"/>
  <c r="AF222" i="14" s="1"/>
  <c r="AE251" i="14" s="1"/>
  <c r="AF11" i="14"/>
  <c r="AF62" i="14" s="1"/>
  <c r="AF220" i="14" s="1"/>
  <c r="AF12" i="14"/>
  <c r="AF63" i="14" s="1"/>
  <c r="AF221" i="14" s="1"/>
  <c r="AE250" i="14" s="1"/>
  <c r="AF32" i="14"/>
  <c r="AF30" i="14" s="1"/>
  <c r="AF207" i="14" s="1"/>
  <c r="AE239" i="14" s="1"/>
  <c r="AD29" i="14"/>
  <c r="AD27" i="14" s="1"/>
  <c r="AB32" i="14"/>
  <c r="AB30" i="14" s="1"/>
  <c r="AB207" i="14" s="1"/>
  <c r="AA239" i="14" s="1"/>
  <c r="T29" i="14"/>
  <c r="T27" i="14" s="1"/>
  <c r="T38" i="14"/>
  <c r="T36" i="14" s="1"/>
  <c r="T209" i="14" s="1"/>
  <c r="S241" i="14" s="1"/>
  <c r="AD38" i="14"/>
  <c r="AD36" i="14" s="1"/>
  <c r="AD209" i="14" s="1"/>
  <c r="AC241" i="14" s="1"/>
  <c r="J38" i="14"/>
  <c r="J36" i="14" s="1"/>
  <c r="J209" i="14" s="1"/>
  <c r="I241" i="14" s="1"/>
  <c r="Z57" i="14"/>
  <c r="Z13" i="14"/>
  <c r="Z64" i="14" s="1"/>
  <c r="Z222" i="14" s="1"/>
  <c r="Y251" i="14" s="1"/>
  <c r="Z11" i="14"/>
  <c r="Z62" i="14" s="1"/>
  <c r="Z220" i="14" s="1"/>
  <c r="Z12" i="14"/>
  <c r="Z63" i="14" s="1"/>
  <c r="Z221" i="14" s="1"/>
  <c r="Y250" i="14" s="1"/>
  <c r="Z10" i="14"/>
  <c r="Z61" i="14" s="1"/>
  <c r="Z219" i="14" s="1"/>
  <c r="Y249" i="14" s="1"/>
  <c r="E57" i="14"/>
  <c r="E11" i="14"/>
  <c r="E62" i="14" s="1"/>
  <c r="E220" i="14" s="1"/>
  <c r="E10" i="14"/>
  <c r="E61" i="14" s="1"/>
  <c r="E219" i="14" s="1"/>
  <c r="E13" i="14"/>
  <c r="E12" i="14"/>
  <c r="E63" i="14" s="1"/>
  <c r="E221" i="14" s="1"/>
  <c r="G57" i="14"/>
  <c r="G12" i="14"/>
  <c r="G63" i="14" s="1"/>
  <c r="G221" i="14" s="1"/>
  <c r="F250" i="14" s="1"/>
  <c r="G10" i="14"/>
  <c r="G61" i="14" s="1"/>
  <c r="G219" i="14" s="1"/>
  <c r="F249" i="14" s="1"/>
  <c r="G13" i="14"/>
  <c r="G64" i="14" s="1"/>
  <c r="G222" i="14" s="1"/>
  <c r="F251" i="14" s="1"/>
  <c r="G11" i="14"/>
  <c r="G62" i="14" s="1"/>
  <c r="G220" i="14" s="1"/>
  <c r="I57" i="14"/>
  <c r="I10" i="14"/>
  <c r="I13" i="14"/>
  <c r="I64" i="14" s="1"/>
  <c r="I222" i="14" s="1"/>
  <c r="H251" i="14" s="1"/>
  <c r="I11" i="14"/>
  <c r="I62" i="14" s="1"/>
  <c r="I220" i="14" s="1"/>
  <c r="I12" i="14"/>
  <c r="I63" i="14" s="1"/>
  <c r="I221" i="14" s="1"/>
  <c r="H250" i="14" s="1"/>
  <c r="G11" i="54"/>
  <c r="G22" i="54"/>
  <c r="J32" i="14"/>
  <c r="J30" i="14" s="1"/>
  <c r="J207" i="14" s="1"/>
  <c r="I239" i="14" s="1"/>
  <c r="V29" i="14"/>
  <c r="V27" i="14" s="1"/>
  <c r="AB38" i="14"/>
  <c r="AB36" i="14" s="1"/>
  <c r="AB209" i="14" s="1"/>
  <c r="AA241" i="14" s="1"/>
  <c r="T41" i="14"/>
  <c r="T39" i="14" s="1"/>
  <c r="T210" i="14" s="1"/>
  <c r="S242" i="14" s="1"/>
  <c r="T32" i="14"/>
  <c r="T30" i="14" s="1"/>
  <c r="T207" i="14" s="1"/>
  <c r="S239" i="14" s="1"/>
  <c r="AH57" i="14"/>
  <c r="AH13" i="14"/>
  <c r="AH64" i="14" s="1"/>
  <c r="AH222" i="14" s="1"/>
  <c r="AG251" i="14" s="1"/>
  <c r="AH11" i="14"/>
  <c r="AH62" i="14" s="1"/>
  <c r="AH220" i="14" s="1"/>
  <c r="AH12" i="14"/>
  <c r="AH63" i="14" s="1"/>
  <c r="AH221" i="14" s="1"/>
  <c r="AG250" i="14" s="1"/>
  <c r="AH10" i="14"/>
  <c r="AH61" i="14" s="1"/>
  <c r="AH219" i="14" s="1"/>
  <c r="AG249" i="14" s="1"/>
  <c r="M57" i="14"/>
  <c r="M12" i="14"/>
  <c r="M63" i="14" s="1"/>
  <c r="M221" i="14" s="1"/>
  <c r="L250" i="14" s="1"/>
  <c r="M10" i="14"/>
  <c r="M61" i="14" s="1"/>
  <c r="M219" i="14" s="1"/>
  <c r="L249" i="14" s="1"/>
  <c r="M13" i="14"/>
  <c r="M64" i="14" s="1"/>
  <c r="M222" i="14" s="1"/>
  <c r="L251" i="14" s="1"/>
  <c r="M11" i="14"/>
  <c r="M62" i="14" s="1"/>
  <c r="M220" i="14" s="1"/>
  <c r="O57" i="14"/>
  <c r="O12" i="14"/>
  <c r="O63" i="14" s="1"/>
  <c r="O221" i="14" s="1"/>
  <c r="N250" i="14" s="1"/>
  <c r="O10" i="14"/>
  <c r="O61" i="14" s="1"/>
  <c r="O219" i="14" s="1"/>
  <c r="N249" i="14" s="1"/>
  <c r="O13" i="14"/>
  <c r="O64" i="14" s="1"/>
  <c r="O222" i="14" s="1"/>
  <c r="N251" i="14" s="1"/>
  <c r="O11" i="14"/>
  <c r="O62" i="14" s="1"/>
  <c r="O220" i="14" s="1"/>
  <c r="Q57" i="14"/>
  <c r="Q10" i="14"/>
  <c r="Q61" i="14" s="1"/>
  <c r="Q219" i="14" s="1"/>
  <c r="P249" i="14" s="1"/>
  <c r="Q13" i="14"/>
  <c r="Q64" i="14" s="1"/>
  <c r="Q222" i="14" s="1"/>
  <c r="P251" i="14" s="1"/>
  <c r="Q12" i="14"/>
  <c r="Q63" i="14" s="1"/>
  <c r="Q221" i="14" s="1"/>
  <c r="P250" i="14" s="1"/>
  <c r="Q11" i="14"/>
  <c r="Q62" i="14" s="1"/>
  <c r="Q220" i="14" s="1"/>
  <c r="AF68" i="29"/>
  <c r="X35" i="14"/>
  <c r="X33" i="14" s="1"/>
  <c r="X208" i="14" s="1"/>
  <c r="W240" i="14" s="1"/>
  <c r="T35" i="14"/>
  <c r="T33" i="14" s="1"/>
  <c r="T208" i="14" s="1"/>
  <c r="S240" i="14" s="1"/>
  <c r="G51" i="14"/>
  <c r="K57" i="14"/>
  <c r="K11" i="14"/>
  <c r="K62" i="14" s="1"/>
  <c r="K220" i="14" s="1"/>
  <c r="K12" i="14"/>
  <c r="K63" i="14" s="1"/>
  <c r="K221" i="14" s="1"/>
  <c r="J250" i="14" s="1"/>
  <c r="K10" i="14"/>
  <c r="K61" i="14" s="1"/>
  <c r="K219" i="14" s="1"/>
  <c r="J249" i="14" s="1"/>
  <c r="K13" i="14"/>
  <c r="U57" i="14"/>
  <c r="U12" i="14"/>
  <c r="U63" i="14" s="1"/>
  <c r="U221" i="14" s="1"/>
  <c r="T250" i="14" s="1"/>
  <c r="U10" i="14"/>
  <c r="U61" i="14" s="1"/>
  <c r="U219" i="14" s="1"/>
  <c r="T249" i="14" s="1"/>
  <c r="U13" i="14"/>
  <c r="U64" i="14" s="1"/>
  <c r="U222" i="14" s="1"/>
  <c r="T251" i="14" s="1"/>
  <c r="U11" i="14"/>
  <c r="U62" i="14" s="1"/>
  <c r="U220" i="14" s="1"/>
  <c r="W57" i="14"/>
  <c r="W12" i="14"/>
  <c r="W63" i="14" s="1"/>
  <c r="W221" i="14" s="1"/>
  <c r="V250" i="14" s="1"/>
  <c r="W10" i="14"/>
  <c r="W13" i="14"/>
  <c r="W64" i="14" s="1"/>
  <c r="W222" i="14" s="1"/>
  <c r="V251" i="14" s="1"/>
  <c r="W11" i="14"/>
  <c r="W62" i="14" s="1"/>
  <c r="W220" i="14" s="1"/>
  <c r="Y57" i="14"/>
  <c r="Y10" i="14"/>
  <c r="Y61" i="14" s="1"/>
  <c r="Y219" i="14" s="1"/>
  <c r="X249" i="14" s="1"/>
  <c r="Y13" i="14"/>
  <c r="Y64" i="14" s="1"/>
  <c r="Y222" i="14" s="1"/>
  <c r="X251" i="14" s="1"/>
  <c r="Y12" i="14"/>
  <c r="Y63" i="14" s="1"/>
  <c r="Y221" i="14" s="1"/>
  <c r="X250" i="14" s="1"/>
  <c r="Y11" i="14"/>
  <c r="Y62" i="14" s="1"/>
  <c r="Y220" i="14" s="1"/>
  <c r="AC98" i="29"/>
  <c r="R32" i="14"/>
  <c r="R30" i="14" s="1"/>
  <c r="R207" i="14" s="1"/>
  <c r="Q239" i="14" s="1"/>
  <c r="AF35" i="14"/>
  <c r="AF33" i="14" s="1"/>
  <c r="AF208" i="14" s="1"/>
  <c r="AE240" i="14" s="1"/>
  <c r="J35" i="14"/>
  <c r="J33" i="14" s="1"/>
  <c r="J208" i="14" s="1"/>
  <c r="I240" i="14" s="1"/>
  <c r="S57" i="14"/>
  <c r="S11" i="14"/>
  <c r="S62" i="14" s="1"/>
  <c r="S220" i="14" s="1"/>
  <c r="S10" i="14"/>
  <c r="S61" i="14" s="1"/>
  <c r="S219" i="14" s="1"/>
  <c r="R249" i="14" s="1"/>
  <c r="S12" i="14"/>
  <c r="S63" i="14" s="1"/>
  <c r="S221" i="14" s="1"/>
  <c r="R250" i="14" s="1"/>
  <c r="S13" i="14"/>
  <c r="AC57" i="14"/>
  <c r="AC12" i="14"/>
  <c r="AC63" i="14" s="1"/>
  <c r="AC221" i="14" s="1"/>
  <c r="AB250" i="14" s="1"/>
  <c r="AC10" i="14"/>
  <c r="AC61" i="14" s="1"/>
  <c r="AC219" i="14" s="1"/>
  <c r="AB249" i="14" s="1"/>
  <c r="AC13" i="14"/>
  <c r="AC64" i="14" s="1"/>
  <c r="AC222" i="14" s="1"/>
  <c r="AB251" i="14" s="1"/>
  <c r="AC11" i="14"/>
  <c r="AC62" i="14" s="1"/>
  <c r="AC220" i="14" s="1"/>
  <c r="AE57" i="14"/>
  <c r="AE12" i="14"/>
  <c r="AE63" i="14" s="1"/>
  <c r="AE221" i="14" s="1"/>
  <c r="AD250" i="14" s="1"/>
  <c r="AE10" i="14"/>
  <c r="AE61" i="14" s="1"/>
  <c r="AE219" i="14" s="1"/>
  <c r="AD249" i="14" s="1"/>
  <c r="AE13" i="14"/>
  <c r="AE64" i="14" s="1"/>
  <c r="AE222" i="14" s="1"/>
  <c r="AD251" i="14" s="1"/>
  <c r="AE11" i="14"/>
  <c r="AE62" i="14" s="1"/>
  <c r="AE220" i="14" s="1"/>
  <c r="AG57" i="14"/>
  <c r="AG10" i="14"/>
  <c r="AG61" i="14" s="1"/>
  <c r="AG219" i="14" s="1"/>
  <c r="AF249" i="14" s="1"/>
  <c r="AG12" i="14"/>
  <c r="AG63" i="14" s="1"/>
  <c r="AG221" i="14" s="1"/>
  <c r="AF250" i="14" s="1"/>
  <c r="AG13" i="14"/>
  <c r="AG64" i="14" s="1"/>
  <c r="AG222" i="14" s="1"/>
  <c r="AF251" i="14" s="1"/>
  <c r="AG11" i="14"/>
  <c r="AG62" i="14" s="1"/>
  <c r="AG220" i="14" s="1"/>
  <c r="AI226" i="14"/>
  <c r="V41" i="14"/>
  <c r="V39" i="14" s="1"/>
  <c r="V210" i="14" s="1"/>
  <c r="U242" i="14" s="1"/>
  <c r="R35" i="14"/>
  <c r="R33" i="14" s="1"/>
  <c r="R208" i="14" s="1"/>
  <c r="Q240" i="14" s="1"/>
  <c r="J41" i="14"/>
  <c r="J39" i="14" s="1"/>
  <c r="J210" i="14" s="1"/>
  <c r="I242" i="14" s="1"/>
  <c r="AA57" i="14"/>
  <c r="AA11" i="14"/>
  <c r="AA62" i="14" s="1"/>
  <c r="AA220" i="14" s="1"/>
  <c r="AA12" i="14"/>
  <c r="AA63" i="14" s="1"/>
  <c r="AA221" i="14" s="1"/>
  <c r="Z250" i="14" s="1"/>
  <c r="AA10" i="14"/>
  <c r="AA61" i="14" s="1"/>
  <c r="AA219" i="14" s="1"/>
  <c r="Z249" i="14" s="1"/>
  <c r="AA13" i="14"/>
  <c r="AA64" i="14" s="1"/>
  <c r="AA222" i="14" s="1"/>
  <c r="Z251" i="14" s="1"/>
  <c r="F57" i="14"/>
  <c r="F12" i="14"/>
  <c r="F63" i="14" s="1"/>
  <c r="F221" i="14" s="1"/>
  <c r="E250" i="14" s="1"/>
  <c r="F11" i="14"/>
  <c r="F62" i="14" s="1"/>
  <c r="F220" i="14" s="1"/>
  <c r="F10" i="14"/>
  <c r="F61" i="14" s="1"/>
  <c r="F219" i="14" s="1"/>
  <c r="E249" i="14" s="1"/>
  <c r="F13" i="14"/>
  <c r="F64" i="14" s="1"/>
  <c r="F222" i="14" s="1"/>
  <c r="E251" i="14" s="1"/>
  <c r="H57" i="14"/>
  <c r="H10" i="14"/>
  <c r="H61" i="14" s="1"/>
  <c r="H219" i="14" s="1"/>
  <c r="G249" i="14" s="1"/>
  <c r="H13" i="14"/>
  <c r="H64" i="14" s="1"/>
  <c r="H222" i="14" s="1"/>
  <c r="G251" i="14" s="1"/>
  <c r="H11" i="14"/>
  <c r="H62" i="14" s="1"/>
  <c r="H220" i="14" s="1"/>
  <c r="H12" i="14"/>
  <c r="H63" i="14" s="1"/>
  <c r="H221" i="14" s="1"/>
  <c r="G250" i="14" s="1"/>
  <c r="I8" i="54"/>
  <c r="AD41" i="14"/>
  <c r="AD39" i="14" s="1"/>
  <c r="AD210" i="14" s="1"/>
  <c r="AC242" i="14" s="1"/>
  <c r="X38" i="14"/>
  <c r="X36" i="14" s="1"/>
  <c r="X209" i="14" s="1"/>
  <c r="W241" i="14" s="1"/>
  <c r="V32" i="14"/>
  <c r="V30" i="14" s="1"/>
  <c r="V207" i="14" s="1"/>
  <c r="U239" i="14" s="1"/>
  <c r="L57" i="14"/>
  <c r="L11" i="14"/>
  <c r="L62" i="14" s="1"/>
  <c r="L220" i="14" s="1"/>
  <c r="L12" i="14"/>
  <c r="L10" i="14"/>
  <c r="L61" i="14" s="1"/>
  <c r="L219" i="14" s="1"/>
  <c r="K249" i="14" s="1"/>
  <c r="L13" i="14"/>
  <c r="L64" i="14" s="1"/>
  <c r="L222" i="14" s="1"/>
  <c r="K251" i="14" s="1"/>
  <c r="N57" i="14"/>
  <c r="N11" i="14"/>
  <c r="N62" i="14" s="1"/>
  <c r="N220" i="14" s="1"/>
  <c r="N12" i="14"/>
  <c r="N63" i="14" s="1"/>
  <c r="N221" i="14" s="1"/>
  <c r="M250" i="14" s="1"/>
  <c r="N10" i="14"/>
  <c r="N61" i="14" s="1"/>
  <c r="N219" i="14" s="1"/>
  <c r="M249" i="14" s="1"/>
  <c r="N13" i="14"/>
  <c r="N64" i="14" s="1"/>
  <c r="N222" i="14" s="1"/>
  <c r="M251" i="14" s="1"/>
  <c r="P57" i="14"/>
  <c r="P10" i="14"/>
  <c r="P61" i="14" s="1"/>
  <c r="P219" i="14" s="1"/>
  <c r="O249" i="14" s="1"/>
  <c r="P13" i="14"/>
  <c r="P64" i="14" s="1"/>
  <c r="P222" i="14" s="1"/>
  <c r="O251" i="14" s="1"/>
  <c r="P11" i="14"/>
  <c r="P62" i="14" s="1"/>
  <c r="P220" i="14" s="1"/>
  <c r="P12" i="14"/>
  <c r="P63" i="14" s="1"/>
  <c r="P221" i="14" s="1"/>
  <c r="O250" i="14" s="1"/>
  <c r="AF71" i="29"/>
  <c r="AE75" i="29"/>
  <c r="W68" i="29"/>
  <c r="J118" i="29"/>
  <c r="AG118" i="29"/>
  <c r="E128" i="29"/>
  <c r="U118" i="29"/>
  <c r="AC131" i="29"/>
  <c r="AB117" i="29"/>
  <c r="L117" i="29"/>
  <c r="AA131" i="29"/>
  <c r="Z131" i="29"/>
  <c r="X71" i="29"/>
  <c r="W71" i="29"/>
  <c r="G68" i="29"/>
  <c r="T131" i="29"/>
  <c r="Q131" i="29"/>
  <c r="N131" i="29"/>
  <c r="X68" i="29"/>
  <c r="G131" i="29"/>
  <c r="R131" i="29"/>
  <c r="Y118" i="29"/>
  <c r="AE118" i="29"/>
  <c r="M118" i="29"/>
  <c r="Y131" i="29"/>
  <c r="G71" i="29"/>
  <c r="F68" i="29"/>
  <c r="V131" i="29"/>
  <c r="E131" i="29"/>
  <c r="P74" i="29"/>
  <c r="AE68" i="29"/>
  <c r="O68" i="29"/>
  <c r="AD131" i="29"/>
  <c r="K131" i="29"/>
  <c r="J131" i="29"/>
  <c r="F71" i="29"/>
  <c r="AF131" i="29"/>
  <c r="AE71" i="29"/>
  <c r="O71" i="29"/>
  <c r="E9" i="54"/>
  <c r="E6" i="54"/>
  <c r="K118" i="29"/>
  <c r="H128" i="29"/>
  <c r="AF118" i="29"/>
  <c r="G118" i="29"/>
  <c r="AD118" i="29"/>
  <c r="U117" i="29"/>
  <c r="M131" i="29"/>
  <c r="AB113" i="29"/>
  <c r="L113" i="29"/>
  <c r="I131" i="29"/>
  <c r="W131" i="29"/>
  <c r="F131" i="29"/>
  <c r="AH131" i="29"/>
  <c r="AG131" i="29"/>
  <c r="AH118" i="29"/>
  <c r="X118" i="29"/>
  <c r="V118" i="29"/>
  <c r="X74" i="29"/>
  <c r="H131" i="29"/>
  <c r="W74" i="29"/>
  <c r="O33" i="31"/>
  <c r="D301" i="29" s="1"/>
  <c r="G29" i="14"/>
  <c r="G27" i="14" s="1"/>
  <c r="AA29" i="14"/>
  <c r="AA27" i="14" s="1"/>
  <c r="AA206" i="14" s="1"/>
  <c r="P41" i="14"/>
  <c r="P39" i="14" s="1"/>
  <c r="P210" i="14" s="1"/>
  <c r="O242" i="14" s="1"/>
  <c r="G38" i="14"/>
  <c r="G36" i="14" s="1"/>
  <c r="G209" i="14" s="1"/>
  <c r="F241" i="14" s="1"/>
  <c r="L51" i="14"/>
  <c r="P128" i="29"/>
  <c r="K128" i="29"/>
  <c r="P68" i="29"/>
  <c r="O72" i="29"/>
  <c r="E113" i="29"/>
  <c r="G39" i="54"/>
  <c r="U111" i="29"/>
  <c r="W72" i="29"/>
  <c r="V74" i="29"/>
  <c r="P72" i="29"/>
  <c r="S32" i="14"/>
  <c r="S30" i="14" s="1"/>
  <c r="S207" i="14" s="1"/>
  <c r="R239" i="14" s="1"/>
  <c r="S38" i="14"/>
  <c r="S36" i="14" s="1"/>
  <c r="S209" i="14" s="1"/>
  <c r="R241" i="14" s="1"/>
  <c r="AE41" i="14"/>
  <c r="AE39" i="14" s="1"/>
  <c r="AE210" i="14" s="1"/>
  <c r="AD242" i="14" s="1"/>
  <c r="S35" i="14"/>
  <c r="S33" i="14" s="1"/>
  <c r="S208" i="14" s="1"/>
  <c r="R240" i="14" s="1"/>
  <c r="T128" i="29"/>
  <c r="AA118" i="29"/>
  <c r="E111" i="29"/>
  <c r="V73" i="29"/>
  <c r="P67" i="29"/>
  <c r="G35" i="14"/>
  <c r="G33" i="14" s="1"/>
  <c r="G208" i="14" s="1"/>
  <c r="F240" i="14" s="1"/>
  <c r="N38" i="14"/>
  <c r="N36" i="14" s="1"/>
  <c r="N209" i="14" s="1"/>
  <c r="M241" i="14" s="1"/>
  <c r="Z41" i="14"/>
  <c r="Z39" i="14" s="1"/>
  <c r="Z210" i="14" s="1"/>
  <c r="Y242" i="14" s="1"/>
  <c r="Z38" i="14"/>
  <c r="Z36" i="14" s="1"/>
  <c r="Z209" i="14" s="1"/>
  <c r="Y241" i="14" s="1"/>
  <c r="S97" i="29"/>
  <c r="S105" i="29"/>
  <c r="Y128" i="29"/>
  <c r="AD128" i="29"/>
  <c r="AC128" i="29"/>
  <c r="L128" i="29"/>
  <c r="G8" i="54"/>
  <c r="G72" i="29"/>
  <c r="V72" i="29"/>
  <c r="P71" i="29"/>
  <c r="A148" i="29"/>
  <c r="A149" i="29"/>
  <c r="C5" i="54"/>
  <c r="Z32" i="14"/>
  <c r="Z30" i="14" s="1"/>
  <c r="Z207" i="14" s="1"/>
  <c r="Y239" i="14" s="1"/>
  <c r="E41" i="14"/>
  <c r="E39" i="14" s="1"/>
  <c r="E210" i="14" s="1"/>
  <c r="Q128" i="29"/>
  <c r="AE128" i="29"/>
  <c r="V128" i="29"/>
  <c r="U128" i="29"/>
  <c r="AB118" i="29"/>
  <c r="V67" i="29"/>
  <c r="P66" i="29"/>
  <c r="A154" i="29"/>
  <c r="A166" i="29"/>
  <c r="A164" i="29"/>
  <c r="A159" i="29"/>
  <c r="A157" i="29"/>
  <c r="Z35" i="14"/>
  <c r="Z33" i="14" s="1"/>
  <c r="Z208" i="14" s="1"/>
  <c r="Y240" i="14" s="1"/>
  <c r="E32" i="14"/>
  <c r="E30" i="14" s="1"/>
  <c r="E207" i="14" s="1"/>
  <c r="I29" i="14"/>
  <c r="I27" i="14" s="1"/>
  <c r="I206" i="14" s="1"/>
  <c r="G53" i="14"/>
  <c r="I128" i="29"/>
  <c r="W128" i="29"/>
  <c r="N128" i="29"/>
  <c r="M128" i="29"/>
  <c r="V71" i="29"/>
  <c r="F72" i="29"/>
  <c r="P75" i="29"/>
  <c r="P70" i="29"/>
  <c r="AE29" i="14"/>
  <c r="AE27" i="14" s="1"/>
  <c r="H41" i="14"/>
  <c r="H39" i="14" s="1"/>
  <c r="H210" i="14" s="1"/>
  <c r="G242" i="14" s="1"/>
  <c r="S41" i="14"/>
  <c r="S39" i="14" s="1"/>
  <c r="S210" i="14" s="1"/>
  <c r="R242" i="14" s="1"/>
  <c r="Z51" i="14"/>
  <c r="X128" i="29"/>
  <c r="G128" i="29"/>
  <c r="S128" i="29"/>
  <c r="F19" i="54"/>
  <c r="X72" i="29"/>
  <c r="V70" i="29"/>
  <c r="AF72" i="29"/>
  <c r="P87" i="29"/>
  <c r="G87" i="29"/>
  <c r="AD87" i="29"/>
  <c r="K127" i="29"/>
  <c r="Y127" i="29"/>
  <c r="I87" i="29"/>
  <c r="H87" i="29"/>
  <c r="V87" i="29"/>
  <c r="Z127" i="29"/>
  <c r="H127" i="29"/>
  <c r="G127" i="29"/>
  <c r="AA87" i="29"/>
  <c r="AH87" i="29"/>
  <c r="F87" i="29"/>
  <c r="F127" i="29"/>
  <c r="R127" i="29"/>
  <c r="AF127" i="29"/>
  <c r="E8" i="54"/>
  <c r="D9" i="54"/>
  <c r="J9" i="31" s="1"/>
  <c r="S87" i="29"/>
  <c r="Z87" i="29"/>
  <c r="AG87" i="29"/>
  <c r="AA127" i="29"/>
  <c r="I127" i="29"/>
  <c r="S127" i="29"/>
  <c r="T87" i="29"/>
  <c r="K87" i="29"/>
  <c r="R87" i="29"/>
  <c r="Y87" i="29"/>
  <c r="AE87" i="29"/>
  <c r="J127" i="29"/>
  <c r="X127" i="29"/>
  <c r="W127" i="29"/>
  <c r="T127" i="29"/>
  <c r="L87" i="29"/>
  <c r="J87" i="29"/>
  <c r="Q87" i="29"/>
  <c r="AF87" i="29"/>
  <c r="W87" i="29"/>
  <c r="AE127" i="29"/>
  <c r="AD127" i="29"/>
  <c r="AC127" i="29"/>
  <c r="E127" i="29"/>
  <c r="AG127" i="29"/>
  <c r="X87" i="29"/>
  <c r="O87" i="29"/>
  <c r="V127" i="29"/>
  <c r="AH127" i="29"/>
  <c r="V75" i="29"/>
  <c r="AF74" i="29"/>
  <c r="F6" i="54"/>
  <c r="AH255" i="14"/>
  <c r="C45" i="54"/>
  <c r="I51" i="14"/>
  <c r="I16" i="54"/>
  <c r="AE74" i="29"/>
  <c r="AC29" i="14"/>
  <c r="AC27" i="14" s="1"/>
  <c r="AC206" i="14" s="1"/>
  <c r="G21" i="54"/>
  <c r="M17" i="31" s="1"/>
  <c r="V68" i="29"/>
  <c r="I22" i="54"/>
  <c r="A307" i="29"/>
  <c r="A311" i="29"/>
  <c r="A310" i="29"/>
  <c r="A308" i="29"/>
  <c r="A306" i="29"/>
  <c r="AG35" i="14"/>
  <c r="AG33" i="14" s="1"/>
  <c r="AG208" i="14" s="1"/>
  <c r="AF240" i="14" s="1"/>
  <c r="AG38" i="14"/>
  <c r="AG36" i="14" s="1"/>
  <c r="AG209" i="14" s="1"/>
  <c r="AF241" i="14" s="1"/>
  <c r="AG41" i="14"/>
  <c r="AG39" i="14" s="1"/>
  <c r="AG210" i="14" s="1"/>
  <c r="AF242" i="14" s="1"/>
  <c r="H24" i="54"/>
  <c r="D37" i="51"/>
  <c r="L45" i="52" s="1"/>
  <c r="B21" i="51"/>
  <c r="B23" i="51" s="1"/>
  <c r="G18" i="51" s="1"/>
  <c r="AG32" i="14"/>
  <c r="AG30" i="14" s="1"/>
  <c r="AG207" i="14" s="1"/>
  <c r="AF239" i="14" s="1"/>
  <c r="G25" i="54"/>
  <c r="I36" i="54"/>
  <c r="O41" i="31" s="1"/>
  <c r="F42" i="54"/>
  <c r="H39" i="54"/>
  <c r="A248" i="29"/>
  <c r="A253" i="29"/>
  <c r="A244" i="29"/>
  <c r="G33" i="54"/>
  <c r="F38" i="54"/>
  <c r="L39" i="31" s="1"/>
  <c r="D371" i="29" s="1"/>
  <c r="AC32" i="14"/>
  <c r="AC30" i="14" s="1"/>
  <c r="AC207" i="14" s="1"/>
  <c r="AB239" i="14" s="1"/>
  <c r="J139" i="51"/>
  <c r="AC38" i="14"/>
  <c r="AC36" i="14" s="1"/>
  <c r="AC209" i="14" s="1"/>
  <c r="AB241" i="14" s="1"/>
  <c r="S98" i="29"/>
  <c r="AC41" i="14"/>
  <c r="AC39" i="14" s="1"/>
  <c r="AC210" i="14" s="1"/>
  <c r="AB242" i="14" s="1"/>
  <c r="AC35" i="14"/>
  <c r="AC33" i="14" s="1"/>
  <c r="AC208" i="14" s="1"/>
  <c r="AB240" i="14" s="1"/>
  <c r="AI227" i="14"/>
  <c r="G41" i="54"/>
  <c r="AH256" i="14"/>
  <c r="AE103" i="29"/>
  <c r="AC103" i="29"/>
  <c r="N103" i="29"/>
  <c r="S103" i="29"/>
  <c r="I19" i="54"/>
  <c r="G23" i="54"/>
  <c r="I37" i="54"/>
  <c r="O38" i="31" s="1"/>
  <c r="D360" i="29" s="1"/>
  <c r="I27" i="54"/>
  <c r="F27" i="54"/>
  <c r="F31" i="54"/>
  <c r="L22" i="31" s="1"/>
  <c r="D208" i="29" s="1"/>
  <c r="AI256" i="14"/>
  <c r="AF85" i="29"/>
  <c r="AD129" i="29"/>
  <c r="M75" i="29"/>
  <c r="M70" i="29"/>
  <c r="M66" i="29"/>
  <c r="M71" i="29"/>
  <c r="M67" i="29"/>
  <c r="M72" i="29"/>
  <c r="M68" i="29"/>
  <c r="M73" i="29"/>
  <c r="M74" i="29"/>
  <c r="O84" i="29"/>
  <c r="AD86" i="29"/>
  <c r="L115" i="29"/>
  <c r="AC82" i="29"/>
  <c r="AA130" i="29"/>
  <c r="J73" i="29"/>
  <c r="J74" i="29"/>
  <c r="J75" i="29"/>
  <c r="J70" i="29"/>
  <c r="J66" i="29"/>
  <c r="J71" i="29"/>
  <c r="J67" i="29"/>
  <c r="J72" i="29"/>
  <c r="J68" i="29"/>
  <c r="L82" i="29"/>
  <c r="Z130" i="29"/>
  <c r="Y73" i="29"/>
  <c r="Y74" i="29"/>
  <c r="Y75" i="29"/>
  <c r="Y70" i="29"/>
  <c r="Y66" i="29"/>
  <c r="Y71" i="29"/>
  <c r="Y67" i="29"/>
  <c r="Y72" i="29"/>
  <c r="Y68" i="29"/>
  <c r="J89" i="29"/>
  <c r="G132" i="29"/>
  <c r="H89" i="29"/>
  <c r="V129" i="29"/>
  <c r="U70" i="29"/>
  <c r="U66" i="29"/>
  <c r="U71" i="29"/>
  <c r="U67" i="29"/>
  <c r="U72" i="29"/>
  <c r="U68" i="29"/>
  <c r="U73" i="29"/>
  <c r="U74" i="29"/>
  <c r="U75" i="29"/>
  <c r="E80" i="29"/>
  <c r="R70" i="29"/>
  <c r="R66" i="29"/>
  <c r="R71" i="29"/>
  <c r="R67" i="29"/>
  <c r="R72" i="29"/>
  <c r="R68" i="29"/>
  <c r="R73" i="29"/>
  <c r="R74" i="29"/>
  <c r="R75" i="29"/>
  <c r="AH132" i="29"/>
  <c r="AG70" i="29"/>
  <c r="AG66" i="29"/>
  <c r="AG71" i="29"/>
  <c r="AG67" i="29"/>
  <c r="AG72" i="29"/>
  <c r="AG68" i="29"/>
  <c r="AG73" i="29"/>
  <c r="AG74" i="29"/>
  <c r="AG75" i="29"/>
  <c r="Q129" i="29"/>
  <c r="AH86" i="29"/>
  <c r="AF126" i="29"/>
  <c r="Q86" i="29"/>
  <c r="G43" i="54"/>
  <c r="G34" i="54"/>
  <c r="H34" i="54"/>
  <c r="X116" i="29"/>
  <c r="X119" i="29"/>
  <c r="X117" i="29"/>
  <c r="X120" i="29"/>
  <c r="X111" i="29"/>
  <c r="X112" i="29"/>
  <c r="X113" i="29"/>
  <c r="X114" i="29"/>
  <c r="X115" i="29"/>
  <c r="AD111" i="29"/>
  <c r="AD112" i="29"/>
  <c r="AD113" i="29"/>
  <c r="AD114" i="29"/>
  <c r="AD115" i="29"/>
  <c r="AD116" i="29"/>
  <c r="AD119" i="29"/>
  <c r="AD117" i="29"/>
  <c r="AD120" i="29"/>
  <c r="O134" i="29"/>
  <c r="AF88" i="29"/>
  <c r="P80" i="29"/>
  <c r="AE86" i="29"/>
  <c r="AD89" i="29"/>
  <c r="N82" i="29"/>
  <c r="AA129" i="29"/>
  <c r="AB85" i="29"/>
  <c r="Z129" i="29"/>
  <c r="I73" i="29"/>
  <c r="I74" i="29"/>
  <c r="I75" i="29"/>
  <c r="I70" i="29"/>
  <c r="I66" i="29"/>
  <c r="I71" i="29"/>
  <c r="I67" i="29"/>
  <c r="I72" i="29"/>
  <c r="I68" i="29"/>
  <c r="K82" i="29"/>
  <c r="Y125" i="29"/>
  <c r="I134" i="29"/>
  <c r="Z80" i="29"/>
  <c r="J85" i="29"/>
  <c r="X134" i="29"/>
  <c r="X80" i="29"/>
  <c r="H85" i="29"/>
  <c r="E70" i="29"/>
  <c r="E66" i="29"/>
  <c r="E71" i="29"/>
  <c r="E67" i="29"/>
  <c r="E72" i="29"/>
  <c r="E68" i="29"/>
  <c r="E73" i="29"/>
  <c r="E74" i="29"/>
  <c r="E75" i="29"/>
  <c r="G86" i="29"/>
  <c r="U125" i="29"/>
  <c r="E134" i="29"/>
  <c r="F80" i="29"/>
  <c r="Q70" i="29"/>
  <c r="Q66" i="29"/>
  <c r="Q71" i="29"/>
  <c r="Q67" i="29"/>
  <c r="Q72" i="29"/>
  <c r="Q68" i="29"/>
  <c r="Q73" i="29"/>
  <c r="Q74" i="29"/>
  <c r="Q75" i="29"/>
  <c r="AH89" i="29"/>
  <c r="R82" i="29"/>
  <c r="Q89" i="29"/>
  <c r="I23" i="54"/>
  <c r="F23" i="54"/>
  <c r="G7" i="54"/>
  <c r="H7" i="54"/>
  <c r="H149" i="14"/>
  <c r="G150" i="14"/>
  <c r="H116" i="29"/>
  <c r="H119" i="29"/>
  <c r="H117" i="29"/>
  <c r="H120" i="29"/>
  <c r="H111" i="29"/>
  <c r="H112" i="29"/>
  <c r="H113" i="29"/>
  <c r="H114" i="29"/>
  <c r="H115" i="29"/>
  <c r="AH111" i="29"/>
  <c r="AH112" i="29"/>
  <c r="AH113" i="29"/>
  <c r="AH114" i="29"/>
  <c r="AH115" i="29"/>
  <c r="AH116" i="29"/>
  <c r="AH119" i="29"/>
  <c r="AH117" i="29"/>
  <c r="AH120" i="29"/>
  <c r="N111" i="29"/>
  <c r="N112" i="29"/>
  <c r="N113" i="29"/>
  <c r="N114" i="29"/>
  <c r="N115" i="29"/>
  <c r="N116" i="29"/>
  <c r="N119" i="29"/>
  <c r="N117" i="29"/>
  <c r="N120" i="29"/>
  <c r="O133" i="29"/>
  <c r="AF84" i="29"/>
  <c r="AE89" i="29"/>
  <c r="O82" i="29"/>
  <c r="M134" i="29"/>
  <c r="AD85" i="29"/>
  <c r="AC80" i="29"/>
  <c r="AB88" i="29"/>
  <c r="L80" i="29"/>
  <c r="AA85" i="29"/>
  <c r="Y130" i="29"/>
  <c r="J88" i="29"/>
  <c r="H133" i="29"/>
  <c r="Y82" i="29"/>
  <c r="I86" i="29"/>
  <c r="G126" i="29"/>
  <c r="H88" i="29"/>
  <c r="G89" i="29"/>
  <c r="U130" i="29"/>
  <c r="E133" i="29"/>
  <c r="AH126" i="29"/>
  <c r="AH85" i="29"/>
  <c r="AF125" i="29"/>
  <c r="Q85" i="29"/>
  <c r="AB35" i="14"/>
  <c r="AB33" i="14" s="1"/>
  <c r="AB208" i="14" s="1"/>
  <c r="AA240" i="14" s="1"/>
  <c r="AF51" i="14"/>
  <c r="H20" i="54"/>
  <c r="G20" i="54"/>
  <c r="F25" i="54"/>
  <c r="R111" i="29"/>
  <c r="R112" i="29"/>
  <c r="R113" i="29"/>
  <c r="R114" i="29"/>
  <c r="R115" i="29"/>
  <c r="R116" i="29"/>
  <c r="R119" i="29"/>
  <c r="R117" i="29"/>
  <c r="R120" i="29"/>
  <c r="O132" i="29"/>
  <c r="N134" i="29"/>
  <c r="AE85" i="29"/>
  <c r="M133" i="29"/>
  <c r="AD88" i="29"/>
  <c r="N80" i="29"/>
  <c r="L112" i="29"/>
  <c r="AC87" i="29"/>
  <c r="AB84" i="29"/>
  <c r="AA88" i="29"/>
  <c r="K80" i="29"/>
  <c r="Y129" i="29"/>
  <c r="H132" i="29"/>
  <c r="I89" i="29"/>
  <c r="H84" i="29"/>
  <c r="V134" i="29"/>
  <c r="W80" i="29"/>
  <c r="G85" i="29"/>
  <c r="U129" i="29"/>
  <c r="E132" i="29"/>
  <c r="E87" i="29"/>
  <c r="Q134" i="29"/>
  <c r="AH88" i="29"/>
  <c r="R80" i="29"/>
  <c r="AF130" i="29"/>
  <c r="Q88" i="29"/>
  <c r="I45" i="54"/>
  <c r="F45" i="54"/>
  <c r="I12" i="54"/>
  <c r="F12" i="54"/>
  <c r="F20" i="54"/>
  <c r="I20" i="54"/>
  <c r="I13" i="54"/>
  <c r="F13" i="54"/>
  <c r="AF82" i="29"/>
  <c r="N133" i="29"/>
  <c r="AE88" i="29"/>
  <c r="O80" i="29"/>
  <c r="M132" i="29"/>
  <c r="AD84" i="29"/>
  <c r="AB115" i="29"/>
  <c r="K134" i="29"/>
  <c r="J134" i="29"/>
  <c r="AA84" i="29"/>
  <c r="Z86" i="29"/>
  <c r="Y80" i="29"/>
  <c r="I85" i="29"/>
  <c r="G125" i="29"/>
  <c r="X86" i="29"/>
  <c r="V133" i="29"/>
  <c r="G88" i="29"/>
  <c r="T70" i="29"/>
  <c r="T66" i="29"/>
  <c r="T71" i="29"/>
  <c r="T67" i="29"/>
  <c r="T72" i="29"/>
  <c r="T68" i="29"/>
  <c r="T73" i="29"/>
  <c r="T74" i="29"/>
  <c r="T75" i="29"/>
  <c r="F86" i="29"/>
  <c r="T126" i="29"/>
  <c r="U80" i="29"/>
  <c r="E86" i="29"/>
  <c r="S125" i="29"/>
  <c r="T86" i="29"/>
  <c r="R125" i="29"/>
  <c r="S86" i="29"/>
  <c r="Q133" i="29"/>
  <c r="AH84" i="29"/>
  <c r="AF129" i="29"/>
  <c r="Q84" i="29"/>
  <c r="G42" i="54"/>
  <c r="H6" i="54"/>
  <c r="G6" i="54"/>
  <c r="G16" i="54"/>
  <c r="H16" i="54"/>
  <c r="F37" i="54"/>
  <c r="L38" i="31" s="1"/>
  <c r="D357" i="29" s="1"/>
  <c r="O126" i="29"/>
  <c r="N132" i="29"/>
  <c r="AE84" i="29"/>
  <c r="K133" i="29"/>
  <c r="AB82" i="29"/>
  <c r="L86" i="29"/>
  <c r="J133" i="29"/>
  <c r="Z89" i="29"/>
  <c r="H126" i="29"/>
  <c r="I88" i="29"/>
  <c r="W132" i="29"/>
  <c r="G130" i="29"/>
  <c r="X89" i="29"/>
  <c r="F132" i="29"/>
  <c r="G84" i="29"/>
  <c r="F89" i="29"/>
  <c r="E89" i="29"/>
  <c r="S130" i="29"/>
  <c r="T89" i="29"/>
  <c r="R128" i="29"/>
  <c r="S89" i="29"/>
  <c r="AG129" i="29"/>
  <c r="Q132" i="29"/>
  <c r="AG86" i="29"/>
  <c r="H29" i="54"/>
  <c r="G29" i="54"/>
  <c r="G44" i="54"/>
  <c r="H22" i="54"/>
  <c r="H8" i="54"/>
  <c r="S112" i="29"/>
  <c r="S113" i="29"/>
  <c r="S114" i="29"/>
  <c r="S115" i="29"/>
  <c r="S116" i="29"/>
  <c r="S119" i="29"/>
  <c r="S117" i="29"/>
  <c r="S120" i="29"/>
  <c r="S111" i="29"/>
  <c r="AB129" i="29"/>
  <c r="AB130" i="29"/>
  <c r="AB125" i="29"/>
  <c r="AB131" i="29"/>
  <c r="AB126" i="29"/>
  <c r="AB127" i="29"/>
  <c r="AB132" i="29"/>
  <c r="AB133" i="29"/>
  <c r="AB134" i="29"/>
  <c r="AE134" i="29"/>
  <c r="AF80" i="29"/>
  <c r="M126" i="29"/>
  <c r="AD82" i="29"/>
  <c r="M86" i="29"/>
  <c r="K132" i="29"/>
  <c r="L89" i="29"/>
  <c r="J132" i="29"/>
  <c r="AA82" i="29"/>
  <c r="K86" i="29"/>
  <c r="Y134" i="29"/>
  <c r="Z85" i="29"/>
  <c r="I84" i="29"/>
  <c r="G129" i="29"/>
  <c r="X85" i="29"/>
  <c r="W86" i="29"/>
  <c r="U134" i="29"/>
  <c r="V80" i="29"/>
  <c r="F85" i="29"/>
  <c r="T125" i="29"/>
  <c r="E85" i="29"/>
  <c r="S129" i="29"/>
  <c r="T85" i="29"/>
  <c r="R130" i="29"/>
  <c r="S85" i="29"/>
  <c r="AH82" i="29"/>
  <c r="AG89" i="29"/>
  <c r="Q82" i="29"/>
  <c r="E51" i="14"/>
  <c r="F11" i="54"/>
  <c r="I34" i="54"/>
  <c r="I41" i="54"/>
  <c r="I5" i="54"/>
  <c r="H41" i="54"/>
  <c r="F34" i="54"/>
  <c r="H33" i="54"/>
  <c r="AA120" i="29"/>
  <c r="AA111" i="29"/>
  <c r="AA112" i="29"/>
  <c r="AA113" i="29"/>
  <c r="AA114" i="29"/>
  <c r="AA115" i="29"/>
  <c r="AA116" i="29"/>
  <c r="AA119" i="29"/>
  <c r="AA117" i="29"/>
  <c r="V114" i="29"/>
  <c r="V115" i="29"/>
  <c r="V116" i="29"/>
  <c r="V119" i="29"/>
  <c r="V117" i="29"/>
  <c r="V120" i="29"/>
  <c r="V111" i="29"/>
  <c r="V112" i="29"/>
  <c r="V113" i="29"/>
  <c r="L129" i="29"/>
  <c r="L130" i="29"/>
  <c r="L125" i="29"/>
  <c r="L131" i="29"/>
  <c r="L126" i="29"/>
  <c r="L127" i="29"/>
  <c r="L132" i="29"/>
  <c r="L133" i="29"/>
  <c r="L134" i="29"/>
  <c r="AE133" i="29"/>
  <c r="O125" i="29"/>
  <c r="N126" i="29"/>
  <c r="AE82" i="29"/>
  <c r="AC134" i="29"/>
  <c r="AB112" i="29"/>
  <c r="M89" i="29"/>
  <c r="AB80" i="29"/>
  <c r="K89" i="29"/>
  <c r="I133" i="29"/>
  <c r="Z88" i="29"/>
  <c r="X133" i="29"/>
  <c r="H125" i="29"/>
  <c r="Y86" i="29"/>
  <c r="W126" i="29"/>
  <c r="X88" i="29"/>
  <c r="F126" i="29"/>
  <c r="W89" i="29"/>
  <c r="G82" i="29"/>
  <c r="U133" i="29"/>
  <c r="F88" i="29"/>
  <c r="T130" i="29"/>
  <c r="U86" i="29"/>
  <c r="E88" i="29"/>
  <c r="T88" i="29"/>
  <c r="R129" i="29"/>
  <c r="S88" i="29"/>
  <c r="Q126" i="29"/>
  <c r="P134" i="29"/>
  <c r="AG85" i="29"/>
  <c r="H31" i="54"/>
  <c r="N22" i="31" s="1"/>
  <c r="D210" i="29" s="1"/>
  <c r="G31" i="54"/>
  <c r="M22" i="31" s="1"/>
  <c r="D209" i="29" s="1"/>
  <c r="G38" i="54"/>
  <c r="M39" i="31" s="1"/>
  <c r="D372" i="29" s="1"/>
  <c r="I38" i="54"/>
  <c r="O39" i="31" s="1"/>
  <c r="D374" i="29" s="1"/>
  <c r="F36" i="54"/>
  <c r="L41" i="31" s="1"/>
  <c r="H23" i="54"/>
  <c r="H11" i="54"/>
  <c r="K120" i="29"/>
  <c r="K111" i="29"/>
  <c r="K112" i="29"/>
  <c r="K113" i="29"/>
  <c r="K114" i="29"/>
  <c r="K115" i="29"/>
  <c r="K116" i="29"/>
  <c r="K119" i="29"/>
  <c r="K117" i="29"/>
  <c r="F114" i="29"/>
  <c r="F115" i="29"/>
  <c r="F116" i="29"/>
  <c r="F119" i="29"/>
  <c r="F117" i="29"/>
  <c r="F120" i="29"/>
  <c r="F111" i="29"/>
  <c r="F112" i="29"/>
  <c r="F113" i="29"/>
  <c r="U112" i="29"/>
  <c r="AE132" i="29"/>
  <c r="O130" i="29"/>
  <c r="AD134" i="29"/>
  <c r="AC133" i="29"/>
  <c r="M125" i="29"/>
  <c r="AD80" i="29"/>
  <c r="AA74" i="29"/>
  <c r="AA69" i="29"/>
  <c r="AA75" i="29"/>
  <c r="AA70" i="29"/>
  <c r="AA66" i="29"/>
  <c r="AA71" i="29"/>
  <c r="AA67" i="29"/>
  <c r="AA72" i="29"/>
  <c r="AA68" i="29"/>
  <c r="AA73" i="29"/>
  <c r="M85" i="29"/>
  <c r="K126" i="29"/>
  <c r="Z134" i="29"/>
  <c r="J126" i="29"/>
  <c r="AA80" i="29"/>
  <c r="I132" i="29"/>
  <c r="J84" i="29"/>
  <c r="X132" i="29"/>
  <c r="H130" i="29"/>
  <c r="Y89" i="29"/>
  <c r="X84" i="29"/>
  <c r="W85" i="29"/>
  <c r="U132" i="29"/>
  <c r="F84" i="29"/>
  <c r="T129" i="29"/>
  <c r="U87" i="29"/>
  <c r="E84" i="29"/>
  <c r="T84" i="29"/>
  <c r="AH125" i="29"/>
  <c r="S84" i="29"/>
  <c r="AG134" i="29"/>
  <c r="AH80" i="29"/>
  <c r="P133" i="29"/>
  <c r="AG88" i="29"/>
  <c r="Q80" i="29"/>
  <c r="I32" i="14"/>
  <c r="I30" i="14" s="1"/>
  <c r="I207" i="14" s="1"/>
  <c r="H239" i="14" s="1"/>
  <c r="AF41" i="14"/>
  <c r="AF39" i="14" s="1"/>
  <c r="AF210" i="14" s="1"/>
  <c r="AE242" i="14" s="1"/>
  <c r="E35" i="14"/>
  <c r="E33" i="14" s="1"/>
  <c r="R29" i="14"/>
  <c r="R27" i="14" s="1"/>
  <c r="R206" i="14" s="1"/>
  <c r="V97" i="29"/>
  <c r="I29" i="54"/>
  <c r="F29" i="54"/>
  <c r="I44" i="54"/>
  <c r="F44" i="54"/>
  <c r="H35" i="54"/>
  <c r="G35" i="54"/>
  <c r="F16" i="54"/>
  <c r="AI255" i="14"/>
  <c r="U115" i="29"/>
  <c r="O129" i="29"/>
  <c r="P86" i="29"/>
  <c r="AD133" i="29"/>
  <c r="N125" i="29"/>
  <c r="AE80" i="29"/>
  <c r="AC132" i="29"/>
  <c r="M130" i="29"/>
  <c r="K74" i="29"/>
  <c r="K75" i="29"/>
  <c r="K69" i="29"/>
  <c r="K70" i="29"/>
  <c r="K66" i="29"/>
  <c r="K71" i="29"/>
  <c r="K67" i="29"/>
  <c r="K72" i="29"/>
  <c r="K68" i="29"/>
  <c r="K73" i="29"/>
  <c r="M88" i="29"/>
  <c r="AA134" i="29"/>
  <c r="Z128" i="29"/>
  <c r="H129" i="29"/>
  <c r="Y85" i="29"/>
  <c r="W125" i="29"/>
  <c r="G134" i="29"/>
  <c r="F125" i="29"/>
  <c r="W88" i="29"/>
  <c r="V86" i="29"/>
  <c r="U89" i="29"/>
  <c r="S134" i="29"/>
  <c r="AH130" i="29"/>
  <c r="AG133" i="29"/>
  <c r="Q125" i="29"/>
  <c r="P132" i="29"/>
  <c r="AG84" i="29"/>
  <c r="I43" i="54"/>
  <c r="F43" i="54"/>
  <c r="AC111" i="29"/>
  <c r="AC112" i="29"/>
  <c r="AC113" i="29"/>
  <c r="AC114" i="29"/>
  <c r="AC115" i="29"/>
  <c r="AC116" i="29"/>
  <c r="AC119" i="29"/>
  <c r="AC117" i="29"/>
  <c r="AC120" i="29"/>
  <c r="AE126" i="29"/>
  <c r="P89" i="29"/>
  <c r="AD132" i="29"/>
  <c r="N130" i="29"/>
  <c r="M129" i="29"/>
  <c r="AC86" i="29"/>
  <c r="M84" i="29"/>
  <c r="AA133" i="29"/>
  <c r="K125" i="29"/>
  <c r="AB86" i="29"/>
  <c r="Z133" i="29"/>
  <c r="J125" i="29"/>
  <c r="I126" i="29"/>
  <c r="J82" i="29"/>
  <c r="X126" i="29"/>
  <c r="Y88" i="29"/>
  <c r="W130" i="29"/>
  <c r="G133" i="29"/>
  <c r="H82" i="29"/>
  <c r="V132" i="29"/>
  <c r="F130" i="29"/>
  <c r="W84" i="29"/>
  <c r="E126" i="29"/>
  <c r="V89" i="29"/>
  <c r="F82" i="29"/>
  <c r="U85" i="29"/>
  <c r="E82" i="29"/>
  <c r="S133" i="29"/>
  <c r="T82" i="29"/>
  <c r="AH129" i="29"/>
  <c r="R134" i="29"/>
  <c r="S82" i="29"/>
  <c r="AG132" i="29"/>
  <c r="Q130" i="29"/>
  <c r="G40" i="54"/>
  <c r="H27" i="54"/>
  <c r="G27" i="54"/>
  <c r="W115" i="29"/>
  <c r="W116" i="29"/>
  <c r="W119" i="29"/>
  <c r="W117" i="29"/>
  <c r="W120" i="29"/>
  <c r="W111" i="29"/>
  <c r="W112" i="29"/>
  <c r="W113" i="29"/>
  <c r="W114" i="29"/>
  <c r="AG111" i="29"/>
  <c r="AG112" i="29"/>
  <c r="AG113" i="29"/>
  <c r="AG114" i="29"/>
  <c r="AG115" i="29"/>
  <c r="AG116" i="29"/>
  <c r="AG119" i="29"/>
  <c r="AG117" i="29"/>
  <c r="AG120" i="29"/>
  <c r="M111" i="29"/>
  <c r="M112" i="29"/>
  <c r="M113" i="29"/>
  <c r="M114" i="29"/>
  <c r="M115" i="29"/>
  <c r="M116" i="29"/>
  <c r="M119" i="29"/>
  <c r="M117" i="29"/>
  <c r="M120" i="29"/>
  <c r="P85" i="29"/>
  <c r="N129" i="29"/>
  <c r="AC126" i="29"/>
  <c r="N86" i="29"/>
  <c r="AC89" i="29"/>
  <c r="AA132" i="29"/>
  <c r="K130" i="29"/>
  <c r="AB89" i="29"/>
  <c r="Z132" i="29"/>
  <c r="J130" i="29"/>
  <c r="AA86" i="29"/>
  <c r="Y84" i="29"/>
  <c r="W129" i="29"/>
  <c r="F129" i="29"/>
  <c r="V85" i="29"/>
  <c r="T134" i="29"/>
  <c r="U88" i="29"/>
  <c r="S132" i="29"/>
  <c r="R133" i="29"/>
  <c r="R86" i="29"/>
  <c r="P126" i="29"/>
  <c r="AG82" i="29"/>
  <c r="Z117" i="29"/>
  <c r="Z120" i="29"/>
  <c r="Z111" i="29"/>
  <c r="Z112" i="29"/>
  <c r="Z113" i="29"/>
  <c r="Z114" i="29"/>
  <c r="Z115" i="29"/>
  <c r="Z116" i="29"/>
  <c r="Z119" i="29"/>
  <c r="G115" i="29"/>
  <c r="G116" i="29"/>
  <c r="G119" i="29"/>
  <c r="G117" i="29"/>
  <c r="G120" i="29"/>
  <c r="G111" i="29"/>
  <c r="G112" i="29"/>
  <c r="G113" i="29"/>
  <c r="G114" i="29"/>
  <c r="Q111" i="29"/>
  <c r="Q112" i="29"/>
  <c r="Q113" i="29"/>
  <c r="Q114" i="29"/>
  <c r="Q115" i="29"/>
  <c r="Q116" i="29"/>
  <c r="Q119" i="29"/>
  <c r="Q117" i="29"/>
  <c r="Q120" i="29"/>
  <c r="AF111" i="29"/>
  <c r="AF112" i="29"/>
  <c r="AF113" i="29"/>
  <c r="AF114" i="29"/>
  <c r="AF115" i="29"/>
  <c r="AF116" i="29"/>
  <c r="AF119" i="29"/>
  <c r="AF117" i="29"/>
  <c r="AF120" i="29"/>
  <c r="AE111" i="29"/>
  <c r="AE112" i="29"/>
  <c r="AE113" i="29"/>
  <c r="AE114" i="29"/>
  <c r="AE115" i="29"/>
  <c r="AE116" i="29"/>
  <c r="AE119" i="29"/>
  <c r="AE117" i="29"/>
  <c r="AE120" i="29"/>
  <c r="AE125" i="29"/>
  <c r="AD75" i="29"/>
  <c r="AD70" i="29"/>
  <c r="AD66" i="29"/>
  <c r="AD71" i="29"/>
  <c r="AD67" i="29"/>
  <c r="AD72" i="29"/>
  <c r="AD68" i="29"/>
  <c r="AD73" i="29"/>
  <c r="AD74" i="29"/>
  <c r="P88" i="29"/>
  <c r="AD126" i="29"/>
  <c r="O86" i="29"/>
  <c r="N89" i="29"/>
  <c r="AC85" i="29"/>
  <c r="M82" i="29"/>
  <c r="K129" i="29"/>
  <c r="L85" i="29"/>
  <c r="J129" i="29"/>
  <c r="AA89" i="29"/>
  <c r="Y133" i="29"/>
  <c r="I125" i="29"/>
  <c r="H72" i="29"/>
  <c r="H68" i="29"/>
  <c r="H73" i="29"/>
  <c r="H74" i="29"/>
  <c r="H75" i="29"/>
  <c r="H70" i="29"/>
  <c r="H66" i="29"/>
  <c r="H71" i="29"/>
  <c r="H67" i="29"/>
  <c r="J80" i="29"/>
  <c r="X125" i="29"/>
  <c r="H134" i="29"/>
  <c r="H80" i="29"/>
  <c r="V126" i="29"/>
  <c r="W82" i="29"/>
  <c r="E125" i="29"/>
  <c r="V88" i="29"/>
  <c r="T133" i="29"/>
  <c r="U84" i="29"/>
  <c r="T80" i="29"/>
  <c r="AH128" i="29"/>
  <c r="R132" i="29"/>
  <c r="S80" i="29"/>
  <c r="AG126" i="29"/>
  <c r="R89" i="29"/>
  <c r="AF134" i="29"/>
  <c r="I40" i="54"/>
  <c r="F40" i="54"/>
  <c r="H13" i="54"/>
  <c r="G13" i="54"/>
  <c r="H40" i="54"/>
  <c r="H43" i="54"/>
  <c r="J117" i="29"/>
  <c r="J120" i="29"/>
  <c r="J111" i="29"/>
  <c r="J112" i="29"/>
  <c r="J113" i="29"/>
  <c r="J114" i="29"/>
  <c r="J115" i="29"/>
  <c r="J116" i="29"/>
  <c r="J119" i="29"/>
  <c r="Y119" i="29"/>
  <c r="Y117" i="29"/>
  <c r="Y120" i="29"/>
  <c r="Y111" i="29"/>
  <c r="Y112" i="29"/>
  <c r="Y113" i="29"/>
  <c r="Y114" i="29"/>
  <c r="Y115" i="29"/>
  <c r="Y116" i="29"/>
  <c r="P111" i="29"/>
  <c r="P112" i="29"/>
  <c r="P113" i="29"/>
  <c r="P114" i="29"/>
  <c r="P115" i="29"/>
  <c r="P116" i="29"/>
  <c r="P119" i="29"/>
  <c r="P117" i="29"/>
  <c r="P120" i="29"/>
  <c r="O111" i="29"/>
  <c r="O112" i="29"/>
  <c r="O113" i="29"/>
  <c r="O114" i="29"/>
  <c r="O115" i="29"/>
  <c r="O116" i="29"/>
  <c r="O119" i="29"/>
  <c r="O117" i="29"/>
  <c r="O120" i="29"/>
  <c r="AE130" i="29"/>
  <c r="N75" i="29"/>
  <c r="N70" i="29"/>
  <c r="N66" i="29"/>
  <c r="N71" i="29"/>
  <c r="N67" i="29"/>
  <c r="N72" i="29"/>
  <c r="N68" i="29"/>
  <c r="N73" i="29"/>
  <c r="N74" i="29"/>
  <c r="P84" i="29"/>
  <c r="O89" i="29"/>
  <c r="AC125" i="29"/>
  <c r="N85" i="29"/>
  <c r="AC88" i="29"/>
  <c r="AA126" i="29"/>
  <c r="L88" i="29"/>
  <c r="Z126" i="29"/>
  <c r="K85" i="29"/>
  <c r="Y132" i="29"/>
  <c r="I130" i="29"/>
  <c r="Z84" i="29"/>
  <c r="X130" i="29"/>
  <c r="I82" i="29"/>
  <c r="E130" i="29"/>
  <c r="V84" i="29"/>
  <c r="T132" i="29"/>
  <c r="S126" i="29"/>
  <c r="R85" i="29"/>
  <c r="AF133" i="29"/>
  <c r="P125" i="29"/>
  <c r="AG80" i="29"/>
  <c r="M45" i="14"/>
  <c r="H37" i="54"/>
  <c r="N38" i="31" s="1"/>
  <c r="D359" i="29" s="1"/>
  <c r="G37" i="54"/>
  <c r="M38" i="31" s="1"/>
  <c r="D358" i="29" s="1"/>
  <c r="F33" i="54"/>
  <c r="H25" i="54"/>
  <c r="H21" i="54"/>
  <c r="N17" i="31" s="1"/>
  <c r="D165" i="29" s="1"/>
  <c r="I119" i="29"/>
  <c r="I117" i="29"/>
  <c r="I120" i="29"/>
  <c r="I111" i="29"/>
  <c r="I112" i="29"/>
  <c r="I113" i="29"/>
  <c r="I114" i="29"/>
  <c r="I115" i="29"/>
  <c r="I116" i="29"/>
  <c r="AE129" i="29"/>
  <c r="AF86" i="29"/>
  <c r="AD125" i="29"/>
  <c r="AC130" i="29"/>
  <c r="AB74" i="29"/>
  <c r="AB75" i="29"/>
  <c r="AB70" i="29"/>
  <c r="AB66" i="29"/>
  <c r="AB71" i="29"/>
  <c r="AB67" i="29"/>
  <c r="AB72" i="29"/>
  <c r="AB68" i="29"/>
  <c r="AB73" i="29"/>
  <c r="N88" i="29"/>
  <c r="AC84" i="29"/>
  <c r="M87" i="29"/>
  <c r="L84" i="29"/>
  <c r="K88" i="29"/>
  <c r="I129" i="29"/>
  <c r="X129" i="29"/>
  <c r="W134" i="29"/>
  <c r="V125" i="29"/>
  <c r="F134" i="29"/>
  <c r="G80" i="29"/>
  <c r="E129" i="29"/>
  <c r="U82" i="29"/>
  <c r="R126" i="29"/>
  <c r="AG125" i="29"/>
  <c r="R88" i="29"/>
  <c r="P130" i="29"/>
  <c r="Q41" i="14"/>
  <c r="Q39" i="14" s="1"/>
  <c r="Q210" i="14" s="1"/>
  <c r="P242" i="14" s="1"/>
  <c r="K103" i="29"/>
  <c r="I26" i="54"/>
  <c r="F26" i="54"/>
  <c r="T112" i="29"/>
  <c r="T113" i="29"/>
  <c r="T114" i="29"/>
  <c r="T115" i="29"/>
  <c r="T116" i="29"/>
  <c r="T119" i="29"/>
  <c r="T118" i="29"/>
  <c r="T117" i="29"/>
  <c r="T120" i="29"/>
  <c r="T111" i="29"/>
  <c r="P82" i="29"/>
  <c r="AD130" i="29"/>
  <c r="AC75" i="29"/>
  <c r="AC70" i="29"/>
  <c r="AC66" i="29"/>
  <c r="AC71" i="29"/>
  <c r="AC67" i="29"/>
  <c r="AC72" i="29"/>
  <c r="AC68" i="29"/>
  <c r="AC73" i="29"/>
  <c r="AC74" i="29"/>
  <c r="AC129" i="29"/>
  <c r="L74" i="29"/>
  <c r="L75" i="29"/>
  <c r="L70" i="29"/>
  <c r="L66" i="29"/>
  <c r="L71" i="29"/>
  <c r="L67" i="29"/>
  <c r="L72" i="29"/>
  <c r="L68" i="29"/>
  <c r="L73" i="29"/>
  <c r="N84" i="29"/>
  <c r="M80" i="29"/>
  <c r="AA125" i="29"/>
  <c r="Z73" i="29"/>
  <c r="Z74" i="29"/>
  <c r="Z75" i="29"/>
  <c r="Z70" i="29"/>
  <c r="Z66" i="29"/>
  <c r="Z71" i="29"/>
  <c r="Z67" i="29"/>
  <c r="Z72" i="29"/>
  <c r="Z68" i="29"/>
  <c r="J128" i="29"/>
  <c r="K84" i="29"/>
  <c r="Y126" i="29"/>
  <c r="Z82" i="29"/>
  <c r="J86" i="29"/>
  <c r="W133" i="29"/>
  <c r="X82" i="29"/>
  <c r="V130" i="29"/>
  <c r="F133" i="29"/>
  <c r="S70" i="29"/>
  <c r="S66" i="29"/>
  <c r="S71" i="29"/>
  <c r="S69" i="29"/>
  <c r="S67" i="29"/>
  <c r="S72" i="29"/>
  <c r="S68" i="29"/>
  <c r="S73" i="29"/>
  <c r="S74" i="29"/>
  <c r="S75" i="29"/>
  <c r="AH70" i="29"/>
  <c r="AH66" i="29"/>
  <c r="AH71" i="29"/>
  <c r="AH67" i="29"/>
  <c r="AH72" i="29"/>
  <c r="AH68" i="29"/>
  <c r="AH73" i="29"/>
  <c r="AH74" i="29"/>
  <c r="AH75" i="29"/>
  <c r="P32" i="14"/>
  <c r="P30" i="14" s="1"/>
  <c r="P207" i="14" s="1"/>
  <c r="O239" i="14" s="1"/>
  <c r="L29" i="14"/>
  <c r="L27" i="14" s="1"/>
  <c r="L206" i="14" s="1"/>
  <c r="L38" i="14"/>
  <c r="L36" i="14" s="1"/>
  <c r="L209" i="14" s="1"/>
  <c r="K241" i="14" s="1"/>
  <c r="P38" i="14"/>
  <c r="P36" i="14" s="1"/>
  <c r="P209" i="14" s="1"/>
  <c r="O241" i="14" s="1"/>
  <c r="N35" i="14"/>
  <c r="N33" i="14" s="1"/>
  <c r="N208" i="14" s="1"/>
  <c r="M240" i="14" s="1"/>
  <c r="L41" i="14"/>
  <c r="L39" i="14" s="1"/>
  <c r="L210" i="14" s="1"/>
  <c r="K242" i="14" s="1"/>
  <c r="N32" i="14"/>
  <c r="N30" i="14" s="1"/>
  <c r="N207" i="14" s="1"/>
  <c r="M239" i="14" s="1"/>
  <c r="L32" i="14"/>
  <c r="L30" i="14" s="1"/>
  <c r="L207" i="14" s="1"/>
  <c r="K239" i="14" s="1"/>
  <c r="P29" i="14"/>
  <c r="P27" i="14" s="1"/>
  <c r="P206" i="14" s="1"/>
  <c r="N105" i="29"/>
  <c r="N45" i="14"/>
  <c r="V103" i="29"/>
  <c r="AH29" i="14"/>
  <c r="AH27" i="14" s="1"/>
  <c r="AH206" i="14" s="1"/>
  <c r="M41" i="14"/>
  <c r="M39" i="14" s="1"/>
  <c r="M210" i="14" s="1"/>
  <c r="L242" i="14" s="1"/>
  <c r="N51" i="14"/>
  <c r="N98" i="29"/>
  <c r="Q45" i="14"/>
  <c r="V105" i="29"/>
  <c r="V98" i="29"/>
  <c r="N29" i="14"/>
  <c r="N27" i="14" s="1"/>
  <c r="P35" i="14"/>
  <c r="P33" i="14" s="1"/>
  <c r="P208" i="14" s="1"/>
  <c r="O240" i="14" s="1"/>
  <c r="N41" i="14"/>
  <c r="N39" i="14" s="1"/>
  <c r="N210" i="14" s="1"/>
  <c r="M242" i="14" s="1"/>
  <c r="L35" i="14"/>
  <c r="L33" i="14" s="1"/>
  <c r="L208" i="14" s="1"/>
  <c r="K240" i="14" s="1"/>
  <c r="N97" i="29"/>
  <c r="AA105" i="29"/>
  <c r="C38" i="54"/>
  <c r="I39" i="31" s="1"/>
  <c r="D368" i="29" s="1"/>
  <c r="B9" i="54"/>
  <c r="AA32" i="14"/>
  <c r="AA30" i="14" s="1"/>
  <c r="AA207" i="14" s="1"/>
  <c r="Z239" i="14" s="1"/>
  <c r="H35" i="14"/>
  <c r="H33" i="14" s="1"/>
  <c r="H208" i="14" s="1"/>
  <c r="G240" i="14" s="1"/>
  <c r="H38" i="14"/>
  <c r="H36" i="14" s="1"/>
  <c r="H209" i="14" s="1"/>
  <c r="G241" i="14" s="1"/>
  <c r="AD35" i="14"/>
  <c r="AD33" i="14" s="1"/>
  <c r="AD208" i="14" s="1"/>
  <c r="AC240" i="14" s="1"/>
  <c r="F32" i="14"/>
  <c r="F30" i="14" s="1"/>
  <c r="F207" i="14" s="1"/>
  <c r="E239" i="14" s="1"/>
  <c r="R41" i="14"/>
  <c r="R39" i="14" s="1"/>
  <c r="R210" i="14" s="1"/>
  <c r="Q242" i="14" s="1"/>
  <c r="AF29" i="14"/>
  <c r="AF27" i="14" s="1"/>
  <c r="AF206" i="14" s="1"/>
  <c r="X53" i="14"/>
  <c r="AA35" i="14"/>
  <c r="AA33" i="14" s="1"/>
  <c r="AA208" i="14" s="1"/>
  <c r="Z240" i="14" s="1"/>
  <c r="F29" i="14"/>
  <c r="F27" i="14" s="1"/>
  <c r="H32" i="14"/>
  <c r="H30" i="14" s="1"/>
  <c r="H207" i="14" s="1"/>
  <c r="G239" i="14" s="1"/>
  <c r="AA38" i="14"/>
  <c r="AA36" i="14" s="1"/>
  <c r="AA209" i="14" s="1"/>
  <c r="Z241" i="14" s="1"/>
  <c r="F38" i="14"/>
  <c r="F36" i="14" s="1"/>
  <c r="F209" i="14" s="1"/>
  <c r="E241" i="14" s="1"/>
  <c r="F35" i="14"/>
  <c r="F33" i="14" s="1"/>
  <c r="F208" i="14" s="1"/>
  <c r="E240" i="14" s="1"/>
  <c r="AB41" i="14"/>
  <c r="AB39" i="14" s="1"/>
  <c r="AB210" i="14" s="1"/>
  <c r="AA242" i="14" s="1"/>
  <c r="F41" i="14"/>
  <c r="F39" i="14" s="1"/>
  <c r="F210" i="14" s="1"/>
  <c r="E242" i="14" s="1"/>
  <c r="X51" i="14"/>
  <c r="B15" i="54"/>
  <c r="B5" i="54"/>
  <c r="D10" i="54"/>
  <c r="E10" i="54"/>
  <c r="C44" i="54"/>
  <c r="V53" i="14"/>
  <c r="C36" i="54"/>
  <c r="I41" i="31" s="1"/>
  <c r="AG51" i="14"/>
  <c r="AD103" i="29"/>
  <c r="C37" i="54"/>
  <c r="I38" i="31" s="1"/>
  <c r="D354" i="29" s="1"/>
  <c r="C40" i="54"/>
  <c r="C14" i="54"/>
  <c r="AA41" i="14"/>
  <c r="AA39" i="14" s="1"/>
  <c r="AA210" i="14" s="1"/>
  <c r="Z242" i="14" s="1"/>
  <c r="G103" i="29"/>
  <c r="AD97" i="29"/>
  <c r="AD105" i="29"/>
  <c r="C39" i="54"/>
  <c r="H29" i="14"/>
  <c r="H27" i="14" s="1"/>
  <c r="H206" i="14" s="1"/>
  <c r="G97" i="29"/>
  <c r="C43" i="54"/>
  <c r="D6" i="54"/>
  <c r="C13" i="54"/>
  <c r="G98" i="29"/>
  <c r="H53" i="14"/>
  <c r="N11" i="54"/>
  <c r="D7" i="54"/>
  <c r="H51" i="14"/>
  <c r="B14" i="54"/>
  <c r="C42" i="54"/>
  <c r="E11" i="54"/>
  <c r="F51" i="14"/>
  <c r="C41" i="54"/>
  <c r="D14" i="54"/>
  <c r="AA45" i="14"/>
  <c r="L45" i="14"/>
  <c r="P53" i="14"/>
  <c r="I53" i="14"/>
  <c r="P45" i="14"/>
  <c r="L53" i="14"/>
  <c r="I45" i="14"/>
  <c r="N53" i="14"/>
  <c r="E27" i="14"/>
  <c r="E206" i="14" s="1"/>
  <c r="E190" i="14"/>
  <c r="F190" i="14" s="1"/>
  <c r="Y32" i="14"/>
  <c r="Y30" i="14" s="1"/>
  <c r="Y207" i="14" s="1"/>
  <c r="X239" i="14" s="1"/>
  <c r="AA51" i="14"/>
  <c r="F53" i="14"/>
  <c r="W32" i="14"/>
  <c r="W30" i="14" s="1"/>
  <c r="W207" i="14" s="1"/>
  <c r="V239" i="14" s="1"/>
  <c r="F45" i="14"/>
  <c r="K38" i="14"/>
  <c r="K36" i="14" s="1"/>
  <c r="K209" i="14" s="1"/>
  <c r="J241" i="14" s="1"/>
  <c r="Y35" i="14"/>
  <c r="Y33" i="14" s="1"/>
  <c r="Y208" i="14" s="1"/>
  <c r="X240" i="14" s="1"/>
  <c r="K41" i="14"/>
  <c r="K39" i="14" s="1"/>
  <c r="K210" i="14" s="1"/>
  <c r="J242" i="14" s="1"/>
  <c r="Y38" i="14"/>
  <c r="Y36" i="14" s="1"/>
  <c r="Y209" i="14" s="1"/>
  <c r="X241" i="14" s="1"/>
  <c r="K32" i="14"/>
  <c r="K30" i="14" s="1"/>
  <c r="K207" i="14" s="1"/>
  <c r="J239" i="14" s="1"/>
  <c r="J45" i="14"/>
  <c r="F103" i="29"/>
  <c r="U32" i="14"/>
  <c r="U30" i="14" s="1"/>
  <c r="U207" i="14" s="1"/>
  <c r="T239" i="14" s="1"/>
  <c r="K29" i="14"/>
  <c r="K27" i="14" s="1"/>
  <c r="K35" i="14"/>
  <c r="K33" i="14" s="1"/>
  <c r="K208" i="14" s="1"/>
  <c r="J240" i="14" s="1"/>
  <c r="U35" i="14"/>
  <c r="U33" i="14" s="1"/>
  <c r="U208" i="14" s="1"/>
  <c r="T240" i="14" s="1"/>
  <c r="W29" i="14"/>
  <c r="W27" i="14" s="1"/>
  <c r="W35" i="14"/>
  <c r="W33" i="14" s="1"/>
  <c r="W208" i="14" s="1"/>
  <c r="V240" i="14" s="1"/>
  <c r="U29" i="14"/>
  <c r="U27" i="14" s="1"/>
  <c r="Y41" i="14"/>
  <c r="Y39" i="14" s="1"/>
  <c r="Y210" i="14" s="1"/>
  <c r="X242" i="14" s="1"/>
  <c r="W38" i="14"/>
  <c r="W36" i="14" s="1"/>
  <c r="W209" i="14" s="1"/>
  <c r="V241" i="14" s="1"/>
  <c r="U38" i="14"/>
  <c r="U36" i="14" s="1"/>
  <c r="U209" i="14" s="1"/>
  <c r="T241" i="14" s="1"/>
  <c r="G45" i="14"/>
  <c r="Y29" i="14"/>
  <c r="Y27" i="14" s="1"/>
  <c r="Y206" i="14" s="1"/>
  <c r="W41" i="14"/>
  <c r="W39" i="14" s="1"/>
  <c r="W210" i="14" s="1"/>
  <c r="V242" i="14" s="1"/>
  <c r="K97" i="29"/>
  <c r="E64" i="14"/>
  <c r="E222" i="14" s="1"/>
  <c r="K64" i="14"/>
  <c r="K222" i="14" s="1"/>
  <c r="J251" i="14" s="1"/>
  <c r="W61" i="14"/>
  <c r="W219" i="14" s="1"/>
  <c r="V249" i="14" s="1"/>
  <c r="S64" i="14"/>
  <c r="S222" i="14" s="1"/>
  <c r="R251" i="14" s="1"/>
  <c r="L63" i="14"/>
  <c r="L221" i="14" s="1"/>
  <c r="K250" i="14" s="1"/>
  <c r="I61" i="14"/>
  <c r="I219" i="14" s="1"/>
  <c r="H249" i="14" s="1"/>
  <c r="D194" i="29"/>
  <c r="Q32" i="14"/>
  <c r="Q30" i="14" s="1"/>
  <c r="Q207" i="14" s="1"/>
  <c r="P239" i="14" s="1"/>
  <c r="M29" i="14"/>
  <c r="M27" i="14" s="1"/>
  <c r="AH38" i="14"/>
  <c r="AH36" i="14" s="1"/>
  <c r="AH209" i="14" s="1"/>
  <c r="AG241" i="14" s="1"/>
  <c r="O41" i="14"/>
  <c r="O39" i="14" s="1"/>
  <c r="O210" i="14" s="1"/>
  <c r="N242" i="14" s="1"/>
  <c r="M38" i="14"/>
  <c r="M36" i="14" s="1"/>
  <c r="M209" i="14" s="1"/>
  <c r="L241" i="14" s="1"/>
  <c r="O38" i="14"/>
  <c r="O36" i="14" s="1"/>
  <c r="O209" i="14" s="1"/>
  <c r="N241" i="14" s="1"/>
  <c r="AH32" i="14"/>
  <c r="AH30" i="14" s="1"/>
  <c r="AH207" i="14" s="1"/>
  <c r="AG239" i="14" s="1"/>
  <c r="Q29" i="14"/>
  <c r="Q27" i="14" s="1"/>
  <c r="W97" i="29"/>
  <c r="M53" i="14"/>
  <c r="M98" i="29"/>
  <c r="D195" i="29"/>
  <c r="M32" i="14"/>
  <c r="M30" i="14" s="1"/>
  <c r="M207" i="14" s="1"/>
  <c r="L239" i="14" s="1"/>
  <c r="Q35" i="14"/>
  <c r="Q33" i="14" s="1"/>
  <c r="Q208" i="14" s="1"/>
  <c r="P240" i="14" s="1"/>
  <c r="Q38" i="14"/>
  <c r="Q36" i="14" s="1"/>
  <c r="Q209" i="14" s="1"/>
  <c r="P241" i="14" s="1"/>
  <c r="O97" i="29"/>
  <c r="U53" i="14"/>
  <c r="AH45" i="14"/>
  <c r="M97" i="29"/>
  <c r="AD30" i="14"/>
  <c r="AD207" i="14" s="1"/>
  <c r="AC239" i="14" s="1"/>
  <c r="Z27" i="14"/>
  <c r="Z206" i="14" s="1"/>
  <c r="M35" i="14"/>
  <c r="M33" i="14" s="1"/>
  <c r="M208" i="14" s="1"/>
  <c r="L240" i="14" s="1"/>
  <c r="Q51" i="14"/>
  <c r="M51" i="14"/>
  <c r="M103" i="29"/>
  <c r="O32" i="14"/>
  <c r="O30" i="14" s="1"/>
  <c r="O207" i="14" s="1"/>
  <c r="N239" i="14" s="1"/>
  <c r="Y51" i="14"/>
  <c r="U41" i="14"/>
  <c r="U39" i="14" s="1"/>
  <c r="U210" i="14" s="1"/>
  <c r="T242" i="14" s="1"/>
  <c r="Q53" i="14"/>
  <c r="O45" i="14"/>
  <c r="AF36" i="14"/>
  <c r="AF209" i="14" s="1"/>
  <c r="AE241" i="14" s="1"/>
  <c r="W103" i="29"/>
  <c r="Y53" i="14"/>
  <c r="H45" i="14"/>
  <c r="O103" i="29"/>
  <c r="O53" i="14"/>
  <c r="AH53" i="14"/>
  <c r="O29" i="14"/>
  <c r="O27" i="14" s="1"/>
  <c r="O35" i="14"/>
  <c r="O33" i="14" s="1"/>
  <c r="O208" i="14" s="1"/>
  <c r="N240" i="14" s="1"/>
  <c r="AH35" i="14"/>
  <c r="AH33" i="14" s="1"/>
  <c r="AH208" i="14" s="1"/>
  <c r="AG240" i="14" s="1"/>
  <c r="AH41" i="14"/>
  <c r="AH39" i="14" s="1"/>
  <c r="AH210" i="14" s="1"/>
  <c r="AG242" i="14" s="1"/>
  <c r="AH51" i="14"/>
  <c r="O51" i="14"/>
  <c r="W53" i="14"/>
  <c r="AA53" i="14"/>
  <c r="S51" i="14"/>
  <c r="AC51" i="14"/>
  <c r="AE51" i="14"/>
  <c r="J53" i="14"/>
  <c r="AB53" i="14"/>
  <c r="K45" i="14"/>
  <c r="AC45" i="14"/>
  <c r="AE45" i="14"/>
  <c r="AG45" i="14"/>
  <c r="F98" i="29"/>
  <c r="R53" i="14"/>
  <c r="S45" i="14"/>
  <c r="J51" i="14"/>
  <c r="T51" i="14"/>
  <c r="V51" i="14"/>
  <c r="AF53" i="14"/>
  <c r="K53" i="14"/>
  <c r="AC53" i="14"/>
  <c r="V45" i="14"/>
  <c r="X45" i="14"/>
  <c r="U97" i="29"/>
  <c r="E97" i="29"/>
  <c r="R38" i="14"/>
  <c r="R36" i="14" s="1"/>
  <c r="R209" i="14" s="1"/>
  <c r="Q241" i="14" s="1"/>
  <c r="AG29" i="14"/>
  <c r="AG27" i="14" s="1"/>
  <c r="AG206" i="14" s="1"/>
  <c r="R51" i="14"/>
  <c r="AB51" i="14"/>
  <c r="AD51" i="14"/>
  <c r="S53" i="14"/>
  <c r="T45" i="14"/>
  <c r="AD45" i="14"/>
  <c r="AF45" i="14"/>
  <c r="K98" i="29"/>
  <c r="K105" i="29"/>
  <c r="U105" i="29"/>
  <c r="F97" i="29"/>
  <c r="F105" i="29"/>
  <c r="U103" i="29"/>
  <c r="E103" i="29"/>
  <c r="AB45" i="14"/>
  <c r="G30" i="14"/>
  <c r="G207" i="14" s="1"/>
  <c r="F239" i="14" s="1"/>
  <c r="S27" i="14"/>
  <c r="S206" i="14" s="1"/>
  <c r="K51" i="14"/>
  <c r="U51" i="14"/>
  <c r="W51" i="14"/>
  <c r="AE53" i="14"/>
  <c r="AG53" i="14"/>
  <c r="T53" i="14"/>
  <c r="AD53" i="14"/>
  <c r="U45" i="14"/>
  <c r="W45" i="14"/>
  <c r="Y45" i="14"/>
  <c r="X30" i="14"/>
  <c r="X207" i="14" s="1"/>
  <c r="W239" i="14" s="1"/>
  <c r="AE105" i="29"/>
  <c r="O105" i="29"/>
  <c r="M105" i="29"/>
  <c r="W105" i="29"/>
  <c r="U98" i="29"/>
  <c r="G105" i="29"/>
  <c r="E98" i="29"/>
  <c r="AD98" i="29"/>
  <c r="AA97" i="29"/>
  <c r="AA103" i="29"/>
  <c r="F194" i="14"/>
  <c r="F193" i="14"/>
  <c r="F40" i="29" s="1"/>
  <c r="AB27" i="14"/>
  <c r="AB206" i="14" s="1"/>
  <c r="H103" i="29"/>
  <c r="H97" i="29"/>
  <c r="H98" i="29"/>
  <c r="H105" i="29"/>
  <c r="R45" i="14"/>
  <c r="I49" i="14"/>
  <c r="K49" i="14"/>
  <c r="U49" i="14"/>
  <c r="W49" i="14"/>
  <c r="AE26" i="14"/>
  <c r="AE15" i="29" s="1"/>
  <c r="W26" i="14"/>
  <c r="W15" i="29" s="1"/>
  <c r="O26" i="14"/>
  <c r="O15" i="29" s="1"/>
  <c r="G26" i="14"/>
  <c r="G15" i="29" s="1"/>
  <c r="AD26" i="14"/>
  <c r="AD15" i="29" s="1"/>
  <c r="V26" i="14"/>
  <c r="V15" i="29" s="1"/>
  <c r="N26" i="14"/>
  <c r="N15" i="29" s="1"/>
  <c r="F26" i="14"/>
  <c r="F15" i="29" s="1"/>
  <c r="AC26" i="14"/>
  <c r="AC15" i="29" s="1"/>
  <c r="U26" i="14"/>
  <c r="U15" i="29" s="1"/>
  <c r="M26" i="14"/>
  <c r="M15" i="29" s="1"/>
  <c r="E15" i="29"/>
  <c r="AB26" i="14"/>
  <c r="AB15" i="29" s="1"/>
  <c r="T26" i="14"/>
  <c r="T15" i="29" s="1"/>
  <c r="L26" i="14"/>
  <c r="L15" i="29" s="1"/>
  <c r="AA26" i="14"/>
  <c r="AA15" i="29" s="1"/>
  <c r="S26" i="14"/>
  <c r="S15" i="29" s="1"/>
  <c r="K26" i="14"/>
  <c r="K15" i="29" s="1"/>
  <c r="AH26" i="14"/>
  <c r="AH15" i="29" s="1"/>
  <c r="Z26" i="14"/>
  <c r="Z15" i="29" s="1"/>
  <c r="R26" i="14"/>
  <c r="R15" i="29" s="1"/>
  <c r="J26" i="14"/>
  <c r="J15" i="29" s="1"/>
  <c r="AG26" i="14"/>
  <c r="AG15" i="29" s="1"/>
  <c r="Y26" i="14"/>
  <c r="Y15" i="29" s="1"/>
  <c r="Q26" i="14"/>
  <c r="Q15" i="29" s="1"/>
  <c r="I26" i="14"/>
  <c r="I15" i="29" s="1"/>
  <c r="P26" i="14"/>
  <c r="P15" i="29" s="1"/>
  <c r="H26" i="14"/>
  <c r="H15" i="29" s="1"/>
  <c r="AF26" i="14"/>
  <c r="AF15" i="29" s="1"/>
  <c r="X26" i="14"/>
  <c r="X15" i="29" s="1"/>
  <c r="AE55" i="14"/>
  <c r="AG55" i="14"/>
  <c r="L55" i="14"/>
  <c r="N55" i="14"/>
  <c r="S47" i="14"/>
  <c r="AC47" i="14"/>
  <c r="AE47" i="14"/>
  <c r="AG47" i="14"/>
  <c r="Z45" i="14"/>
  <c r="Q49" i="14"/>
  <c r="S49" i="14"/>
  <c r="AC49" i="14"/>
  <c r="AE49" i="14"/>
  <c r="H55" i="14"/>
  <c r="J55" i="14"/>
  <c r="T55" i="14"/>
  <c r="V55" i="14"/>
  <c r="AA47" i="14"/>
  <c r="F47" i="14"/>
  <c r="H47" i="14"/>
  <c r="V33" i="14"/>
  <c r="V208" i="14" s="1"/>
  <c r="U240" i="14" s="1"/>
  <c r="AJ11" i="29"/>
  <c r="AK11" i="29"/>
  <c r="AI11" i="29"/>
  <c r="E75" i="14"/>
  <c r="E76" i="14" s="1"/>
  <c r="E39" i="29"/>
  <c r="AI504" i="29"/>
  <c r="AK504" i="29"/>
  <c r="AJ504" i="29"/>
  <c r="D293" i="29"/>
  <c r="D292" i="29"/>
  <c r="Y49" i="14"/>
  <c r="AA49" i="14"/>
  <c r="F49" i="14"/>
  <c r="H49" i="14"/>
  <c r="P55" i="14"/>
  <c r="R55" i="14"/>
  <c r="AB55" i="14"/>
  <c r="AD55" i="14"/>
  <c r="L47" i="14"/>
  <c r="N47" i="14"/>
  <c r="P47" i="14"/>
  <c r="AB98" i="29"/>
  <c r="AB105" i="29"/>
  <c r="AB103" i="29"/>
  <c r="AB97" i="29"/>
  <c r="AH103" i="29"/>
  <c r="AH97" i="29"/>
  <c r="AH98" i="29"/>
  <c r="AH105" i="29"/>
  <c r="E45" i="14"/>
  <c r="AK503" i="29"/>
  <c r="AJ503" i="29"/>
  <c r="AI503" i="29"/>
  <c r="D506" i="29"/>
  <c r="AG49" i="14"/>
  <c r="L49" i="14"/>
  <c r="N49" i="14"/>
  <c r="P49" i="14"/>
  <c r="X55" i="14"/>
  <c r="Z55" i="14"/>
  <c r="E55" i="14"/>
  <c r="J47" i="14"/>
  <c r="T47" i="14"/>
  <c r="V47" i="14"/>
  <c r="X47" i="14"/>
  <c r="G197" i="14"/>
  <c r="G198" i="14"/>
  <c r="T98" i="29"/>
  <c r="T105" i="29"/>
  <c r="T103" i="29"/>
  <c r="T97" i="29"/>
  <c r="Z103" i="29"/>
  <c r="Z97" i="29"/>
  <c r="Z98" i="29"/>
  <c r="Z105" i="29"/>
  <c r="AG98" i="29"/>
  <c r="AG105" i="29"/>
  <c r="AG103" i="29"/>
  <c r="AG97" i="29"/>
  <c r="D211" i="14"/>
  <c r="D119" i="14"/>
  <c r="J49" i="14"/>
  <c r="T49" i="14"/>
  <c r="V49" i="14"/>
  <c r="X49" i="14"/>
  <c r="AF55" i="14"/>
  <c r="AH55" i="14"/>
  <c r="M55" i="14"/>
  <c r="R47" i="14"/>
  <c r="AB47" i="14"/>
  <c r="AD47" i="14"/>
  <c r="AF47" i="14"/>
  <c r="L98" i="29"/>
  <c r="L105" i="29"/>
  <c r="L103" i="29"/>
  <c r="L97" i="29"/>
  <c r="R103" i="29"/>
  <c r="R97" i="29"/>
  <c r="R98" i="29"/>
  <c r="R105" i="29"/>
  <c r="Y98" i="29"/>
  <c r="Y105" i="29"/>
  <c r="Y103" i="29"/>
  <c r="Y97" i="29"/>
  <c r="AF103" i="29"/>
  <c r="AF97" i="29"/>
  <c r="AF98" i="29"/>
  <c r="AF105" i="29"/>
  <c r="Z53" i="14"/>
  <c r="E53" i="14"/>
  <c r="F20" i="31"/>
  <c r="D140" i="29"/>
  <c r="R49" i="14"/>
  <c r="AB49" i="14"/>
  <c r="AD49" i="14"/>
  <c r="AF49" i="14"/>
  <c r="G55" i="14"/>
  <c r="I55" i="14"/>
  <c r="K55" i="14"/>
  <c r="U55" i="14"/>
  <c r="Z47" i="14"/>
  <c r="E47" i="14"/>
  <c r="G47" i="14"/>
  <c r="I47" i="14"/>
  <c r="J103" i="29"/>
  <c r="J97" i="29"/>
  <c r="J98" i="29"/>
  <c r="J105" i="29"/>
  <c r="Q98" i="29"/>
  <c r="Q105" i="29"/>
  <c r="Q103" i="29"/>
  <c r="Q97" i="29"/>
  <c r="X103" i="29"/>
  <c r="X97" i="29"/>
  <c r="X98" i="29"/>
  <c r="X105" i="29"/>
  <c r="F12" i="31"/>
  <c r="AC49" i="29"/>
  <c r="U49" i="29"/>
  <c r="M49" i="29"/>
  <c r="E49" i="29"/>
  <c r="AA49" i="29"/>
  <c r="S49" i="29"/>
  <c r="K49" i="29"/>
  <c r="AH49" i="29"/>
  <c r="Z49" i="29"/>
  <c r="R49" i="29"/>
  <c r="J49" i="29"/>
  <c r="P49" i="29"/>
  <c r="AG49" i="29"/>
  <c r="Y49" i="29"/>
  <c r="Q49" i="29"/>
  <c r="I49" i="29"/>
  <c r="X49" i="29"/>
  <c r="AF49" i="29"/>
  <c r="H49" i="29"/>
  <c r="AD49" i="29"/>
  <c r="G49" i="29"/>
  <c r="AB49" i="29"/>
  <c r="F49" i="29"/>
  <c r="W49" i="29"/>
  <c r="V49" i="29"/>
  <c r="T49" i="29"/>
  <c r="O49" i="29"/>
  <c r="N49" i="29"/>
  <c r="AE49" i="29"/>
  <c r="L49" i="29"/>
  <c r="Z49" i="14"/>
  <c r="E49" i="14"/>
  <c r="G49" i="14"/>
  <c r="D188" i="29"/>
  <c r="D196" i="29"/>
  <c r="D189" i="29"/>
  <c r="O55" i="14"/>
  <c r="Q55" i="14"/>
  <c r="S55" i="14"/>
  <c r="AC55" i="14"/>
  <c r="AH47" i="14"/>
  <c r="M47" i="14"/>
  <c r="O47" i="14"/>
  <c r="Q47" i="14"/>
  <c r="I98" i="29"/>
  <c r="I105" i="29"/>
  <c r="I103" i="29"/>
  <c r="I97" i="29"/>
  <c r="D233" i="29"/>
  <c r="D234" i="29"/>
  <c r="P103" i="29"/>
  <c r="P97" i="29"/>
  <c r="P98" i="29"/>
  <c r="P105" i="29"/>
  <c r="AE550" i="29"/>
  <c r="W550" i="29"/>
  <c r="O550" i="29"/>
  <c r="G550" i="29"/>
  <c r="AD550" i="29"/>
  <c r="V550" i="29"/>
  <c r="N550" i="29"/>
  <c r="AC550" i="29"/>
  <c r="U550" i="29"/>
  <c r="M550" i="29"/>
  <c r="AB550" i="29"/>
  <c r="AA550" i="29"/>
  <c r="S550" i="29"/>
  <c r="K550" i="29"/>
  <c r="AH550" i="29"/>
  <c r="Z550" i="29"/>
  <c r="R550" i="29"/>
  <c r="J550" i="29"/>
  <c r="AG550" i="29"/>
  <c r="Y550" i="29"/>
  <c r="Q550" i="29"/>
  <c r="I550" i="29"/>
  <c r="AF550" i="29"/>
  <c r="X550" i="29"/>
  <c r="T550" i="29"/>
  <c r="P550" i="29"/>
  <c r="L550" i="29"/>
  <c r="H550" i="29"/>
  <c r="F550" i="29"/>
  <c r="AH49" i="14"/>
  <c r="M49" i="14"/>
  <c r="O49" i="14"/>
  <c r="W55" i="14"/>
  <c r="Y55" i="14"/>
  <c r="AA55" i="14"/>
  <c r="F55" i="14"/>
  <c r="K47" i="14"/>
  <c r="U47" i="14"/>
  <c r="W47" i="14"/>
  <c r="Y47" i="14"/>
  <c r="AE33" i="14"/>
  <c r="AE208" i="14" s="1"/>
  <c r="AD240" i="14" s="1"/>
  <c r="J27" i="14"/>
  <c r="I33" i="14"/>
  <c r="I208" i="14" s="1"/>
  <c r="H240" i="14" s="1"/>
  <c r="AE36" i="14"/>
  <c r="AE209" i="14" s="1"/>
  <c r="AD241" i="14" s="1"/>
  <c r="E37" i="54"/>
  <c r="K38" i="31" s="1"/>
  <c r="D356" i="29" s="1"/>
  <c r="M37" i="54"/>
  <c r="D37" i="54"/>
  <c r="J38" i="31" s="1"/>
  <c r="D355" i="29" s="1"/>
  <c r="E44" i="54"/>
  <c r="M44" i="54"/>
  <c r="D44" i="54"/>
  <c r="E13" i="54"/>
  <c r="D13" i="54"/>
  <c r="M13" i="54"/>
  <c r="E43" i="54"/>
  <c r="M43" i="54"/>
  <c r="D43" i="54"/>
  <c r="M29" i="54"/>
  <c r="N32" i="54"/>
  <c r="D346" i="29"/>
  <c r="N17" i="54"/>
  <c r="N12" i="54"/>
  <c r="D251" i="29"/>
  <c r="M12" i="54"/>
  <c r="M22" i="54"/>
  <c r="B7" i="54"/>
  <c r="E45" i="54"/>
  <c r="D45" i="54"/>
  <c r="M45" i="54"/>
  <c r="N26" i="54"/>
  <c r="M31" i="54"/>
  <c r="M17" i="54"/>
  <c r="N29" i="54"/>
  <c r="M23" i="54"/>
  <c r="D328" i="29"/>
  <c r="N22" i="54"/>
  <c r="E36" i="54"/>
  <c r="K41" i="31" s="1"/>
  <c r="M36" i="54"/>
  <c r="D36" i="54"/>
  <c r="J41" i="31" s="1"/>
  <c r="D269" i="29"/>
  <c r="E41" i="54"/>
  <c r="M41" i="54"/>
  <c r="D41" i="54"/>
  <c r="M20" i="54"/>
  <c r="N23" i="54"/>
  <c r="D310" i="29"/>
  <c r="M27" i="54"/>
  <c r="M34" i="54"/>
  <c r="D5" i="54"/>
  <c r="M21" i="54"/>
  <c r="D308" i="29"/>
  <c r="D268" i="29"/>
  <c r="M32" i="54"/>
  <c r="E42" i="54"/>
  <c r="M42" i="54"/>
  <c r="D42" i="54"/>
  <c r="E40" i="54"/>
  <c r="M40" i="54"/>
  <c r="D40" i="54"/>
  <c r="N20" i="54"/>
  <c r="N15" i="54"/>
  <c r="E15" i="54"/>
  <c r="D15" i="54"/>
  <c r="D263" i="29"/>
  <c r="D164" i="29"/>
  <c r="M35" i="54"/>
  <c r="M33" i="54"/>
  <c r="D343" i="29"/>
  <c r="N27" i="54"/>
  <c r="N34" i="54"/>
  <c r="D322" i="29"/>
  <c r="B10" i="54"/>
  <c r="B6" i="54"/>
  <c r="E5" i="54"/>
  <c r="E39" i="54"/>
  <c r="M39" i="54"/>
  <c r="D39" i="54"/>
  <c r="M16" i="54"/>
  <c r="D253" i="29"/>
  <c r="N35" i="54"/>
  <c r="M30" i="54"/>
  <c r="D344" i="29"/>
  <c r="N33" i="54"/>
  <c r="D325" i="29"/>
  <c r="M19" i="54"/>
  <c r="D324" i="29"/>
  <c r="M25" i="54"/>
  <c r="D312" i="29"/>
  <c r="E38" i="54"/>
  <c r="K39" i="31" s="1"/>
  <c r="D370" i="29" s="1"/>
  <c r="M38" i="54"/>
  <c r="D38" i="54"/>
  <c r="J39" i="31" s="1"/>
  <c r="D369" i="29" s="1"/>
  <c r="N16" i="54"/>
  <c r="M26" i="54"/>
  <c r="N30" i="54"/>
  <c r="D326" i="29"/>
  <c r="M24" i="54"/>
  <c r="D315" i="29"/>
  <c r="N19" i="54"/>
  <c r="D314" i="29"/>
  <c r="N25" i="54"/>
  <c r="D265" i="29"/>
  <c r="D8" i="54"/>
  <c r="J13" i="31"/>
  <c r="F101" i="29" s="1"/>
  <c r="N24" i="54"/>
  <c r="D267" i="29"/>
  <c r="D255" i="29"/>
  <c r="N21" i="54"/>
  <c r="D250" i="29"/>
  <c r="D249" i="29"/>
  <c r="N31" i="54"/>
  <c r="B8" i="54"/>
  <c r="B11" i="54"/>
  <c r="E34" i="51"/>
  <c r="AI54" i="14"/>
  <c r="AI48" i="14"/>
  <c r="AI52" i="14"/>
  <c r="AI56" i="14"/>
  <c r="AI50" i="14"/>
  <c r="AI46" i="14"/>
  <c r="J138" i="51"/>
  <c r="X238" i="14" l="1"/>
  <c r="Y16" i="29"/>
  <c r="Q238" i="14"/>
  <c r="R16" i="29"/>
  <c r="AA238" i="14"/>
  <c r="AB16" i="29"/>
  <c r="Y238" i="14"/>
  <c r="Z16" i="29"/>
  <c r="K238" i="14"/>
  <c r="L16" i="29"/>
  <c r="G238" i="14"/>
  <c r="H16" i="29"/>
  <c r="O238" i="14"/>
  <c r="P16" i="29"/>
  <c r="H238" i="14"/>
  <c r="I16" i="29"/>
  <c r="Z238" i="14"/>
  <c r="AA16" i="29"/>
  <c r="AB238" i="14"/>
  <c r="AC16" i="29"/>
  <c r="AG238" i="14"/>
  <c r="AH16" i="29"/>
  <c r="R238" i="14"/>
  <c r="S16" i="29"/>
  <c r="AF238" i="14"/>
  <c r="AG16" i="29"/>
  <c r="AE238" i="14"/>
  <c r="AF16" i="29"/>
  <c r="D142" i="29"/>
  <c r="D141" i="29"/>
  <c r="D434" i="29"/>
  <c r="F51" i="29"/>
  <c r="F398" i="29" s="1"/>
  <c r="F50" i="29"/>
  <c r="F399" i="29" s="1"/>
  <c r="Y50" i="29"/>
  <c r="Y399" i="29" s="1"/>
  <c r="Y51" i="29"/>
  <c r="Y398" i="29" s="1"/>
  <c r="AE50" i="29"/>
  <c r="AE399" i="29" s="1"/>
  <c r="AE51" i="29"/>
  <c r="AE398" i="29" s="1"/>
  <c r="G50" i="29"/>
  <c r="G399" i="29" s="1"/>
  <c r="G51" i="29"/>
  <c r="G398" i="29" s="1"/>
  <c r="AG50" i="29"/>
  <c r="AG399" i="29" s="1"/>
  <c r="AG51" i="29"/>
  <c r="AG398" i="29" s="1"/>
  <c r="AA51" i="29"/>
  <c r="AA398" i="29" s="1"/>
  <c r="AA50" i="29"/>
  <c r="AA399" i="29" s="1"/>
  <c r="D417" i="29"/>
  <c r="D416" i="29"/>
  <c r="N51" i="29"/>
  <c r="N398" i="29" s="1"/>
  <c r="N50" i="29"/>
  <c r="N399" i="29" s="1"/>
  <c r="AD51" i="29"/>
  <c r="AD398" i="29" s="1"/>
  <c r="AD50" i="29"/>
  <c r="AD399" i="29" s="1"/>
  <c r="P51" i="29"/>
  <c r="P398" i="29" s="1"/>
  <c r="P50" i="29"/>
  <c r="P399" i="29" s="1"/>
  <c r="E50" i="29"/>
  <c r="E399" i="29" s="1"/>
  <c r="E51" i="29"/>
  <c r="E398" i="29" s="1"/>
  <c r="AB50" i="29"/>
  <c r="AB399" i="29" s="1"/>
  <c r="AB51" i="29"/>
  <c r="AB398" i="29" s="1"/>
  <c r="O50" i="29"/>
  <c r="O399" i="29" s="1"/>
  <c r="O51" i="29"/>
  <c r="O398" i="29" s="1"/>
  <c r="H50" i="29"/>
  <c r="H399" i="29" s="1"/>
  <c r="H51" i="29"/>
  <c r="H398" i="29" s="1"/>
  <c r="J51" i="29"/>
  <c r="J398" i="29" s="1"/>
  <c r="J50" i="29"/>
  <c r="J399" i="29" s="1"/>
  <c r="M51" i="29"/>
  <c r="M398" i="29" s="1"/>
  <c r="M50" i="29"/>
  <c r="M399" i="29" s="1"/>
  <c r="R50" i="29"/>
  <c r="R399" i="29" s="1"/>
  <c r="R51" i="29"/>
  <c r="R398" i="29" s="1"/>
  <c r="U50" i="29"/>
  <c r="U399" i="29" s="1"/>
  <c r="U51" i="29"/>
  <c r="U398" i="29" s="1"/>
  <c r="K51" i="29"/>
  <c r="K398" i="29" s="1"/>
  <c r="K50" i="29"/>
  <c r="K399" i="29" s="1"/>
  <c r="L50" i="29"/>
  <c r="L399" i="29" s="1"/>
  <c r="L51" i="29"/>
  <c r="L398" i="29" s="1"/>
  <c r="AF50" i="29"/>
  <c r="AF399" i="29" s="1"/>
  <c r="AF51" i="29"/>
  <c r="AF398" i="29" s="1"/>
  <c r="V51" i="29"/>
  <c r="V398" i="29" s="1"/>
  <c r="V50" i="29"/>
  <c r="V399" i="29" s="1"/>
  <c r="X51" i="29"/>
  <c r="X398" i="29" s="1"/>
  <c r="X50" i="29"/>
  <c r="X399" i="29" s="1"/>
  <c r="Z51" i="29"/>
  <c r="Z398" i="29" s="1"/>
  <c r="Z50" i="29"/>
  <c r="Z399" i="29" s="1"/>
  <c r="AC51" i="29"/>
  <c r="AC398" i="29" s="1"/>
  <c r="AC50" i="29"/>
  <c r="AC399" i="29" s="1"/>
  <c r="Q50" i="29"/>
  <c r="Q399" i="29" s="1"/>
  <c r="Q51" i="29"/>
  <c r="Q398" i="29" s="1"/>
  <c r="S51" i="29"/>
  <c r="S398" i="29" s="1"/>
  <c r="S50" i="29"/>
  <c r="S399" i="29" s="1"/>
  <c r="T50" i="29"/>
  <c r="T399" i="29" s="1"/>
  <c r="T51" i="29"/>
  <c r="T398" i="29" s="1"/>
  <c r="W50" i="29"/>
  <c r="W399" i="29" s="1"/>
  <c r="W51" i="29"/>
  <c r="W398" i="29" s="1"/>
  <c r="I50" i="29"/>
  <c r="I399" i="29" s="1"/>
  <c r="I51" i="29"/>
  <c r="I398" i="29" s="1"/>
  <c r="AH50" i="29"/>
  <c r="AH399" i="29" s="1"/>
  <c r="AH51" i="29"/>
  <c r="AH398" i="29" s="1"/>
  <c r="D415" i="29"/>
  <c r="AA397" i="29"/>
  <c r="F397" i="29"/>
  <c r="Q397" i="29"/>
  <c r="K397" i="29"/>
  <c r="L397" i="29"/>
  <c r="AB397" i="29"/>
  <c r="Y397" i="29"/>
  <c r="S397" i="29"/>
  <c r="AE397" i="29"/>
  <c r="N397" i="29"/>
  <c r="AD397" i="29"/>
  <c r="P397" i="29"/>
  <c r="E397" i="29"/>
  <c r="AG397" i="29"/>
  <c r="O397" i="29"/>
  <c r="J397" i="29"/>
  <c r="M397" i="29"/>
  <c r="G397" i="29"/>
  <c r="H397" i="29"/>
  <c r="T397" i="29"/>
  <c r="AF397" i="29"/>
  <c r="R397" i="29"/>
  <c r="U397" i="29"/>
  <c r="V397" i="29"/>
  <c r="X397" i="29"/>
  <c r="Z397" i="29"/>
  <c r="AC397" i="29"/>
  <c r="W397" i="29"/>
  <c r="I397" i="29"/>
  <c r="AH397" i="29"/>
  <c r="L43" i="52"/>
  <c r="I28" i="51"/>
  <c r="J28" i="51" s="1"/>
  <c r="K28" i="51" s="1"/>
  <c r="C6" i="54"/>
  <c r="L25" i="31"/>
  <c r="D239" i="29" s="1"/>
  <c r="D442" i="29" s="1"/>
  <c r="C4" i="54"/>
  <c r="I13" i="31" s="1"/>
  <c r="AE100" i="29" s="1"/>
  <c r="X106" i="29"/>
  <c r="AH106" i="29"/>
  <c r="R106" i="29"/>
  <c r="T106" i="29"/>
  <c r="E106" i="29"/>
  <c r="K106" i="29"/>
  <c r="Y106" i="29"/>
  <c r="O106" i="29"/>
  <c r="G106" i="29"/>
  <c r="L106" i="29"/>
  <c r="AB106" i="29"/>
  <c r="W106" i="29"/>
  <c r="F106" i="29"/>
  <c r="P106" i="29"/>
  <c r="J106" i="29"/>
  <c r="AG106" i="29"/>
  <c r="U106" i="29"/>
  <c r="AD106" i="29"/>
  <c r="AF106" i="29"/>
  <c r="V106" i="29"/>
  <c r="S106" i="29"/>
  <c r="AC106" i="29"/>
  <c r="AE106" i="29"/>
  <c r="Z106" i="29"/>
  <c r="H106" i="29"/>
  <c r="AA106" i="29"/>
  <c r="I106" i="29"/>
  <c r="Q106" i="29"/>
  <c r="N106" i="29"/>
  <c r="Z104" i="29"/>
  <c r="T104" i="29"/>
  <c r="R104" i="29"/>
  <c r="L104" i="29"/>
  <c r="M104" i="29"/>
  <c r="U104" i="29"/>
  <c r="H104" i="29"/>
  <c r="F104" i="29"/>
  <c r="I104" i="29"/>
  <c r="J104" i="29"/>
  <c r="V104" i="29"/>
  <c r="E4" i="54"/>
  <c r="K13" i="31" s="1"/>
  <c r="E102" i="29" s="1"/>
  <c r="X104" i="29"/>
  <c r="AA104" i="29"/>
  <c r="O104" i="29"/>
  <c r="S104" i="29"/>
  <c r="J6" i="54"/>
  <c r="Q104" i="29"/>
  <c r="W104" i="29"/>
  <c r="AC104" i="29"/>
  <c r="AF104" i="29"/>
  <c r="AG104" i="29"/>
  <c r="AD104" i="29"/>
  <c r="K104" i="29"/>
  <c r="N104" i="29"/>
  <c r="Y104" i="29"/>
  <c r="E104" i="29"/>
  <c r="P104" i="29"/>
  <c r="AH104" i="29"/>
  <c r="AB104" i="29"/>
  <c r="G104" i="29"/>
  <c r="D152" i="29"/>
  <c r="D427" i="29" s="1"/>
  <c r="D150" i="29"/>
  <c r="D425" i="29" s="1"/>
  <c r="L44" i="14"/>
  <c r="L115" i="14" s="1"/>
  <c r="F189" i="14"/>
  <c r="F39" i="29" s="1"/>
  <c r="E208" i="14"/>
  <c r="E16" i="29" s="1"/>
  <c r="E230" i="14"/>
  <c r="D259" i="14" s="1"/>
  <c r="AI57" i="14"/>
  <c r="AC230" i="14"/>
  <c r="AB259" i="14" s="1"/>
  <c r="V44" i="14"/>
  <c r="V214" i="14" s="1"/>
  <c r="U244" i="14" s="1"/>
  <c r="D12" i="54"/>
  <c r="H17" i="31"/>
  <c r="D159" i="29" s="1"/>
  <c r="H9" i="31"/>
  <c r="P54" i="29" s="1"/>
  <c r="K9" i="31"/>
  <c r="M57" i="29" s="1"/>
  <c r="C7" i="54"/>
  <c r="E17" i="54"/>
  <c r="C9" i="54"/>
  <c r="J9" i="54" s="1"/>
  <c r="E7" i="54"/>
  <c r="AH100" i="29"/>
  <c r="C8" i="54"/>
  <c r="J8" i="54" s="1"/>
  <c r="C17" i="54"/>
  <c r="K102" i="29"/>
  <c r="T100" i="29"/>
  <c r="D32" i="54"/>
  <c r="J37" i="31" s="1"/>
  <c r="D341" i="29" s="1"/>
  <c r="M44" i="14"/>
  <c r="M214" i="14" s="1"/>
  <c r="L244" i="14" s="1"/>
  <c r="E12" i="54"/>
  <c r="AF44" i="14"/>
  <c r="AF214" i="14" s="1"/>
  <c r="AE244" i="14" s="1"/>
  <c r="Z44" i="14"/>
  <c r="Z115" i="14" s="1"/>
  <c r="E44" i="14"/>
  <c r="E214" i="14" s="1"/>
  <c r="AC44" i="14"/>
  <c r="AC214" i="14" s="1"/>
  <c r="AB244" i="14" s="1"/>
  <c r="B34" i="54"/>
  <c r="J5" i="54"/>
  <c r="H44" i="14"/>
  <c r="H214" i="14" s="1"/>
  <c r="G244" i="14" s="1"/>
  <c r="X44" i="14"/>
  <c r="X214" i="14" s="1"/>
  <c r="W244" i="14" s="1"/>
  <c r="T44" i="14"/>
  <c r="T115" i="14" s="1"/>
  <c r="AD44" i="14"/>
  <c r="AD214" i="14" s="1"/>
  <c r="AC244" i="14" s="1"/>
  <c r="U44" i="14"/>
  <c r="U214" i="14" s="1"/>
  <c r="T244" i="14" s="1"/>
  <c r="I44" i="14"/>
  <c r="I115" i="14" s="1"/>
  <c r="G44" i="14"/>
  <c r="G214" i="14" s="1"/>
  <c r="F244" i="14" s="1"/>
  <c r="AG44" i="14"/>
  <c r="AG115" i="14" s="1"/>
  <c r="E114" i="14"/>
  <c r="H150" i="14"/>
  <c r="I149" i="14"/>
  <c r="N44" i="14"/>
  <c r="N214" i="14" s="1"/>
  <c r="M244" i="14" s="1"/>
  <c r="M33" i="31"/>
  <c r="D299" i="29" s="1"/>
  <c r="M25" i="31"/>
  <c r="N33" i="31"/>
  <c r="D300" i="29" s="1"/>
  <c r="N25" i="31"/>
  <c r="U206" i="14"/>
  <c r="U114" i="14"/>
  <c r="AC114" i="14"/>
  <c r="K44" i="14"/>
  <c r="K115" i="14" s="1"/>
  <c r="F44" i="14"/>
  <c r="F115" i="14" s="1"/>
  <c r="D437" i="29"/>
  <c r="AI39" i="14"/>
  <c r="C19" i="54"/>
  <c r="E26" i="54"/>
  <c r="B30" i="54"/>
  <c r="H21" i="31" s="1"/>
  <c r="D190" i="29" s="1"/>
  <c r="D33" i="54"/>
  <c r="D17" i="54"/>
  <c r="C26" i="54"/>
  <c r="C10" i="54"/>
  <c r="J10" i="54" s="1"/>
  <c r="P44" i="14"/>
  <c r="P214" i="14" s="1"/>
  <c r="O244" i="14" s="1"/>
  <c r="R44" i="14"/>
  <c r="R115" i="14" s="1"/>
  <c r="AE44" i="14"/>
  <c r="AE214" i="14" s="1"/>
  <c r="AD244" i="14" s="1"/>
  <c r="W44" i="14"/>
  <c r="W214" i="14" s="1"/>
  <c r="V244" i="14" s="1"/>
  <c r="H114" i="14"/>
  <c r="AA44" i="14"/>
  <c r="AA115" i="14" s="1"/>
  <c r="AF101" i="29"/>
  <c r="L101" i="29"/>
  <c r="AG101" i="29"/>
  <c r="AB101" i="29"/>
  <c r="G101" i="29"/>
  <c r="K101" i="29"/>
  <c r="C15" i="54"/>
  <c r="J15" i="54" s="1"/>
  <c r="R101" i="29"/>
  <c r="U100" i="29"/>
  <c r="J4" i="54"/>
  <c r="H13" i="31"/>
  <c r="H101" i="29"/>
  <c r="AD101" i="29"/>
  <c r="W101" i="29"/>
  <c r="S102" i="29"/>
  <c r="AC101" i="29"/>
  <c r="V101" i="29"/>
  <c r="S101" i="29"/>
  <c r="AA101" i="29"/>
  <c r="Y101" i="29"/>
  <c r="M101" i="29"/>
  <c r="AD100" i="29"/>
  <c r="I101" i="29"/>
  <c r="O101" i="29"/>
  <c r="AE101" i="29"/>
  <c r="P101" i="29"/>
  <c r="Q101" i="29"/>
  <c r="J101" i="29"/>
  <c r="Z101" i="29"/>
  <c r="E101" i="29"/>
  <c r="U101" i="29"/>
  <c r="N101" i="29"/>
  <c r="X101" i="29"/>
  <c r="T101" i="29"/>
  <c r="AH101" i="29"/>
  <c r="D445" i="29"/>
  <c r="B25" i="54"/>
  <c r="E23" i="54"/>
  <c r="B31" i="54"/>
  <c r="H22" i="31" s="1"/>
  <c r="D204" i="29" s="1"/>
  <c r="C25" i="54"/>
  <c r="D26" i="54"/>
  <c r="B39" i="54"/>
  <c r="J39" i="54" s="1"/>
  <c r="B27" i="54"/>
  <c r="C23" i="54"/>
  <c r="C22" i="54"/>
  <c r="B26" i="54"/>
  <c r="E32" i="54"/>
  <c r="K37" i="31" s="1"/>
  <c r="D342" i="29" s="1"/>
  <c r="B38" i="54"/>
  <c r="C33" i="54"/>
  <c r="E16" i="54"/>
  <c r="C11" i="54"/>
  <c r="C31" i="54"/>
  <c r="I22" i="31" s="1"/>
  <c r="D205" i="29" s="1"/>
  <c r="C27" i="54"/>
  <c r="C20" i="54"/>
  <c r="C29" i="54"/>
  <c r="C12" i="54"/>
  <c r="B43" i="54"/>
  <c r="J43" i="54" s="1"/>
  <c r="L230" i="14"/>
  <c r="K259" i="14" s="1"/>
  <c r="C24" i="54"/>
  <c r="C30" i="54"/>
  <c r="I21" i="31" s="1"/>
  <c r="D191" i="29" s="1"/>
  <c r="C16" i="54"/>
  <c r="C21" i="54"/>
  <c r="B19" i="54"/>
  <c r="C35" i="54"/>
  <c r="C32" i="54"/>
  <c r="I37" i="31" s="1"/>
  <c r="D340" i="29" s="1"/>
  <c r="B13" i="54"/>
  <c r="J13" i="54" s="1"/>
  <c r="D11" i="54"/>
  <c r="C34" i="54"/>
  <c r="J14" i="54"/>
  <c r="AB44" i="14"/>
  <c r="AB214" i="14" s="1"/>
  <c r="AA244" i="14" s="1"/>
  <c r="L114" i="14"/>
  <c r="Y44" i="14"/>
  <c r="Y115" i="14" s="1"/>
  <c r="AH44" i="14"/>
  <c r="AH214" i="14" s="1"/>
  <c r="AG244" i="14" s="1"/>
  <c r="J44" i="14"/>
  <c r="J214" i="14" s="1"/>
  <c r="I244" i="14" s="1"/>
  <c r="I31" i="51"/>
  <c r="J31" i="51" s="1"/>
  <c r="K31" i="51" s="1"/>
  <c r="I30" i="51"/>
  <c r="J30" i="51" s="1"/>
  <c r="K30" i="51" s="1"/>
  <c r="I29" i="51"/>
  <c r="J29" i="51" s="1"/>
  <c r="K29" i="51" s="1"/>
  <c r="AI51" i="14"/>
  <c r="AI62" i="14"/>
  <c r="AI220" i="14"/>
  <c r="AI64" i="14"/>
  <c r="AI61" i="14"/>
  <c r="AI63" i="14"/>
  <c r="O44" i="14"/>
  <c r="O214" i="14" s="1"/>
  <c r="N244" i="14" s="1"/>
  <c r="Q44" i="14"/>
  <c r="Q115" i="14" s="1"/>
  <c r="S44" i="14"/>
  <c r="S115" i="14" s="1"/>
  <c r="P230" i="14"/>
  <c r="O259" i="14" s="1"/>
  <c r="P114" i="14"/>
  <c r="AI53" i="14"/>
  <c r="I230" i="14"/>
  <c r="H259" i="14" s="1"/>
  <c r="S230" i="14"/>
  <c r="R259" i="14" s="1"/>
  <c r="S114" i="14"/>
  <c r="Z114" i="14"/>
  <c r="AH114" i="14"/>
  <c r="Z230" i="14"/>
  <c r="Y259" i="14" s="1"/>
  <c r="AI27" i="14"/>
  <c r="AI45" i="14"/>
  <c r="AK550" i="29"/>
  <c r="AJ550" i="29"/>
  <c r="AI550" i="29"/>
  <c r="E564" i="29"/>
  <c r="N56" i="29"/>
  <c r="N61" i="29"/>
  <c r="N58" i="29"/>
  <c r="N406" i="29" s="1"/>
  <c r="N52" i="29"/>
  <c r="N400" i="29" s="1"/>
  <c r="N59" i="29"/>
  <c r="N53" i="29"/>
  <c r="N401" i="29" s="1"/>
  <c r="N60" i="29"/>
  <c r="N408" i="29" s="1"/>
  <c r="AD56" i="29"/>
  <c r="AD61" i="29"/>
  <c r="AD58" i="29"/>
  <c r="AD406" i="29" s="1"/>
  <c r="AD52" i="29"/>
  <c r="AD400" i="29" s="1"/>
  <c r="AD59" i="29"/>
  <c r="AD53" i="29"/>
  <c r="AD401" i="29" s="1"/>
  <c r="AD60" i="29"/>
  <c r="AD408" i="29" s="1"/>
  <c r="P56" i="29"/>
  <c r="P58" i="29"/>
  <c r="P406" i="29" s="1"/>
  <c r="P52" i="29"/>
  <c r="P400" i="29" s="1"/>
  <c r="P59" i="29"/>
  <c r="P53" i="29"/>
  <c r="P401" i="29" s="1"/>
  <c r="P61" i="29"/>
  <c r="P60" i="29"/>
  <c r="P408" i="29" s="1"/>
  <c r="E59" i="29"/>
  <c r="E53" i="29"/>
  <c r="E401" i="29" s="1"/>
  <c r="E60" i="29"/>
  <c r="E408" i="29" s="1"/>
  <c r="E56" i="29"/>
  <c r="E61" i="29"/>
  <c r="E58" i="29"/>
  <c r="E406" i="29" s="1"/>
  <c r="E52" i="29"/>
  <c r="E400" i="29" s="1"/>
  <c r="O60" i="29"/>
  <c r="O408" i="29" s="1"/>
  <c r="O61" i="29"/>
  <c r="O58" i="29"/>
  <c r="O406" i="29" s="1"/>
  <c r="O52" i="29"/>
  <c r="O400" i="29" s="1"/>
  <c r="O53" i="29"/>
  <c r="O401" i="29" s="1"/>
  <c r="O56" i="29"/>
  <c r="O59" i="29"/>
  <c r="H56" i="29"/>
  <c r="H58" i="29"/>
  <c r="H406" i="29" s="1"/>
  <c r="H52" i="29"/>
  <c r="H400" i="29" s="1"/>
  <c r="H59" i="29"/>
  <c r="H53" i="29"/>
  <c r="H401" i="29" s="1"/>
  <c r="H61" i="29"/>
  <c r="H60" i="29"/>
  <c r="H408" i="29" s="1"/>
  <c r="J59" i="29"/>
  <c r="J53" i="29"/>
  <c r="J401" i="29" s="1"/>
  <c r="J60" i="29"/>
  <c r="J408" i="29" s="1"/>
  <c r="J61" i="29"/>
  <c r="J56" i="29"/>
  <c r="J58" i="29"/>
  <c r="J406" i="29" s="1"/>
  <c r="J52" i="29"/>
  <c r="J400" i="29" s="1"/>
  <c r="M59" i="29"/>
  <c r="M53" i="29"/>
  <c r="M401" i="29" s="1"/>
  <c r="M60" i="29"/>
  <c r="M408" i="29" s="1"/>
  <c r="M56" i="29"/>
  <c r="M61" i="29"/>
  <c r="M409" i="29" s="1"/>
  <c r="M58" i="29"/>
  <c r="M406" i="29" s="1"/>
  <c r="M52" i="29"/>
  <c r="M400" i="29" s="1"/>
  <c r="C243" i="14"/>
  <c r="AI211" i="14"/>
  <c r="C74" i="52" s="1"/>
  <c r="AI518" i="29"/>
  <c r="AK518" i="29"/>
  <c r="AJ518" i="29"/>
  <c r="AI49" i="14"/>
  <c r="T60" i="29"/>
  <c r="T408" i="29" s="1"/>
  <c r="T56" i="29"/>
  <c r="T61" i="29"/>
  <c r="T58" i="29"/>
  <c r="T406" i="29" s="1"/>
  <c r="T52" i="29"/>
  <c r="T400" i="29" s="1"/>
  <c r="T59" i="29"/>
  <c r="T53" i="29"/>
  <c r="T401" i="29" s="1"/>
  <c r="AF56" i="29"/>
  <c r="AF58" i="29"/>
  <c r="AF406" i="29" s="1"/>
  <c r="AF52" i="29"/>
  <c r="AF400" i="29" s="1"/>
  <c r="AF53" i="29"/>
  <c r="AF401" i="29" s="1"/>
  <c r="AF59" i="29"/>
  <c r="AF61" i="29"/>
  <c r="AF60" i="29"/>
  <c r="AF408" i="29" s="1"/>
  <c r="R59" i="29"/>
  <c r="R53" i="29"/>
  <c r="R401" i="29" s="1"/>
  <c r="R60" i="29"/>
  <c r="R408" i="29" s="1"/>
  <c r="R61" i="29"/>
  <c r="R56" i="29"/>
  <c r="R58" i="29"/>
  <c r="R406" i="29" s="1"/>
  <c r="R52" i="29"/>
  <c r="R400" i="29" s="1"/>
  <c r="U59" i="29"/>
  <c r="U53" i="29"/>
  <c r="U401" i="29" s="1"/>
  <c r="U60" i="29"/>
  <c r="U408" i="29" s="1"/>
  <c r="U56" i="29"/>
  <c r="U61" i="29"/>
  <c r="U409" i="29" s="1"/>
  <c r="U58" i="29"/>
  <c r="U406" i="29" s="1"/>
  <c r="U52" i="29"/>
  <c r="U400" i="29" s="1"/>
  <c r="AI55" i="14"/>
  <c r="E505" i="29"/>
  <c r="E506" i="29" s="1"/>
  <c r="E378" i="29"/>
  <c r="V56" i="29"/>
  <c r="V61" i="29"/>
  <c r="V58" i="29"/>
  <c r="V406" i="29" s="1"/>
  <c r="V52" i="29"/>
  <c r="V400" i="29" s="1"/>
  <c r="V60" i="29"/>
  <c r="V408" i="29" s="1"/>
  <c r="V59" i="29"/>
  <c r="V53" i="29"/>
  <c r="V401" i="29" s="1"/>
  <c r="X56" i="29"/>
  <c r="X58" i="29"/>
  <c r="X406" i="29" s="1"/>
  <c r="X52" i="29"/>
  <c r="X400" i="29" s="1"/>
  <c r="X59" i="29"/>
  <c r="X53" i="29"/>
  <c r="X401" i="29" s="1"/>
  <c r="X60" i="29"/>
  <c r="X408" i="29" s="1"/>
  <c r="X61" i="29"/>
  <c r="Z59" i="29"/>
  <c r="Z53" i="29"/>
  <c r="Z401" i="29" s="1"/>
  <c r="Z60" i="29"/>
  <c r="Z408" i="29" s="1"/>
  <c r="Z52" i="29"/>
  <c r="Z400" i="29" s="1"/>
  <c r="Z61" i="29"/>
  <c r="Z56" i="29"/>
  <c r="Z58" i="29"/>
  <c r="Z406" i="29" s="1"/>
  <c r="AC59" i="29"/>
  <c r="AC53" i="29"/>
  <c r="AC401" i="29" s="1"/>
  <c r="AC60" i="29"/>
  <c r="AC408" i="29" s="1"/>
  <c r="AC56" i="29"/>
  <c r="AC61" i="29"/>
  <c r="AC58" i="29"/>
  <c r="AC406" i="29" s="1"/>
  <c r="AC52" i="29"/>
  <c r="AC400" i="29" s="1"/>
  <c r="E229" i="14"/>
  <c r="E122" i="14"/>
  <c r="W60" i="29"/>
  <c r="W408" i="29" s="1"/>
  <c r="W61" i="29"/>
  <c r="W58" i="29"/>
  <c r="W406" i="29" s="1"/>
  <c r="W52" i="29"/>
  <c r="W400" i="29" s="1"/>
  <c r="W56" i="29"/>
  <c r="W59" i="29"/>
  <c r="W53" i="29"/>
  <c r="W401" i="29" s="1"/>
  <c r="I61" i="29"/>
  <c r="I58" i="29"/>
  <c r="I406" i="29" s="1"/>
  <c r="I52" i="29"/>
  <c r="I400" i="29" s="1"/>
  <c r="I59" i="29"/>
  <c r="I53" i="29"/>
  <c r="I401" i="29" s="1"/>
  <c r="I56" i="29"/>
  <c r="I60" i="29"/>
  <c r="I408" i="29" s="1"/>
  <c r="AH59" i="29"/>
  <c r="AH53" i="29"/>
  <c r="AH401" i="29" s="1"/>
  <c r="AH54" i="29"/>
  <c r="AH60" i="29"/>
  <c r="AH408" i="29" s="1"/>
  <c r="AH61" i="29"/>
  <c r="AH56" i="29"/>
  <c r="AH58" i="29"/>
  <c r="AH406" i="29" s="1"/>
  <c r="AH52" i="29"/>
  <c r="AH400" i="29" s="1"/>
  <c r="AI47" i="14"/>
  <c r="D151" i="29"/>
  <c r="D426" i="29" s="1"/>
  <c r="D144" i="29"/>
  <c r="D419" i="29" s="1"/>
  <c r="D149" i="29"/>
  <c r="D424" i="29" s="1"/>
  <c r="D143" i="29"/>
  <c r="D418" i="29" s="1"/>
  <c r="H197" i="14"/>
  <c r="H198" i="14"/>
  <c r="F56" i="29"/>
  <c r="F404" i="29" s="1"/>
  <c r="F61" i="29"/>
  <c r="F58" i="29"/>
  <c r="F406" i="29" s="1"/>
  <c r="F52" i="29"/>
  <c r="F400" i="29" s="1"/>
  <c r="F60" i="29"/>
  <c r="F408" i="29" s="1"/>
  <c r="F59" i="29"/>
  <c r="F53" i="29"/>
  <c r="F401" i="29" s="1"/>
  <c r="Q61" i="29"/>
  <c r="Q58" i="29"/>
  <c r="Q406" i="29" s="1"/>
  <c r="Q52" i="29"/>
  <c r="Q400" i="29" s="1"/>
  <c r="Q59" i="29"/>
  <c r="Q53" i="29"/>
  <c r="Q401" i="29" s="1"/>
  <c r="Q56" i="29"/>
  <c r="Q60" i="29"/>
  <c r="Q408" i="29" s="1"/>
  <c r="K58" i="29"/>
  <c r="K406" i="29" s="1"/>
  <c r="K52" i="29"/>
  <c r="K400" i="29" s="1"/>
  <c r="K59" i="29"/>
  <c r="K53" i="29"/>
  <c r="K401" i="29" s="1"/>
  <c r="K60" i="29"/>
  <c r="K408" i="29" s="1"/>
  <c r="K56" i="29"/>
  <c r="K61" i="29"/>
  <c r="AI15" i="29"/>
  <c r="AK15" i="29"/>
  <c r="AJ15" i="29"/>
  <c r="L60" i="29"/>
  <c r="L408" i="29" s="1"/>
  <c r="L56" i="29"/>
  <c r="L61" i="29"/>
  <c r="L59" i="29"/>
  <c r="L53" i="29"/>
  <c r="L401" i="29" s="1"/>
  <c r="L58" i="29"/>
  <c r="L406" i="29" s="1"/>
  <c r="L52" i="29"/>
  <c r="L400" i="29" s="1"/>
  <c r="AB60" i="29"/>
  <c r="AB408" i="29" s="1"/>
  <c r="AB56" i="29"/>
  <c r="AB61" i="29"/>
  <c r="AB59" i="29"/>
  <c r="AB58" i="29"/>
  <c r="AB406" i="29" s="1"/>
  <c r="AB53" i="29"/>
  <c r="AB401" i="29" s="1"/>
  <c r="AB52" i="29"/>
  <c r="AB400" i="29" s="1"/>
  <c r="Y61" i="29"/>
  <c r="Y58" i="29"/>
  <c r="Y406" i="29" s="1"/>
  <c r="Y52" i="29"/>
  <c r="Y400" i="29" s="1"/>
  <c r="Y59" i="29"/>
  <c r="Y53" i="29"/>
  <c r="Y401" i="29" s="1"/>
  <c r="Y60" i="29"/>
  <c r="Y408" i="29" s="1"/>
  <c r="Y56" i="29"/>
  <c r="S58" i="29"/>
  <c r="S406" i="29" s="1"/>
  <c r="S52" i="29"/>
  <c r="S400" i="29" s="1"/>
  <c r="S59" i="29"/>
  <c r="S53" i="29"/>
  <c r="S401" i="29" s="1"/>
  <c r="S60" i="29"/>
  <c r="S408" i="29" s="1"/>
  <c r="S56" i="29"/>
  <c r="S61" i="29"/>
  <c r="G189" i="14"/>
  <c r="G190" i="14"/>
  <c r="D436" i="29"/>
  <c r="AE60" i="29"/>
  <c r="AE408" i="29" s="1"/>
  <c r="AE61" i="29"/>
  <c r="AE58" i="29"/>
  <c r="AE406" i="29" s="1"/>
  <c r="AE52" i="29"/>
  <c r="AE400" i="29" s="1"/>
  <c r="AE59" i="29"/>
  <c r="AE53" i="29"/>
  <c r="AE401" i="29" s="1"/>
  <c r="AE56" i="29"/>
  <c r="G60" i="29"/>
  <c r="G408" i="29" s="1"/>
  <c r="G61" i="29"/>
  <c r="G409" i="29" s="1"/>
  <c r="G58" i="29"/>
  <c r="G406" i="29" s="1"/>
  <c r="G52" i="29"/>
  <c r="G400" i="29" s="1"/>
  <c r="G59" i="29"/>
  <c r="G53" i="29"/>
  <c r="G401" i="29" s="1"/>
  <c r="G56" i="29"/>
  <c r="AG61" i="29"/>
  <c r="AG58" i="29"/>
  <c r="AG406" i="29" s="1"/>
  <c r="AG52" i="29"/>
  <c r="AG400" i="29" s="1"/>
  <c r="AG59" i="29"/>
  <c r="AG53" i="29"/>
  <c r="AG401" i="29" s="1"/>
  <c r="AG56" i="29"/>
  <c r="AG60" i="29"/>
  <c r="AG408" i="29" s="1"/>
  <c r="AA58" i="29"/>
  <c r="AA406" i="29" s="1"/>
  <c r="AA52" i="29"/>
  <c r="AA400" i="29" s="1"/>
  <c r="AA59" i="29"/>
  <c r="AA53" i="29"/>
  <c r="AA401" i="29" s="1"/>
  <c r="AA54" i="29"/>
  <c r="AA60" i="29"/>
  <c r="AA408" i="29" s="1"/>
  <c r="AA56" i="29"/>
  <c r="AA61" i="29"/>
  <c r="F75" i="14"/>
  <c r="G193" i="14"/>
  <c r="G40" i="29" s="1"/>
  <c r="G194" i="14"/>
  <c r="O114" i="14"/>
  <c r="O230" i="14"/>
  <c r="N259" i="14" s="1"/>
  <c r="O206" i="14"/>
  <c r="D240" i="14"/>
  <c r="AI208" i="14"/>
  <c r="AI36" i="14"/>
  <c r="D242" i="14"/>
  <c r="AI210" i="14"/>
  <c r="M114" i="14"/>
  <c r="M230" i="14"/>
  <c r="L259" i="14" s="1"/>
  <c r="M206" i="14"/>
  <c r="AB230" i="14"/>
  <c r="AA259" i="14" s="1"/>
  <c r="AI33" i="14"/>
  <c r="R114" i="14"/>
  <c r="N114" i="14"/>
  <c r="N230" i="14"/>
  <c r="M259" i="14" s="1"/>
  <c r="N206" i="14"/>
  <c r="AB114" i="14"/>
  <c r="Y230" i="14"/>
  <c r="X259" i="14" s="1"/>
  <c r="AF230" i="14"/>
  <c r="AE259" i="14" s="1"/>
  <c r="G114" i="14"/>
  <c r="G230" i="14"/>
  <c r="F259" i="14" s="1"/>
  <c r="G206" i="14"/>
  <c r="AD114" i="14"/>
  <c r="AD230" i="14"/>
  <c r="AC259" i="14" s="1"/>
  <c r="AD206" i="14"/>
  <c r="H230" i="14"/>
  <c r="G259" i="14" s="1"/>
  <c r="Y114" i="14"/>
  <c r="AF114" i="14"/>
  <c r="R230" i="14"/>
  <c r="Q259" i="14" s="1"/>
  <c r="D238" i="14"/>
  <c r="U230" i="14"/>
  <c r="T259" i="14" s="1"/>
  <c r="Q114" i="14"/>
  <c r="Q230" i="14"/>
  <c r="P259" i="14" s="1"/>
  <c r="Q206" i="14"/>
  <c r="AE114" i="14"/>
  <c r="AE230" i="14"/>
  <c r="AD259" i="14" s="1"/>
  <c r="AE206" i="14"/>
  <c r="J230" i="14"/>
  <c r="I259" i="14" s="1"/>
  <c r="J206" i="14"/>
  <c r="J114" i="14"/>
  <c r="AG230" i="14"/>
  <c r="AF259" i="14" s="1"/>
  <c r="AA230" i="14"/>
  <c r="Z259" i="14" s="1"/>
  <c r="V114" i="14"/>
  <c r="V230" i="14"/>
  <c r="U259" i="14" s="1"/>
  <c r="V206" i="14"/>
  <c r="W114" i="14"/>
  <c r="W230" i="14"/>
  <c r="V259" i="14" s="1"/>
  <c r="W206" i="14"/>
  <c r="AI30" i="14"/>
  <c r="K114" i="14"/>
  <c r="K230" i="14"/>
  <c r="J259" i="14" s="1"/>
  <c r="K206" i="14"/>
  <c r="AG114" i="14"/>
  <c r="AA114" i="14"/>
  <c r="F114" i="14"/>
  <c r="F230" i="14"/>
  <c r="E259" i="14" s="1"/>
  <c r="F206" i="14"/>
  <c r="AH230" i="14"/>
  <c r="AG259" i="14" s="1"/>
  <c r="I114" i="14"/>
  <c r="D239" i="14"/>
  <c r="AI207" i="14"/>
  <c r="X114" i="14"/>
  <c r="X230" i="14"/>
  <c r="W259" i="14" s="1"/>
  <c r="X206" i="14"/>
  <c r="D241" i="14"/>
  <c r="AI209" i="14"/>
  <c r="T114" i="14"/>
  <c r="T230" i="14"/>
  <c r="S259" i="14" s="1"/>
  <c r="T206" i="14"/>
  <c r="D25" i="54"/>
  <c r="E30" i="54"/>
  <c r="K21" i="31" s="1"/>
  <c r="D193" i="29" s="1"/>
  <c r="E35" i="54"/>
  <c r="D34" i="54"/>
  <c r="D31" i="54"/>
  <c r="J22" i="31" s="1"/>
  <c r="D206" i="29" s="1"/>
  <c r="D22" i="54"/>
  <c r="E24" i="54"/>
  <c r="D16" i="54"/>
  <c r="E33" i="54"/>
  <c r="B22" i="54"/>
  <c r="D19" i="54"/>
  <c r="B16" i="54"/>
  <c r="B42" i="54"/>
  <c r="J42" i="54" s="1"/>
  <c r="D21" i="54"/>
  <c r="J17" i="31" s="1"/>
  <c r="E27" i="54"/>
  <c r="D20" i="54"/>
  <c r="D23" i="54"/>
  <c r="B37" i="54"/>
  <c r="E25" i="54"/>
  <c r="B21" i="54"/>
  <c r="E34" i="54"/>
  <c r="B20" i="54"/>
  <c r="B23" i="54"/>
  <c r="E31" i="54"/>
  <c r="B45" i="54"/>
  <c r="J45" i="54" s="1"/>
  <c r="E22" i="54"/>
  <c r="B12" i="54"/>
  <c r="D29" i="54"/>
  <c r="B17" i="54"/>
  <c r="B29" i="54"/>
  <c r="E19" i="54"/>
  <c r="D30" i="54"/>
  <c r="D35" i="54"/>
  <c r="B32" i="54"/>
  <c r="E21" i="54"/>
  <c r="K17" i="31" s="1"/>
  <c r="E20" i="54"/>
  <c r="D24" i="54"/>
  <c r="B35" i="54"/>
  <c r="H33" i="31" s="1"/>
  <c r="B36" i="54"/>
  <c r="E29" i="54"/>
  <c r="B44" i="54"/>
  <c r="J44" i="54" s="1"/>
  <c r="B24" i="54"/>
  <c r="B33" i="54"/>
  <c r="B40" i="54"/>
  <c r="J40" i="54" s="1"/>
  <c r="D27" i="54"/>
  <c r="B41" i="54"/>
  <c r="J41" i="54" s="1"/>
  <c r="E37" i="51"/>
  <c r="C19" i="52" s="1"/>
  <c r="G19" i="51"/>
  <c r="H19" i="51" s="1"/>
  <c r="H18" i="51"/>
  <c r="E30" i="52" s="1"/>
  <c r="G14" i="51"/>
  <c r="H14" i="51" s="1"/>
  <c r="E26" i="52" s="1"/>
  <c r="G17" i="51"/>
  <c r="H17" i="51" s="1"/>
  <c r="E29" i="52" s="1"/>
  <c r="G15" i="51"/>
  <c r="H15" i="51" s="1"/>
  <c r="E27" i="52" s="1"/>
  <c r="G16" i="51"/>
  <c r="H16" i="51" s="1"/>
  <c r="E28" i="52" s="1"/>
  <c r="AI222" i="14"/>
  <c r="D251" i="14"/>
  <c r="D249" i="14"/>
  <c r="AI219" i="14"/>
  <c r="D250" i="14"/>
  <c r="AI221" i="14"/>
  <c r="L41" i="52" l="1"/>
  <c r="B74" i="51" s="1"/>
  <c r="B78" i="51" s="1"/>
  <c r="B83" i="51" s="1"/>
  <c r="K409" i="29"/>
  <c r="E487" i="29"/>
  <c r="E515" i="29"/>
  <c r="Z515" i="29"/>
  <c r="Z487" i="29"/>
  <c r="AH515" i="29"/>
  <c r="AH487" i="29"/>
  <c r="P515" i="29"/>
  <c r="P487" i="29"/>
  <c r="T238" i="14"/>
  <c r="U16" i="29"/>
  <c r="AB515" i="29"/>
  <c r="AB487" i="29"/>
  <c r="W238" i="14"/>
  <c r="X16" i="29"/>
  <c r="V238" i="14"/>
  <c r="W16" i="29"/>
  <c r="M238" i="14"/>
  <c r="N16" i="29"/>
  <c r="AF515" i="29"/>
  <c r="AF487" i="29"/>
  <c r="AC515" i="29"/>
  <c r="AC487" i="29"/>
  <c r="H515" i="29"/>
  <c r="H487" i="29"/>
  <c r="F238" i="14"/>
  <c r="G16" i="29"/>
  <c r="R515" i="29"/>
  <c r="R487" i="29"/>
  <c r="P238" i="14"/>
  <c r="Q16" i="29"/>
  <c r="L238" i="14"/>
  <c r="M16" i="29"/>
  <c r="N238" i="14"/>
  <c r="O16" i="29"/>
  <c r="AG515" i="29"/>
  <c r="AG487" i="29"/>
  <c r="AA515" i="29"/>
  <c r="AA487" i="29"/>
  <c r="L515" i="29"/>
  <c r="L487" i="29"/>
  <c r="S238" i="14"/>
  <c r="T16" i="29"/>
  <c r="AD238" i="14"/>
  <c r="AE16" i="29"/>
  <c r="J238" i="14"/>
  <c r="K16" i="29"/>
  <c r="Y515" i="29"/>
  <c r="Y487" i="29"/>
  <c r="E238" i="14"/>
  <c r="F16" i="29"/>
  <c r="AC238" i="14"/>
  <c r="AD16" i="29"/>
  <c r="I238" i="14"/>
  <c r="J16" i="29"/>
  <c r="U238" i="14"/>
  <c r="V16" i="29"/>
  <c r="S515" i="29"/>
  <c r="S487" i="29"/>
  <c r="I515" i="29"/>
  <c r="I487" i="29"/>
  <c r="E100" i="29"/>
  <c r="H100" i="29"/>
  <c r="G100" i="29"/>
  <c r="S100" i="29"/>
  <c r="Q100" i="29"/>
  <c r="N100" i="29"/>
  <c r="O100" i="29"/>
  <c r="AB409" i="29"/>
  <c r="Y102" i="29"/>
  <c r="AB100" i="29"/>
  <c r="X100" i="29"/>
  <c r="AC100" i="29"/>
  <c r="K100" i="29"/>
  <c r="L100" i="29"/>
  <c r="V100" i="29"/>
  <c r="Y100" i="29"/>
  <c r="M100" i="29"/>
  <c r="W100" i="29"/>
  <c r="AF100" i="29"/>
  <c r="E466" i="29"/>
  <c r="AA409" i="29"/>
  <c r="L409" i="29"/>
  <c r="X409" i="29"/>
  <c r="H409" i="29"/>
  <c r="I100" i="29"/>
  <c r="Z100" i="29"/>
  <c r="AA100" i="29"/>
  <c r="P100" i="29"/>
  <c r="J100" i="29"/>
  <c r="R100" i="29"/>
  <c r="F100" i="29"/>
  <c r="AG100" i="29"/>
  <c r="D36" i="51"/>
  <c r="Y54" i="29"/>
  <c r="AC54" i="29"/>
  <c r="G54" i="29"/>
  <c r="AE54" i="29"/>
  <c r="Q54" i="29"/>
  <c r="K54" i="29"/>
  <c r="X54" i="29"/>
  <c r="U54" i="29"/>
  <c r="AG54" i="29"/>
  <c r="AB54" i="29"/>
  <c r="L54" i="29"/>
  <c r="I54" i="29"/>
  <c r="Z54" i="29"/>
  <c r="F54" i="29"/>
  <c r="S54" i="29"/>
  <c r="S57" i="29"/>
  <c r="S405" i="29" s="1"/>
  <c r="AG57" i="29"/>
  <c r="G57" i="29"/>
  <c r="R409" i="29"/>
  <c r="I409" i="29"/>
  <c r="L57" i="29"/>
  <c r="AH409" i="29"/>
  <c r="AD409" i="29"/>
  <c r="W409" i="29"/>
  <c r="T409" i="29"/>
  <c r="V409" i="29"/>
  <c r="Q409" i="29"/>
  <c r="S409" i="29"/>
  <c r="E409" i="29"/>
  <c r="F409" i="29"/>
  <c r="P409" i="29"/>
  <c r="R54" i="29"/>
  <c r="AH404" i="29"/>
  <c r="Y409" i="29"/>
  <c r="O409" i="29"/>
  <c r="Z409" i="29"/>
  <c r="D145" i="29"/>
  <c r="D420" i="29" s="1"/>
  <c r="AG409" i="29"/>
  <c r="AC404" i="29"/>
  <c r="M102" i="29"/>
  <c r="M405" i="29" s="1"/>
  <c r="Q102" i="29"/>
  <c r="I102" i="29"/>
  <c r="F102" i="29"/>
  <c r="AB102" i="29"/>
  <c r="T102" i="29"/>
  <c r="W102" i="29"/>
  <c r="O102" i="29"/>
  <c r="L102" i="29"/>
  <c r="AC102" i="29"/>
  <c r="G102" i="29"/>
  <c r="G405" i="29" s="1"/>
  <c r="AH102" i="29"/>
  <c r="AF102" i="29"/>
  <c r="U102" i="29"/>
  <c r="N102" i="29"/>
  <c r="H102" i="29"/>
  <c r="Z102" i="29"/>
  <c r="AG102" i="29"/>
  <c r="AG405" i="29" s="1"/>
  <c r="AD102" i="29"/>
  <c r="V102" i="29"/>
  <c r="J102" i="29"/>
  <c r="X102" i="29"/>
  <c r="AE102" i="29"/>
  <c r="AA102" i="29"/>
  <c r="P102" i="29"/>
  <c r="R102" i="29"/>
  <c r="AE409" i="29"/>
  <c r="AA57" i="29"/>
  <c r="AE57" i="29"/>
  <c r="J409" i="29"/>
  <c r="W57" i="29"/>
  <c r="W405" i="29" s="1"/>
  <c r="AC409" i="29"/>
  <c r="AF409" i="29"/>
  <c r="AB57" i="29"/>
  <c r="N409" i="29"/>
  <c r="Y57" i="29"/>
  <c r="J7" i="54"/>
  <c r="W54" i="29"/>
  <c r="V54" i="29"/>
  <c r="M54" i="29"/>
  <c r="T54" i="29"/>
  <c r="Z407" i="29"/>
  <c r="O407" i="29"/>
  <c r="E407" i="29"/>
  <c r="AG407" i="29"/>
  <c r="K407" i="29"/>
  <c r="Q407" i="29"/>
  <c r="AH407" i="29"/>
  <c r="T407" i="29"/>
  <c r="L407" i="29"/>
  <c r="AF407" i="29"/>
  <c r="V407" i="29"/>
  <c r="H407" i="29"/>
  <c r="AD407" i="29"/>
  <c r="N407" i="29"/>
  <c r="P407" i="29"/>
  <c r="AA407" i="29"/>
  <c r="W407" i="29"/>
  <c r="Y407" i="29"/>
  <c r="I407" i="29"/>
  <c r="X407" i="29"/>
  <c r="AE407" i="29"/>
  <c r="S407" i="29"/>
  <c r="U407" i="29"/>
  <c r="G407" i="29"/>
  <c r="AB407" i="29"/>
  <c r="F407" i="29"/>
  <c r="AC407" i="29"/>
  <c r="R407" i="29"/>
  <c r="M407" i="29"/>
  <c r="J407" i="29"/>
  <c r="K404" i="29"/>
  <c r="Q404" i="29"/>
  <c r="AA404" i="29"/>
  <c r="V404" i="29"/>
  <c r="L404" i="29"/>
  <c r="Z57" i="29"/>
  <c r="X57" i="29"/>
  <c r="J57" i="29"/>
  <c r="K57" i="29"/>
  <c r="K405" i="29" s="1"/>
  <c r="AH57" i="29"/>
  <c r="AF57" i="29"/>
  <c r="O57" i="29"/>
  <c r="Q57" i="29"/>
  <c r="F57" i="29"/>
  <c r="I57" i="29"/>
  <c r="J404" i="29"/>
  <c r="AC57" i="29"/>
  <c r="V57" i="29"/>
  <c r="R57" i="29"/>
  <c r="T57" i="29"/>
  <c r="H57" i="29"/>
  <c r="D162" i="29"/>
  <c r="D161" i="29"/>
  <c r="J54" i="29"/>
  <c r="AD57" i="29"/>
  <c r="E54" i="29"/>
  <c r="AF54" i="29"/>
  <c r="H54" i="29"/>
  <c r="AD54" i="29"/>
  <c r="N54" i="29"/>
  <c r="O54" i="29"/>
  <c r="X404" i="29"/>
  <c r="S404" i="29"/>
  <c r="P404" i="29"/>
  <c r="G404" i="29"/>
  <c r="T404" i="29"/>
  <c r="H404" i="29"/>
  <c r="E404" i="29"/>
  <c r="O404" i="29"/>
  <c r="AE404" i="29"/>
  <c r="U404" i="29"/>
  <c r="Y404" i="29"/>
  <c r="AG404" i="29"/>
  <c r="M404" i="29"/>
  <c r="AB404" i="29"/>
  <c r="N404" i="29"/>
  <c r="I404" i="29"/>
  <c r="AD404" i="29"/>
  <c r="W404" i="29"/>
  <c r="AF404" i="29"/>
  <c r="Z404" i="29"/>
  <c r="R404" i="29"/>
  <c r="D147" i="29"/>
  <c r="P57" i="29"/>
  <c r="E57" i="29"/>
  <c r="E405" i="29" s="1"/>
  <c r="N57" i="29"/>
  <c r="U57" i="29"/>
  <c r="U115" i="14"/>
  <c r="F214" i="14"/>
  <c r="E244" i="14" s="1"/>
  <c r="G115" i="14"/>
  <c r="G19" i="52"/>
  <c r="AD115" i="14"/>
  <c r="Z214" i="14"/>
  <c r="Y244" i="14" s="1"/>
  <c r="J115" i="14"/>
  <c r="AF115" i="14"/>
  <c r="E9" i="26"/>
  <c r="L214" i="14"/>
  <c r="K244" i="14" s="1"/>
  <c r="W115" i="14"/>
  <c r="P115" i="14"/>
  <c r="Q214" i="14"/>
  <c r="P244" i="14" s="1"/>
  <c r="V115" i="14"/>
  <c r="D148" i="29"/>
  <c r="J11" i="54"/>
  <c r="X115" i="14"/>
  <c r="AC115" i="14"/>
  <c r="E115" i="14"/>
  <c r="R214" i="14"/>
  <c r="Q244" i="14" s="1"/>
  <c r="AH115" i="14"/>
  <c r="K214" i="14"/>
  <c r="J244" i="14" s="1"/>
  <c r="T214" i="14"/>
  <c r="S244" i="14" s="1"/>
  <c r="M115" i="14"/>
  <c r="J27" i="54"/>
  <c r="I17" i="31"/>
  <c r="I9" i="31"/>
  <c r="J17" i="54"/>
  <c r="J34" i="54"/>
  <c r="AA214" i="14"/>
  <c r="Z244" i="14" s="1"/>
  <c r="N115" i="14"/>
  <c r="H115" i="14"/>
  <c r="AB115" i="14"/>
  <c r="Y214" i="14"/>
  <c r="X244" i="14" s="1"/>
  <c r="S214" i="14"/>
  <c r="R244" i="14" s="1"/>
  <c r="I214" i="14"/>
  <c r="H244" i="14" s="1"/>
  <c r="AG214" i="14"/>
  <c r="AF244" i="14" s="1"/>
  <c r="AE115" i="14"/>
  <c r="D240" i="29"/>
  <c r="J33" i="54"/>
  <c r="J25" i="54"/>
  <c r="I150" i="14"/>
  <c r="J149" i="14"/>
  <c r="D241" i="29"/>
  <c r="J36" i="54"/>
  <c r="H41" i="31"/>
  <c r="E379" i="29" s="1"/>
  <c r="E467" i="29" s="1"/>
  <c r="J32" i="54"/>
  <c r="H37" i="31"/>
  <c r="D339" i="29" s="1"/>
  <c r="I25" i="31"/>
  <c r="I33" i="31"/>
  <c r="D294" i="29"/>
  <c r="J37" i="54"/>
  <c r="H38" i="31"/>
  <c r="D353" i="29" s="1"/>
  <c r="J38" i="54"/>
  <c r="H39" i="31"/>
  <c r="D367" i="29" s="1"/>
  <c r="J25" i="31"/>
  <c r="J33" i="31"/>
  <c r="K25" i="31"/>
  <c r="K33" i="31"/>
  <c r="E99" i="29"/>
  <c r="E135" i="29" s="1"/>
  <c r="E136" i="29" s="1"/>
  <c r="S99" i="29"/>
  <c r="AA99" i="29"/>
  <c r="N99" i="29"/>
  <c r="AC99" i="29"/>
  <c r="O99" i="29"/>
  <c r="Y99" i="29"/>
  <c r="G99" i="29"/>
  <c r="H99" i="29"/>
  <c r="R99" i="29"/>
  <c r="P99" i="29"/>
  <c r="M99" i="29"/>
  <c r="W99" i="29"/>
  <c r="AB99" i="29"/>
  <c r="AE99" i="29"/>
  <c r="V99" i="29"/>
  <c r="AH99" i="29"/>
  <c r="AF99" i="29"/>
  <c r="Q99" i="29"/>
  <c r="Q135" i="29" s="1"/>
  <c r="Q136" i="29" s="1"/>
  <c r="F99" i="29"/>
  <c r="Z99" i="29"/>
  <c r="L99" i="29"/>
  <c r="J99" i="29"/>
  <c r="I99" i="29"/>
  <c r="K99" i="29"/>
  <c r="U99" i="29"/>
  <c r="T99" i="29"/>
  <c r="AD99" i="29"/>
  <c r="AG99" i="29"/>
  <c r="X99" i="29"/>
  <c r="J12" i="54"/>
  <c r="J23" i="54"/>
  <c r="J30" i="54"/>
  <c r="J21" i="31"/>
  <c r="D192" i="29" s="1"/>
  <c r="J26" i="54"/>
  <c r="J35" i="54"/>
  <c r="H25" i="31"/>
  <c r="J31" i="54"/>
  <c r="K22" i="31"/>
  <c r="D207" i="29" s="1"/>
  <c r="J24" i="54"/>
  <c r="J16" i="54"/>
  <c r="J19" i="54"/>
  <c r="O115" i="14"/>
  <c r="AI44" i="14"/>
  <c r="E156" i="14"/>
  <c r="E157" i="14" s="1"/>
  <c r="E129" i="14"/>
  <c r="F76" i="14"/>
  <c r="F122" i="14" s="1"/>
  <c r="E79" i="14" s="1"/>
  <c r="E78" i="14" s="1"/>
  <c r="F229" i="14"/>
  <c r="E258" i="14" s="1"/>
  <c r="F564" i="29"/>
  <c r="G564" i="29" s="1"/>
  <c r="H564" i="29" s="1"/>
  <c r="I564" i="29" s="1"/>
  <c r="J564" i="29" s="1"/>
  <c r="K564" i="29" s="1"/>
  <c r="L564" i="29" s="1"/>
  <c r="M564" i="29" s="1"/>
  <c r="N564" i="29" s="1"/>
  <c r="O564" i="29" s="1"/>
  <c r="P564" i="29" s="1"/>
  <c r="Q564" i="29" s="1"/>
  <c r="R564" i="29" s="1"/>
  <c r="S564" i="29" s="1"/>
  <c r="T564" i="29" s="1"/>
  <c r="U564" i="29" s="1"/>
  <c r="V564" i="29" s="1"/>
  <c r="W564" i="29" s="1"/>
  <c r="X564" i="29" s="1"/>
  <c r="Y564" i="29" s="1"/>
  <c r="Z564" i="29" s="1"/>
  <c r="AA564" i="29" s="1"/>
  <c r="AB564" i="29" s="1"/>
  <c r="AC564" i="29" s="1"/>
  <c r="AD564" i="29" s="1"/>
  <c r="AE564" i="29" s="1"/>
  <c r="AF564" i="29" s="1"/>
  <c r="AG564" i="29" s="1"/>
  <c r="AH564" i="29" s="1"/>
  <c r="H189" i="14"/>
  <c r="H190" i="14"/>
  <c r="I197" i="14"/>
  <c r="I198" i="14"/>
  <c r="AI243" i="14"/>
  <c r="AH243" i="14"/>
  <c r="G75" i="14"/>
  <c r="G39" i="29"/>
  <c r="H193" i="14"/>
  <c r="H40" i="29" s="1"/>
  <c r="H194" i="14"/>
  <c r="D258" i="14"/>
  <c r="F505" i="29"/>
  <c r="F506" i="29" s="1"/>
  <c r="F378" i="29"/>
  <c r="F466" i="29" s="1"/>
  <c r="E386" i="29"/>
  <c r="E474" i="29" s="1"/>
  <c r="E382" i="29"/>
  <c r="E470" i="29" s="1"/>
  <c r="E381" i="29"/>
  <c r="E469" i="29" s="1"/>
  <c r="E388" i="29"/>
  <c r="E476" i="29" s="1"/>
  <c r="E384" i="29"/>
  <c r="E472" i="29" s="1"/>
  <c r="E385" i="29"/>
  <c r="E473" i="29" s="1"/>
  <c r="E383" i="29"/>
  <c r="E471" i="29" s="1"/>
  <c r="E380" i="29"/>
  <c r="E468" i="29" s="1"/>
  <c r="E387" i="29"/>
  <c r="E475" i="29" s="1"/>
  <c r="AI241" i="14"/>
  <c r="AH241" i="14"/>
  <c r="AI230" i="14"/>
  <c r="AH259" i="14"/>
  <c r="AI259" i="14"/>
  <c r="AI242" i="14"/>
  <c r="AH242" i="14"/>
  <c r="AI240" i="14"/>
  <c r="AH240" i="14"/>
  <c r="AI239" i="14"/>
  <c r="AH239" i="14"/>
  <c r="AI206" i="14"/>
  <c r="J21" i="54"/>
  <c r="J20" i="54"/>
  <c r="J29" i="54"/>
  <c r="J22" i="54"/>
  <c r="D244" i="14"/>
  <c r="AI250" i="14"/>
  <c r="AH250" i="14"/>
  <c r="AI249" i="14"/>
  <c r="AH249" i="14"/>
  <c r="AH251" i="14"/>
  <c r="AI251" i="14"/>
  <c r="Y405" i="29" l="1"/>
  <c r="E7" i="26"/>
  <c r="E36" i="51"/>
  <c r="C18" i="52" s="1"/>
  <c r="L44" i="52"/>
  <c r="L40" i="52" s="1"/>
  <c r="AI238" i="14"/>
  <c r="AH238" i="14"/>
  <c r="F487" i="29"/>
  <c r="F515" i="29"/>
  <c r="O515" i="29"/>
  <c r="O487" i="29"/>
  <c r="T515" i="29"/>
  <c r="T487" i="29"/>
  <c r="N515" i="29"/>
  <c r="N487" i="29"/>
  <c r="V515" i="29"/>
  <c r="V487" i="29"/>
  <c r="M515" i="29"/>
  <c r="M487" i="29"/>
  <c r="W515" i="29"/>
  <c r="W487" i="29"/>
  <c r="U515" i="29"/>
  <c r="U487" i="29"/>
  <c r="AI16" i="29"/>
  <c r="J515" i="29"/>
  <c r="J487" i="29"/>
  <c r="K515" i="29"/>
  <c r="K487" i="29"/>
  <c r="Q515" i="29"/>
  <c r="Q487" i="29"/>
  <c r="X515" i="29"/>
  <c r="X487" i="29"/>
  <c r="AK16" i="29"/>
  <c r="G515" i="29"/>
  <c r="G487" i="29"/>
  <c r="AJ16" i="29"/>
  <c r="AD515" i="29"/>
  <c r="AD487" i="29"/>
  <c r="AE515" i="29"/>
  <c r="AE487" i="29"/>
  <c r="B73" i="51"/>
  <c r="B85" i="51" s="1"/>
  <c r="B91" i="51" s="1"/>
  <c r="B94" i="51" s="1"/>
  <c r="V135" i="29"/>
  <c r="V136" i="29" s="1"/>
  <c r="L405" i="29"/>
  <c r="P405" i="29"/>
  <c r="Z405" i="29"/>
  <c r="AG135" i="29"/>
  <c r="AG136" i="29" s="1"/>
  <c r="X405" i="29"/>
  <c r="O135" i="29"/>
  <c r="O136" i="29" s="1"/>
  <c r="U405" i="29"/>
  <c r="T405" i="29"/>
  <c r="V405" i="29"/>
  <c r="AH405" i="29"/>
  <c r="F405" i="29"/>
  <c r="AA405" i="29"/>
  <c r="AD405" i="29"/>
  <c r="I405" i="29"/>
  <c r="AD135" i="29"/>
  <c r="AD136" i="29" s="1"/>
  <c r="AF405" i="29"/>
  <c r="AA135" i="29"/>
  <c r="AA136" i="29" s="1"/>
  <c r="H405" i="29"/>
  <c r="O405" i="29"/>
  <c r="H135" i="29"/>
  <c r="H136" i="29" s="1"/>
  <c r="J405" i="29"/>
  <c r="J135" i="29"/>
  <c r="J136" i="29" s="1"/>
  <c r="AE405" i="29"/>
  <c r="AF135" i="29"/>
  <c r="AF136" i="29" s="1"/>
  <c r="Q405" i="29"/>
  <c r="R405" i="29"/>
  <c r="AC405" i="29"/>
  <c r="AB405" i="29"/>
  <c r="N405" i="29"/>
  <c r="AE135" i="29"/>
  <c r="AE136" i="29" s="1"/>
  <c r="N135" i="29"/>
  <c r="N136" i="29" s="1"/>
  <c r="D226" i="29"/>
  <c r="D227" i="29" s="1"/>
  <c r="D375" i="29"/>
  <c r="D376" i="29" s="1"/>
  <c r="E389" i="29"/>
  <c r="E390" i="29" s="1"/>
  <c r="X402" i="29"/>
  <c r="X135" i="29"/>
  <c r="X136" i="29" s="1"/>
  <c r="L402" i="29"/>
  <c r="L135" i="29"/>
  <c r="L136" i="29" s="1"/>
  <c r="AB402" i="29"/>
  <c r="AB135" i="29"/>
  <c r="AB136" i="29" s="1"/>
  <c r="Y402" i="29"/>
  <c r="Y135" i="29"/>
  <c r="Y136" i="29" s="1"/>
  <c r="F402" i="29"/>
  <c r="F135" i="29"/>
  <c r="F136" i="29" s="1"/>
  <c r="M402" i="29"/>
  <c r="M135" i="29"/>
  <c r="M136" i="29" s="1"/>
  <c r="Z402" i="29"/>
  <c r="Z135" i="29"/>
  <c r="Z136" i="29" s="1"/>
  <c r="W402" i="29"/>
  <c r="W135" i="29"/>
  <c r="W136" i="29" s="1"/>
  <c r="AC402" i="29"/>
  <c r="AC135" i="29"/>
  <c r="AC136" i="29" s="1"/>
  <c r="T402" i="29"/>
  <c r="T135" i="29"/>
  <c r="T136" i="29" s="1"/>
  <c r="P402" i="29"/>
  <c r="P135" i="29"/>
  <c r="P136" i="29" s="1"/>
  <c r="U402" i="29"/>
  <c r="U135" i="29"/>
  <c r="U136" i="29" s="1"/>
  <c r="R402" i="29"/>
  <c r="R135" i="29"/>
  <c r="R136" i="29" s="1"/>
  <c r="S402" i="29"/>
  <c r="S135" i="29"/>
  <c r="S136" i="29" s="1"/>
  <c r="K402" i="29"/>
  <c r="K135" i="29"/>
  <c r="K136" i="29" s="1"/>
  <c r="AH402" i="29"/>
  <c r="AH135" i="29"/>
  <c r="AH136" i="29" s="1"/>
  <c r="I402" i="29"/>
  <c r="I135" i="29"/>
  <c r="I136" i="29" s="1"/>
  <c r="G402" i="29"/>
  <c r="G135" i="29"/>
  <c r="G136" i="29" s="1"/>
  <c r="D423" i="29"/>
  <c r="N402" i="29"/>
  <c r="J402" i="29"/>
  <c r="D422" i="29"/>
  <c r="O402" i="29"/>
  <c r="AD402" i="29"/>
  <c r="H402" i="29"/>
  <c r="V402" i="29"/>
  <c r="AF402" i="29"/>
  <c r="AG402" i="29"/>
  <c r="AE402" i="29"/>
  <c r="Q402" i="29"/>
  <c r="AA402" i="29"/>
  <c r="E402" i="29"/>
  <c r="H34" i="52"/>
  <c r="C46" i="52"/>
  <c r="AD55" i="29"/>
  <c r="AD403" i="29" s="1"/>
  <c r="P55" i="29"/>
  <c r="P90" i="29" s="1"/>
  <c r="P91" i="29" s="1"/>
  <c r="O55" i="29"/>
  <c r="O403" i="29" s="1"/>
  <c r="J55" i="29"/>
  <c r="J403" i="29" s="1"/>
  <c r="AC55" i="29"/>
  <c r="AC90" i="29" s="1"/>
  <c r="AC91" i="29" s="1"/>
  <c r="F55" i="29"/>
  <c r="F90" i="29" s="1"/>
  <c r="F91" i="29" s="1"/>
  <c r="Q55" i="29"/>
  <c r="Q90" i="29" s="1"/>
  <c r="Q91" i="29" s="1"/>
  <c r="G55" i="29"/>
  <c r="G90" i="29" s="1"/>
  <c r="G91" i="29" s="1"/>
  <c r="N55" i="29"/>
  <c r="N403" i="29" s="1"/>
  <c r="AF55" i="29"/>
  <c r="AF403" i="29" s="1"/>
  <c r="U55" i="29"/>
  <c r="U90" i="29" s="1"/>
  <c r="U91" i="29" s="1"/>
  <c r="X55" i="29"/>
  <c r="X90" i="29" s="1"/>
  <c r="X91" i="29" s="1"/>
  <c r="K55" i="29"/>
  <c r="K90" i="29" s="1"/>
  <c r="K91" i="29" s="1"/>
  <c r="Z55" i="29"/>
  <c r="Z90" i="29" s="1"/>
  <c r="Z91" i="29" s="1"/>
  <c r="I55" i="29"/>
  <c r="I90" i="29" s="1"/>
  <c r="I91" i="29" s="1"/>
  <c r="Y55" i="29"/>
  <c r="Y90" i="29" s="1"/>
  <c r="Y91" i="29" s="1"/>
  <c r="AE55" i="29"/>
  <c r="AE90" i="29" s="1"/>
  <c r="AE91" i="29" s="1"/>
  <c r="AA55" i="29"/>
  <c r="AA90" i="29" s="1"/>
  <c r="AA91" i="29" s="1"/>
  <c r="H55" i="29"/>
  <c r="H403" i="29" s="1"/>
  <c r="M55" i="29"/>
  <c r="M90" i="29" s="1"/>
  <c r="M91" i="29" s="1"/>
  <c r="R55" i="29"/>
  <c r="R90" i="29" s="1"/>
  <c r="R91" i="29" s="1"/>
  <c r="W55" i="29"/>
  <c r="W90" i="29" s="1"/>
  <c r="W91" i="29" s="1"/>
  <c r="AH55" i="29"/>
  <c r="AH90" i="29" s="1"/>
  <c r="AH91" i="29" s="1"/>
  <c r="AB55" i="29"/>
  <c r="AB90" i="29" s="1"/>
  <c r="AB91" i="29" s="1"/>
  <c r="T55" i="29"/>
  <c r="T90" i="29" s="1"/>
  <c r="T91" i="29" s="1"/>
  <c r="E55" i="29"/>
  <c r="E403" i="29" s="1"/>
  <c r="V55" i="29"/>
  <c r="V90" i="29" s="1"/>
  <c r="V91" i="29" s="1"/>
  <c r="S55" i="29"/>
  <c r="S90" i="29" s="1"/>
  <c r="S91" i="29" s="1"/>
  <c r="L55" i="29"/>
  <c r="L90" i="29" s="1"/>
  <c r="L91" i="29" s="1"/>
  <c r="AG55" i="29"/>
  <c r="AG90" i="29" s="1"/>
  <c r="AG91" i="29" s="1"/>
  <c r="D146" i="29"/>
  <c r="D160" i="29"/>
  <c r="AI214" i="14"/>
  <c r="K149" i="14"/>
  <c r="J150" i="14"/>
  <c r="D236" i="29"/>
  <c r="D238" i="29"/>
  <c r="D237" i="29"/>
  <c r="D443" i="29"/>
  <c r="D444" i="29"/>
  <c r="D297" i="29"/>
  <c r="D296" i="29"/>
  <c r="D295" i="29"/>
  <c r="D235" i="29"/>
  <c r="AI564" i="29"/>
  <c r="AJ564" i="29"/>
  <c r="AK564" i="29"/>
  <c r="F156" i="14"/>
  <c r="F157" i="14" s="1"/>
  <c r="F381" i="29"/>
  <c r="F469" i="29" s="1"/>
  <c r="F384" i="29"/>
  <c r="F472" i="29" s="1"/>
  <c r="F388" i="29"/>
  <c r="F476" i="29" s="1"/>
  <c r="F382" i="29"/>
  <c r="F470" i="29" s="1"/>
  <c r="F386" i="29"/>
  <c r="F474" i="29" s="1"/>
  <c r="F387" i="29"/>
  <c r="F475" i="29" s="1"/>
  <c r="F383" i="29"/>
  <c r="F471" i="29" s="1"/>
  <c r="F385" i="29"/>
  <c r="F473" i="29" s="1"/>
  <c r="F379" i="29"/>
  <c r="F467" i="29" s="1"/>
  <c r="F380" i="29"/>
  <c r="F468" i="29" s="1"/>
  <c r="I189" i="14"/>
  <c r="I190" i="14"/>
  <c r="G505" i="29"/>
  <c r="G506" i="29" s="1"/>
  <c r="G378" i="29"/>
  <c r="G466" i="29" s="1"/>
  <c r="H75" i="14"/>
  <c r="H39" i="29"/>
  <c r="F129" i="14"/>
  <c r="G76" i="14"/>
  <c r="G122" i="14" s="1"/>
  <c r="F79" i="14" s="1"/>
  <c r="F78" i="14" s="1"/>
  <c r="G229" i="14"/>
  <c r="I193" i="14"/>
  <c r="I40" i="29" s="1"/>
  <c r="I194" i="14"/>
  <c r="J198" i="14"/>
  <c r="J197" i="14"/>
  <c r="AI244" i="14"/>
  <c r="AH244" i="14"/>
  <c r="C47" i="52" l="1"/>
  <c r="E23" i="14" s="1"/>
  <c r="F23" i="14" s="1"/>
  <c r="G23" i="14" s="1"/>
  <c r="H23" i="14" s="1"/>
  <c r="I23" i="14" s="1"/>
  <c r="J23" i="14" s="1"/>
  <c r="K23" i="14" s="1"/>
  <c r="L23" i="14" s="1"/>
  <c r="M23" i="14" s="1"/>
  <c r="N23" i="14" s="1"/>
  <c r="O23" i="14" s="1"/>
  <c r="P23" i="14" s="1"/>
  <c r="Q23" i="14" s="1"/>
  <c r="R23" i="14" s="1"/>
  <c r="S23" i="14" s="1"/>
  <c r="T23" i="14" s="1"/>
  <c r="U23" i="14" s="1"/>
  <c r="V23" i="14" s="1"/>
  <c r="W23" i="14" s="1"/>
  <c r="X23" i="14" s="1"/>
  <c r="Y23" i="14" s="1"/>
  <c r="Z23" i="14" s="1"/>
  <c r="AA23" i="14" s="1"/>
  <c r="AB23" i="14" s="1"/>
  <c r="AC23" i="14" s="1"/>
  <c r="AD23" i="14" s="1"/>
  <c r="AE23" i="14" s="1"/>
  <c r="AF23" i="14" s="1"/>
  <c r="AG23" i="14" s="1"/>
  <c r="AH23" i="14" s="1"/>
  <c r="AK515" i="29"/>
  <c r="AI515" i="29"/>
  <c r="AJ515" i="29"/>
  <c r="E478" i="29"/>
  <c r="T410" i="29"/>
  <c r="AE411" i="29"/>
  <c r="AE410" i="29"/>
  <c r="AG411" i="29"/>
  <c r="AG410" i="29"/>
  <c r="W410" i="29"/>
  <c r="Z410" i="29"/>
  <c r="F410" i="29"/>
  <c r="AH411" i="29"/>
  <c r="AH410" i="29"/>
  <c r="I410" i="29"/>
  <c r="Q410" i="29"/>
  <c r="L411" i="29"/>
  <c r="L410" i="29"/>
  <c r="R410" i="29"/>
  <c r="K410" i="29"/>
  <c r="AC410" i="29"/>
  <c r="S411" i="29"/>
  <c r="S410" i="29"/>
  <c r="M410" i="29"/>
  <c r="X410" i="29"/>
  <c r="AA410" i="29"/>
  <c r="P410" i="29"/>
  <c r="V411" i="29"/>
  <c r="V410" i="29"/>
  <c r="AB410" i="29"/>
  <c r="Y410" i="29"/>
  <c r="G410" i="29"/>
  <c r="U411" i="29"/>
  <c r="U410" i="29"/>
  <c r="F389" i="29"/>
  <c r="D330" i="29"/>
  <c r="D331" i="29" s="1"/>
  <c r="O90" i="29"/>
  <c r="O91" i="29" s="1"/>
  <c r="D271" i="29"/>
  <c r="D272" i="29" s="1"/>
  <c r="D181" i="29"/>
  <c r="D182" i="29" s="1"/>
  <c r="E90" i="29"/>
  <c r="E91" i="29" s="1"/>
  <c r="AF90" i="29"/>
  <c r="AF91" i="29" s="1"/>
  <c r="N90" i="29"/>
  <c r="N91" i="29" s="1"/>
  <c r="H90" i="29"/>
  <c r="H91" i="29" s="1"/>
  <c r="AD90" i="29"/>
  <c r="AD91" i="29" s="1"/>
  <c r="J90" i="29"/>
  <c r="J91" i="29" s="1"/>
  <c r="T403" i="29"/>
  <c r="AH403" i="29"/>
  <c r="I403" i="29"/>
  <c r="Q403" i="29"/>
  <c r="AB403" i="29"/>
  <c r="Y403" i="29"/>
  <c r="G403" i="29"/>
  <c r="AG403" i="29"/>
  <c r="W403" i="29"/>
  <c r="Z403" i="29"/>
  <c r="F403" i="29"/>
  <c r="AE403" i="29"/>
  <c r="L403" i="29"/>
  <c r="R403" i="29"/>
  <c r="K403" i="29"/>
  <c r="AC403" i="29"/>
  <c r="V403" i="29"/>
  <c r="S403" i="29"/>
  <c r="M403" i="29"/>
  <c r="X403" i="29"/>
  <c r="U403" i="29"/>
  <c r="AA403" i="29"/>
  <c r="P403" i="29"/>
  <c r="D441" i="29"/>
  <c r="D440" i="29"/>
  <c r="D439" i="29"/>
  <c r="B80" i="51"/>
  <c r="G18" i="52"/>
  <c r="C78" i="51"/>
  <c r="B33" i="52"/>
  <c r="B35" i="52"/>
  <c r="D17" i="31"/>
  <c r="E31" i="29" s="1"/>
  <c r="E414" i="29" s="1"/>
  <c r="E516" i="29" s="1"/>
  <c r="D75" i="52"/>
  <c r="C41" i="52"/>
  <c r="G92" i="51" s="1"/>
  <c r="D421" i="29"/>
  <c r="D526" i="29"/>
  <c r="Q411" i="29"/>
  <c r="X411" i="29"/>
  <c r="J531" i="29"/>
  <c r="J545" i="29" s="1"/>
  <c r="H531" i="29"/>
  <c r="H545" i="29" s="1"/>
  <c r="O531" i="29"/>
  <c r="O545" i="29" s="1"/>
  <c r="E531" i="29"/>
  <c r="E545" i="29" s="1"/>
  <c r="AA411" i="29"/>
  <c r="AF531" i="29"/>
  <c r="AF545" i="29" s="1"/>
  <c r="T411" i="29"/>
  <c r="N531" i="29"/>
  <c r="N545" i="29" s="1"/>
  <c r="AD531" i="29"/>
  <c r="AD545" i="29" s="1"/>
  <c r="B167" i="51"/>
  <c r="L149" i="14"/>
  <c r="K150" i="14"/>
  <c r="D438" i="29"/>
  <c r="E8" i="26"/>
  <c r="F539" i="29"/>
  <c r="F549" i="29" s="1"/>
  <c r="K197" i="14"/>
  <c r="K198" i="14"/>
  <c r="F258" i="14"/>
  <c r="G384" i="29"/>
  <c r="G472" i="29" s="1"/>
  <c r="G388" i="29"/>
  <c r="G476" i="29" s="1"/>
  <c r="G382" i="29"/>
  <c r="G470" i="29" s="1"/>
  <c r="G386" i="29"/>
  <c r="G474" i="29" s="1"/>
  <c r="G381" i="29"/>
  <c r="G469" i="29" s="1"/>
  <c r="G383" i="29"/>
  <c r="G471" i="29" s="1"/>
  <c r="G385" i="29"/>
  <c r="G473" i="29" s="1"/>
  <c r="G387" i="29"/>
  <c r="G475" i="29" s="1"/>
  <c r="G379" i="29"/>
  <c r="G467" i="29" s="1"/>
  <c r="G380" i="29"/>
  <c r="G468" i="29" s="1"/>
  <c r="J190" i="14"/>
  <c r="J189" i="14"/>
  <c r="G156" i="14"/>
  <c r="G157" i="14" s="1"/>
  <c r="I75" i="14"/>
  <c r="I39" i="29"/>
  <c r="G129" i="14"/>
  <c r="E231" i="14"/>
  <c r="E124" i="14"/>
  <c r="E119" i="14" s="1"/>
  <c r="J193" i="14"/>
  <c r="J40" i="29" s="1"/>
  <c r="J194" i="14"/>
  <c r="H505" i="29"/>
  <c r="H506" i="29" s="1"/>
  <c r="H378" i="29"/>
  <c r="H466" i="29" s="1"/>
  <c r="E539" i="29"/>
  <c r="H76" i="14"/>
  <c r="H122" i="14" s="1"/>
  <c r="G79" i="14" s="1"/>
  <c r="G78" i="14" s="1"/>
  <c r="H229" i="14"/>
  <c r="G258" i="14" s="1"/>
  <c r="T412" i="29" l="1"/>
  <c r="Q412" i="29"/>
  <c r="AA531" i="29"/>
  <c r="AA545" i="29" s="1"/>
  <c r="R531" i="29"/>
  <c r="R545" i="29" s="1"/>
  <c r="Y531" i="29"/>
  <c r="Y545" i="29" s="1"/>
  <c r="U531" i="29"/>
  <c r="U545" i="29" s="1"/>
  <c r="L531" i="29"/>
  <c r="L545" i="29" s="1"/>
  <c r="AB531" i="29"/>
  <c r="AB545" i="29" s="1"/>
  <c r="X531" i="29"/>
  <c r="X545" i="29" s="1"/>
  <c r="AE531" i="29"/>
  <c r="AE545" i="29" s="1"/>
  <c r="Q531" i="29"/>
  <c r="Q545" i="29" s="1"/>
  <c r="M531" i="29"/>
  <c r="M545" i="29" s="1"/>
  <c r="S531" i="29"/>
  <c r="S545" i="29" s="1"/>
  <c r="Z531" i="29"/>
  <c r="Z545" i="29" s="1"/>
  <c r="AH531" i="29"/>
  <c r="AH545" i="29" s="1"/>
  <c r="W531" i="29"/>
  <c r="W545" i="29" s="1"/>
  <c r="T531" i="29"/>
  <c r="T545" i="29" s="1"/>
  <c r="F531" i="29"/>
  <c r="F545" i="29" s="1"/>
  <c r="AC531" i="29"/>
  <c r="AC545" i="29" s="1"/>
  <c r="AG531" i="29"/>
  <c r="AG545" i="29" s="1"/>
  <c r="I531" i="29"/>
  <c r="I545" i="29" s="1"/>
  <c r="V531" i="29"/>
  <c r="V545" i="29" s="1"/>
  <c r="P531" i="29"/>
  <c r="P545" i="29" s="1"/>
  <c r="K531" i="29"/>
  <c r="K545" i="29" s="1"/>
  <c r="G531" i="29"/>
  <c r="G545" i="29" s="1"/>
  <c r="AA412" i="29"/>
  <c r="AH412" i="29"/>
  <c r="X412" i="29"/>
  <c r="U412" i="29"/>
  <c r="V412" i="29"/>
  <c r="AG412" i="29"/>
  <c r="S412" i="29"/>
  <c r="L412" i="29"/>
  <c r="AE412" i="29"/>
  <c r="E477" i="29"/>
  <c r="E479" i="29" s="1"/>
  <c r="F390" i="29"/>
  <c r="F478" i="29"/>
  <c r="H411" i="29"/>
  <c r="H410" i="29"/>
  <c r="J411" i="29"/>
  <c r="J410" i="29"/>
  <c r="O411" i="29"/>
  <c r="O410" i="29"/>
  <c r="N411" i="29"/>
  <c r="N410" i="29"/>
  <c r="AF411" i="29"/>
  <c r="AF410" i="29"/>
  <c r="E411" i="29"/>
  <c r="E410" i="29"/>
  <c r="D429" i="29"/>
  <c r="D428" i="29"/>
  <c r="D447" i="29"/>
  <c r="D446" i="29"/>
  <c r="AD411" i="29"/>
  <c r="AD410" i="29"/>
  <c r="G389" i="29"/>
  <c r="M411" i="29"/>
  <c r="R411" i="29"/>
  <c r="W411" i="29"/>
  <c r="Y411" i="29"/>
  <c r="AB411" i="29"/>
  <c r="P411" i="29"/>
  <c r="AC411" i="29"/>
  <c r="F411" i="29"/>
  <c r="G411" i="29"/>
  <c r="Z411" i="29"/>
  <c r="K411" i="29"/>
  <c r="I411" i="29"/>
  <c r="E138" i="29"/>
  <c r="F31" i="29"/>
  <c r="F414" i="29" s="1"/>
  <c r="F516" i="29" s="1"/>
  <c r="D532" i="29"/>
  <c r="D546" i="29" s="1"/>
  <c r="D560" i="29" s="1"/>
  <c r="C42" i="52"/>
  <c r="E18" i="14" s="1"/>
  <c r="F18" i="14" s="1"/>
  <c r="G18" i="14" s="1"/>
  <c r="H18" i="14" s="1"/>
  <c r="I18" i="14" s="1"/>
  <c r="J18" i="14" s="1"/>
  <c r="K18" i="14" s="1"/>
  <c r="L18" i="14" s="1"/>
  <c r="M18" i="14" s="1"/>
  <c r="N18" i="14" s="1"/>
  <c r="O18" i="14" s="1"/>
  <c r="P18" i="14" s="1"/>
  <c r="Q18" i="14" s="1"/>
  <c r="R18" i="14" s="1"/>
  <c r="S18" i="14" s="1"/>
  <c r="T18" i="14" s="1"/>
  <c r="U18" i="14" s="1"/>
  <c r="V18" i="14" s="1"/>
  <c r="W18" i="14" s="1"/>
  <c r="X18" i="14" s="1"/>
  <c r="Y18" i="14" s="1"/>
  <c r="Z18" i="14" s="1"/>
  <c r="AA18" i="14" s="1"/>
  <c r="AB18" i="14" s="1"/>
  <c r="AC18" i="14" s="1"/>
  <c r="AD18" i="14" s="1"/>
  <c r="AE18" i="14" s="1"/>
  <c r="AF18" i="14" s="1"/>
  <c r="AG18" i="14" s="1"/>
  <c r="AH18" i="14" s="1"/>
  <c r="AF25" i="14"/>
  <c r="X25" i="14"/>
  <c r="X204" i="14" s="1"/>
  <c r="P25" i="14"/>
  <c r="P204" i="14" s="1"/>
  <c r="H25" i="14"/>
  <c r="AA25" i="14"/>
  <c r="AA204" i="14" s="1"/>
  <c r="J13" i="29"/>
  <c r="AE13" i="29"/>
  <c r="W25" i="14"/>
  <c r="W204" i="14" s="1"/>
  <c r="O25" i="14"/>
  <c r="O204" i="14" s="1"/>
  <c r="G13" i="29"/>
  <c r="Z25" i="14"/>
  <c r="AD25" i="14"/>
  <c r="V13" i="29"/>
  <c r="N13" i="29"/>
  <c r="F25" i="14"/>
  <c r="F14" i="29" s="1"/>
  <c r="AC25" i="14"/>
  <c r="AC204" i="14" s="1"/>
  <c r="U13" i="29"/>
  <c r="M25" i="14"/>
  <c r="M204" i="14" s="1"/>
  <c r="AH25" i="14"/>
  <c r="AH204" i="14" s="1"/>
  <c r="AG13" i="29"/>
  <c r="Q25" i="14"/>
  <c r="AB13" i="29"/>
  <c r="T25" i="14"/>
  <c r="L13" i="29"/>
  <c r="K13" i="29"/>
  <c r="R25" i="14"/>
  <c r="I25" i="14"/>
  <c r="S25" i="14"/>
  <c r="M149" i="14"/>
  <c r="L150" i="14"/>
  <c r="E6" i="26"/>
  <c r="B166" i="51" s="1"/>
  <c r="H156" i="14"/>
  <c r="H157" i="14" s="1"/>
  <c r="F231" i="14"/>
  <c r="E260" i="14" s="1"/>
  <c r="F124" i="14"/>
  <c r="F119" i="14" s="1"/>
  <c r="D260" i="14"/>
  <c r="J75" i="14"/>
  <c r="J39" i="29"/>
  <c r="K189" i="14"/>
  <c r="K190" i="14"/>
  <c r="H386" i="29"/>
  <c r="H474" i="29" s="1"/>
  <c r="H381" i="29"/>
  <c r="H469" i="29" s="1"/>
  <c r="H384" i="29"/>
  <c r="H472" i="29" s="1"/>
  <c r="H382" i="29"/>
  <c r="H470" i="29" s="1"/>
  <c r="H388" i="29"/>
  <c r="H476" i="29" s="1"/>
  <c r="H385" i="29"/>
  <c r="H473" i="29" s="1"/>
  <c r="H380" i="29"/>
  <c r="H468" i="29" s="1"/>
  <c r="H387" i="29"/>
  <c r="H475" i="29" s="1"/>
  <c r="H383" i="29"/>
  <c r="H471" i="29" s="1"/>
  <c r="H379" i="29"/>
  <c r="H467" i="29" s="1"/>
  <c r="H129" i="14"/>
  <c r="E549" i="29"/>
  <c r="I505" i="29"/>
  <c r="I378" i="29"/>
  <c r="I466" i="29" s="1"/>
  <c r="L197" i="14"/>
  <c r="L198" i="14"/>
  <c r="K193" i="14"/>
  <c r="K40" i="29" s="1"/>
  <c r="K194" i="14"/>
  <c r="I76" i="14"/>
  <c r="I122" i="14" s="1"/>
  <c r="H79" i="14" s="1"/>
  <c r="H78" i="14" s="1"/>
  <c r="I229" i="14"/>
  <c r="H258" i="14" s="1"/>
  <c r="I412" i="29" l="1"/>
  <c r="AB412" i="29"/>
  <c r="Y412" i="29"/>
  <c r="K412" i="29"/>
  <c r="W412" i="29"/>
  <c r="Z412" i="29"/>
  <c r="R412" i="29"/>
  <c r="E168" i="29"/>
  <c r="E154" i="29"/>
  <c r="E140" i="29"/>
  <c r="G412" i="29"/>
  <c r="M412" i="29"/>
  <c r="F412" i="29"/>
  <c r="AC412" i="29"/>
  <c r="P412" i="29"/>
  <c r="N412" i="29"/>
  <c r="D430" i="29"/>
  <c r="O412" i="29"/>
  <c r="E412" i="29"/>
  <c r="J412" i="29"/>
  <c r="AD412" i="29"/>
  <c r="AF412" i="29"/>
  <c r="H412" i="29"/>
  <c r="D448" i="29"/>
  <c r="G31" i="29"/>
  <c r="G414" i="29" s="1"/>
  <c r="G516" i="29" s="1"/>
  <c r="G390" i="29"/>
  <c r="G478" i="29"/>
  <c r="F477" i="29"/>
  <c r="H389" i="29"/>
  <c r="F138" i="29"/>
  <c r="C85" i="51"/>
  <c r="B84" i="51"/>
  <c r="C80" i="51"/>
  <c r="B79" i="51"/>
  <c r="B88" i="51" s="1"/>
  <c r="N25" i="14"/>
  <c r="N204" i="14" s="1"/>
  <c r="X13" i="29"/>
  <c r="F13" i="29"/>
  <c r="AB25" i="14"/>
  <c r="AB14" i="29" s="1"/>
  <c r="AE25" i="14"/>
  <c r="AE204" i="14" s="1"/>
  <c r="AF13" i="29"/>
  <c r="K25" i="14"/>
  <c r="K14" i="29" s="1"/>
  <c r="O13" i="29"/>
  <c r="U25" i="14"/>
  <c r="U14" i="29" s="1"/>
  <c r="J25" i="14"/>
  <c r="J204" i="14" s="1"/>
  <c r="Q13" i="29"/>
  <c r="T13" i="29"/>
  <c r="P13" i="29"/>
  <c r="M13" i="29"/>
  <c r="AD13" i="29"/>
  <c r="H13" i="29"/>
  <c r="AH13" i="29"/>
  <c r="E25" i="14"/>
  <c r="E22" i="14" s="1"/>
  <c r="G25" i="14"/>
  <c r="G14" i="29" s="1"/>
  <c r="L25" i="14"/>
  <c r="S13" i="29"/>
  <c r="V25" i="14"/>
  <c r="Z13" i="29"/>
  <c r="R13" i="29"/>
  <c r="I14" i="29"/>
  <c r="E13" i="29"/>
  <c r="AG25" i="14"/>
  <c r="AG204" i="14" s="1"/>
  <c r="AA14" i="29"/>
  <c r="AA13" i="29"/>
  <c r="I13" i="29"/>
  <c r="I204" i="14"/>
  <c r="AD204" i="14"/>
  <c r="AD14" i="29"/>
  <c r="AH14" i="29"/>
  <c r="P14" i="29"/>
  <c r="F204" i="14"/>
  <c r="O14" i="29"/>
  <c r="X14" i="29"/>
  <c r="M14" i="29"/>
  <c r="W13" i="29"/>
  <c r="Y13" i="29"/>
  <c r="Y25" i="14"/>
  <c r="W14" i="29"/>
  <c r="AC13" i="29"/>
  <c r="AC14" i="29"/>
  <c r="M150" i="14"/>
  <c r="N149" i="14"/>
  <c r="H204" i="14"/>
  <c r="H14" i="29"/>
  <c r="R14" i="29"/>
  <c r="R204" i="14"/>
  <c r="AF204" i="14"/>
  <c r="AF14" i="29"/>
  <c r="T204" i="14"/>
  <c r="T14" i="29"/>
  <c r="S204" i="14"/>
  <c r="S14" i="29"/>
  <c r="Z204" i="14"/>
  <c r="Z14" i="29"/>
  <c r="Q14" i="29"/>
  <c r="Q204" i="14"/>
  <c r="I156" i="14"/>
  <c r="I157" i="14" s="1"/>
  <c r="M197" i="14"/>
  <c r="M198" i="14"/>
  <c r="I129" i="14"/>
  <c r="J505" i="29"/>
  <c r="J378" i="29"/>
  <c r="J466" i="29" s="1"/>
  <c r="L193" i="14"/>
  <c r="L40" i="29" s="1"/>
  <c r="L194" i="14"/>
  <c r="E563" i="29"/>
  <c r="F563" i="29" s="1"/>
  <c r="J76" i="14"/>
  <c r="J122" i="14" s="1"/>
  <c r="I79" i="14" s="1"/>
  <c r="I78" i="14" s="1"/>
  <c r="J229" i="14"/>
  <c r="I258" i="14" s="1"/>
  <c r="G124" i="14"/>
  <c r="G119" i="14" s="1"/>
  <c r="G231" i="14"/>
  <c r="G539" i="29"/>
  <c r="L189" i="14"/>
  <c r="L190" i="14"/>
  <c r="I384" i="29"/>
  <c r="I472" i="29" s="1"/>
  <c r="I386" i="29"/>
  <c r="I474" i="29" s="1"/>
  <c r="I388" i="29"/>
  <c r="I476" i="29" s="1"/>
  <c r="I381" i="29"/>
  <c r="I469" i="29" s="1"/>
  <c r="I382" i="29"/>
  <c r="I470" i="29" s="1"/>
  <c r="I383" i="29"/>
  <c r="I471" i="29" s="1"/>
  <c r="I385" i="29"/>
  <c r="I473" i="29" s="1"/>
  <c r="I380" i="29"/>
  <c r="I468" i="29" s="1"/>
  <c r="I387" i="29"/>
  <c r="I475" i="29" s="1"/>
  <c r="I379" i="29"/>
  <c r="I467" i="29" s="1"/>
  <c r="H539" i="29"/>
  <c r="H549" i="29" s="1"/>
  <c r="K75" i="14"/>
  <c r="K39" i="29"/>
  <c r="I506" i="29"/>
  <c r="B98" i="51" l="1"/>
  <c r="B96" i="51"/>
  <c r="L56" i="52" s="1"/>
  <c r="B95" i="51"/>
  <c r="L55" i="52" s="1"/>
  <c r="B93" i="51"/>
  <c r="B92" i="51"/>
  <c r="L52" i="52" s="1"/>
  <c r="H94" i="51"/>
  <c r="H97" i="51" s="1"/>
  <c r="B90" i="51"/>
  <c r="L50" i="52" s="1"/>
  <c r="AI487" i="29"/>
  <c r="AK487" i="29"/>
  <c r="AJ487" i="29"/>
  <c r="E146" i="29"/>
  <c r="E142" i="29"/>
  <c r="E416" i="29" s="1"/>
  <c r="E149" i="29"/>
  <c r="E151" i="29"/>
  <c r="E150" i="29"/>
  <c r="E145" i="29"/>
  <c r="E147" i="29"/>
  <c r="E148" i="29"/>
  <c r="E152" i="29"/>
  <c r="E143" i="29"/>
  <c r="E144" i="29"/>
  <c r="E141" i="29"/>
  <c r="E156" i="29"/>
  <c r="E155" i="29"/>
  <c r="E164" i="29"/>
  <c r="E160" i="29"/>
  <c r="E162" i="29"/>
  <c r="E158" i="29"/>
  <c r="E165" i="29"/>
  <c r="E163" i="29"/>
  <c r="E159" i="29"/>
  <c r="E166" i="29"/>
  <c r="E161" i="29"/>
  <c r="E157" i="29"/>
  <c r="F154" i="29"/>
  <c r="F168" i="29"/>
  <c r="F140" i="29"/>
  <c r="E180" i="29"/>
  <c r="E170" i="29"/>
  <c r="E178" i="29"/>
  <c r="E174" i="29"/>
  <c r="E179" i="29"/>
  <c r="E173" i="29"/>
  <c r="E176" i="29"/>
  <c r="E171" i="29"/>
  <c r="E177" i="29"/>
  <c r="E172" i="29"/>
  <c r="E175" i="29"/>
  <c r="E169" i="29"/>
  <c r="E417" i="29"/>
  <c r="E415" i="29"/>
  <c r="G138" i="29"/>
  <c r="H31" i="29"/>
  <c r="H414" i="29" s="1"/>
  <c r="H516" i="29" s="1"/>
  <c r="F479" i="29"/>
  <c r="H390" i="29"/>
  <c r="H477" i="29" s="1"/>
  <c r="H479" i="29" s="1"/>
  <c r="H478" i="29"/>
  <c r="G477" i="29"/>
  <c r="I389" i="29"/>
  <c r="N14" i="29"/>
  <c r="E204" i="14"/>
  <c r="D219" i="52"/>
  <c r="C219" i="52"/>
  <c r="AB204" i="14"/>
  <c r="AE14" i="29"/>
  <c r="K204" i="14"/>
  <c r="U204" i="14"/>
  <c r="AI13" i="29"/>
  <c r="J14" i="29"/>
  <c r="AJ13" i="29"/>
  <c r="AK13" i="29"/>
  <c r="V204" i="14"/>
  <c r="G204" i="14"/>
  <c r="V14" i="29"/>
  <c r="L204" i="14"/>
  <c r="E14" i="29"/>
  <c r="L14" i="29"/>
  <c r="AG14" i="29"/>
  <c r="Y204" i="14"/>
  <c r="Y14" i="29"/>
  <c r="N150" i="14"/>
  <c r="O149" i="14"/>
  <c r="Z20" i="14"/>
  <c r="Z17" i="14" s="1"/>
  <c r="Z9" i="29"/>
  <c r="AE20" i="14"/>
  <c r="AE17" i="14" s="1"/>
  <c r="AE9" i="29"/>
  <c r="W20" i="14"/>
  <c r="W17" i="14" s="1"/>
  <c r="W9" i="29"/>
  <c r="P9" i="29"/>
  <c r="P20" i="14"/>
  <c r="P17" i="14" s="1"/>
  <c r="AF20" i="14"/>
  <c r="AF17" i="14" s="1"/>
  <c r="AF9" i="29"/>
  <c r="Y9" i="29"/>
  <c r="Y20" i="14"/>
  <c r="Y17" i="14" s="1"/>
  <c r="X20" i="14"/>
  <c r="X17" i="14" s="1"/>
  <c r="X9" i="29"/>
  <c r="O9" i="29"/>
  <c r="O20" i="14"/>
  <c r="O17" i="14" s="1"/>
  <c r="S20" i="14"/>
  <c r="S17" i="14" s="1"/>
  <c r="S9" i="29"/>
  <c r="AH9" i="29"/>
  <c r="AH20" i="14"/>
  <c r="AH17" i="14" s="1"/>
  <c r="H20" i="14"/>
  <c r="H17" i="14" s="1"/>
  <c r="H9" i="29"/>
  <c r="G20" i="14"/>
  <c r="G17" i="14" s="1"/>
  <c r="G9" i="29"/>
  <c r="I20" i="14"/>
  <c r="I17" i="14" s="1"/>
  <c r="I9" i="29"/>
  <c r="T20" i="14"/>
  <c r="T17" i="14" s="1"/>
  <c r="T9" i="29"/>
  <c r="AG20" i="14"/>
  <c r="AG17" i="14" s="1"/>
  <c r="AG9" i="29"/>
  <c r="E20" i="14"/>
  <c r="E9" i="29"/>
  <c r="AC20" i="14"/>
  <c r="AC17" i="14" s="1"/>
  <c r="AC9" i="29"/>
  <c r="U20" i="14"/>
  <c r="U17" i="14" s="1"/>
  <c r="U9" i="29"/>
  <c r="L20" i="14"/>
  <c r="L17" i="14" s="1"/>
  <c r="L9" i="29"/>
  <c r="AD20" i="14"/>
  <c r="AD17" i="14" s="1"/>
  <c r="AD9" i="29"/>
  <c r="F9" i="29"/>
  <c r="F20" i="14"/>
  <c r="M20" i="14"/>
  <c r="M17" i="14" s="1"/>
  <c r="M9" i="29"/>
  <c r="Q20" i="14"/>
  <c r="Q17" i="14" s="1"/>
  <c r="Q9" i="29"/>
  <c r="AB20" i="14"/>
  <c r="AB17" i="14" s="1"/>
  <c r="AB9" i="29"/>
  <c r="R20" i="14"/>
  <c r="R17" i="14" s="1"/>
  <c r="R9" i="29"/>
  <c r="N9" i="29"/>
  <c r="N20" i="14"/>
  <c r="N17" i="14" s="1"/>
  <c r="B89" i="51"/>
  <c r="L49" i="52" s="1"/>
  <c r="AA20" i="14"/>
  <c r="AA17" i="14" s="1"/>
  <c r="AA9" i="29"/>
  <c r="V20" i="14"/>
  <c r="V17" i="14" s="1"/>
  <c r="V9" i="29"/>
  <c r="J20" i="14"/>
  <c r="J17" i="14" s="1"/>
  <c r="J9" i="29"/>
  <c r="K20" i="14"/>
  <c r="K17" i="14" s="1"/>
  <c r="K9" i="29"/>
  <c r="J156" i="14"/>
  <c r="J157" i="14" s="1"/>
  <c r="K229" i="14"/>
  <c r="K76" i="14"/>
  <c r="K122" i="14" s="1"/>
  <c r="J79" i="14" s="1"/>
  <c r="J78" i="14" s="1"/>
  <c r="H124" i="14"/>
  <c r="H119" i="14" s="1"/>
  <c r="H231" i="14"/>
  <c r="G260" i="14" s="1"/>
  <c r="M189" i="14"/>
  <c r="M190" i="14"/>
  <c r="J129" i="14"/>
  <c r="L75" i="14"/>
  <c r="L39" i="29"/>
  <c r="M193" i="14"/>
  <c r="M40" i="29" s="1"/>
  <c r="M194" i="14"/>
  <c r="G549" i="29"/>
  <c r="G563" i="29" s="1"/>
  <c r="F260" i="14"/>
  <c r="J388" i="29"/>
  <c r="J476" i="29" s="1"/>
  <c r="J382" i="29"/>
  <c r="J470" i="29" s="1"/>
  <c r="J384" i="29"/>
  <c r="J472" i="29" s="1"/>
  <c r="J386" i="29"/>
  <c r="J474" i="29" s="1"/>
  <c r="J381" i="29"/>
  <c r="J469" i="29" s="1"/>
  <c r="J380" i="29"/>
  <c r="J468" i="29" s="1"/>
  <c r="J379" i="29"/>
  <c r="J467" i="29" s="1"/>
  <c r="J383" i="29"/>
  <c r="J471" i="29" s="1"/>
  <c r="J387" i="29"/>
  <c r="J475" i="29" s="1"/>
  <c r="J385" i="29"/>
  <c r="J473" i="29" s="1"/>
  <c r="N197" i="14"/>
  <c r="N198" i="14"/>
  <c r="K505" i="29"/>
  <c r="K378" i="29"/>
  <c r="K466" i="29" s="1"/>
  <c r="J506" i="29"/>
  <c r="L54" i="52" l="1"/>
  <c r="G140" i="29"/>
  <c r="G168" i="29"/>
  <c r="G154" i="29"/>
  <c r="F146" i="29"/>
  <c r="F152" i="29"/>
  <c r="F142" i="29"/>
  <c r="F144" i="29"/>
  <c r="F147" i="29"/>
  <c r="F149" i="29"/>
  <c r="F143" i="29"/>
  <c r="F141" i="29"/>
  <c r="F150" i="29"/>
  <c r="F148" i="29"/>
  <c r="F145" i="29"/>
  <c r="F151" i="29"/>
  <c r="F172" i="29"/>
  <c r="F179" i="29"/>
  <c r="F169" i="29"/>
  <c r="F175" i="29"/>
  <c r="F171" i="29"/>
  <c r="F178" i="29"/>
  <c r="F170" i="29"/>
  <c r="F176" i="29"/>
  <c r="F177" i="29"/>
  <c r="F174" i="29"/>
  <c r="F173" i="29"/>
  <c r="F180" i="29"/>
  <c r="F155" i="29"/>
  <c r="F162" i="29"/>
  <c r="F159" i="29"/>
  <c r="F156" i="29"/>
  <c r="F163" i="29"/>
  <c r="F164" i="29"/>
  <c r="F165" i="29"/>
  <c r="F158" i="29"/>
  <c r="F161" i="29"/>
  <c r="F166" i="29"/>
  <c r="F160" i="29"/>
  <c r="F157" i="29"/>
  <c r="E181" i="29"/>
  <c r="E182" i="29" s="1"/>
  <c r="I31" i="29"/>
  <c r="I414" i="29" s="1"/>
  <c r="I516" i="29" s="1"/>
  <c r="F415" i="29"/>
  <c r="E526" i="29"/>
  <c r="G479" i="29"/>
  <c r="E421" i="29"/>
  <c r="I390" i="29"/>
  <c r="I478" i="29"/>
  <c r="J389" i="29"/>
  <c r="E424" i="29"/>
  <c r="E419" i="29"/>
  <c r="E425" i="29"/>
  <c r="E427" i="29"/>
  <c r="E422" i="29"/>
  <c r="E420" i="29"/>
  <c r="E423" i="29"/>
  <c r="E418" i="29"/>
  <c r="E426" i="29"/>
  <c r="G94" i="51"/>
  <c r="L53" i="52"/>
  <c r="G95" i="51"/>
  <c r="H138" i="29"/>
  <c r="E12" i="29"/>
  <c r="E486" i="29" s="1"/>
  <c r="F22" i="14"/>
  <c r="C218" i="52"/>
  <c r="C220" i="52" s="1"/>
  <c r="D218" i="52"/>
  <c r="D220" i="52" s="1"/>
  <c r="Z212" i="52" s="1"/>
  <c r="AI204" i="14"/>
  <c r="AJ14" i="29"/>
  <c r="E113" i="14"/>
  <c r="E205" i="14"/>
  <c r="D237" i="14" s="1"/>
  <c r="AI14" i="29"/>
  <c r="AK14" i="29"/>
  <c r="O150" i="14"/>
  <c r="P149" i="14"/>
  <c r="K202" i="14"/>
  <c r="K212" i="14" s="1"/>
  <c r="K10" i="29"/>
  <c r="C154" i="52"/>
  <c r="E76" i="26"/>
  <c r="G10" i="29"/>
  <c r="G202" i="14"/>
  <c r="G212" i="14" s="1"/>
  <c r="AF202" i="14"/>
  <c r="AF212" i="14" s="1"/>
  <c r="AF10" i="29"/>
  <c r="W202" i="14"/>
  <c r="W212" i="14" s="1"/>
  <c r="W10" i="29"/>
  <c r="J202" i="14"/>
  <c r="J212" i="14" s="1"/>
  <c r="J10" i="29"/>
  <c r="Q202" i="14"/>
  <c r="Q212" i="14" s="1"/>
  <c r="Q10" i="29"/>
  <c r="AD10" i="29"/>
  <c r="AD202" i="14"/>
  <c r="AD212" i="14" s="1"/>
  <c r="AC202" i="14"/>
  <c r="AC212" i="14" s="1"/>
  <c r="AC10" i="29"/>
  <c r="AG10" i="29"/>
  <c r="AG202" i="14"/>
  <c r="AG212" i="14" s="1"/>
  <c r="O202" i="14"/>
  <c r="O212" i="14" s="1"/>
  <c r="O10" i="29"/>
  <c r="AB10" i="29"/>
  <c r="AB202" i="14"/>
  <c r="AB212" i="14" s="1"/>
  <c r="N202" i="14"/>
  <c r="N212" i="14" s="1"/>
  <c r="N10" i="29"/>
  <c r="H202" i="14"/>
  <c r="H212" i="14" s="1"/>
  <c r="H10" i="29"/>
  <c r="AE202" i="14"/>
  <c r="AE212" i="14" s="1"/>
  <c r="AE10" i="29"/>
  <c r="V202" i="14"/>
  <c r="V212" i="14" s="1"/>
  <c r="V10" i="29"/>
  <c r="L202" i="14"/>
  <c r="L212" i="14" s="1"/>
  <c r="L10" i="29"/>
  <c r="AI9" i="29"/>
  <c r="AK9" i="29"/>
  <c r="AJ9" i="29"/>
  <c r="T202" i="14"/>
  <c r="T212" i="14" s="1"/>
  <c r="T10" i="29"/>
  <c r="AH10" i="29"/>
  <c r="AH202" i="14"/>
  <c r="AH212" i="14" s="1"/>
  <c r="X202" i="14"/>
  <c r="X212" i="14" s="1"/>
  <c r="X10" i="29"/>
  <c r="Z10" i="29"/>
  <c r="Z202" i="14"/>
  <c r="Z212" i="14" s="1"/>
  <c r="AA10" i="29"/>
  <c r="AA202" i="14"/>
  <c r="AA212" i="14" s="1"/>
  <c r="R10" i="29"/>
  <c r="R202" i="14"/>
  <c r="R212" i="14" s="1"/>
  <c r="M202" i="14"/>
  <c r="M212" i="14" s="1"/>
  <c r="M10" i="29"/>
  <c r="I10" i="29"/>
  <c r="I202" i="14"/>
  <c r="I212" i="14" s="1"/>
  <c r="Y202" i="14"/>
  <c r="Y212" i="14" s="1"/>
  <c r="Y10" i="29"/>
  <c r="P202" i="14"/>
  <c r="P212" i="14" s="1"/>
  <c r="P10" i="29"/>
  <c r="U10" i="29"/>
  <c r="U202" i="14"/>
  <c r="U212" i="14" s="1"/>
  <c r="F17" i="14"/>
  <c r="F202" i="14"/>
  <c r="F212" i="14" s="1"/>
  <c r="F10" i="29"/>
  <c r="E10" i="29"/>
  <c r="E202" i="14"/>
  <c r="E17" i="14"/>
  <c r="S10" i="29"/>
  <c r="S202" i="14"/>
  <c r="S212" i="14" s="1"/>
  <c r="H563" i="29"/>
  <c r="K381" i="29"/>
  <c r="K469" i="29" s="1"/>
  <c r="K384" i="29"/>
  <c r="K472" i="29" s="1"/>
  <c r="K386" i="29"/>
  <c r="K474" i="29" s="1"/>
  <c r="K388" i="29"/>
  <c r="K476" i="29" s="1"/>
  <c r="K382" i="29"/>
  <c r="K470" i="29" s="1"/>
  <c r="K383" i="29"/>
  <c r="K471" i="29" s="1"/>
  <c r="K379" i="29"/>
  <c r="K467" i="29" s="1"/>
  <c r="K387" i="29"/>
  <c r="K475" i="29" s="1"/>
  <c r="K385" i="29"/>
  <c r="K473" i="29" s="1"/>
  <c r="K380" i="29"/>
  <c r="K468" i="29" s="1"/>
  <c r="M75" i="14"/>
  <c r="M39" i="29"/>
  <c r="K506" i="29"/>
  <c r="O197" i="14"/>
  <c r="O198" i="14"/>
  <c r="N194" i="14"/>
  <c r="N193" i="14"/>
  <c r="N40" i="29" s="1"/>
  <c r="L505" i="29"/>
  <c r="L506" i="29" s="1"/>
  <c r="L378" i="29"/>
  <c r="L466" i="29" s="1"/>
  <c r="L229" i="14"/>
  <c r="K258" i="14" s="1"/>
  <c r="L76" i="14"/>
  <c r="L122" i="14" s="1"/>
  <c r="K79" i="14" s="1"/>
  <c r="K78" i="14" s="1"/>
  <c r="I539" i="29"/>
  <c r="I124" i="14"/>
  <c r="I119" i="14" s="1"/>
  <c r="I231" i="14"/>
  <c r="J258" i="14"/>
  <c r="N189" i="14"/>
  <c r="N190" i="14"/>
  <c r="I138" i="29"/>
  <c r="C153" i="52" l="1"/>
  <c r="C163" i="52" s="1"/>
  <c r="C157" i="52"/>
  <c r="F181" i="29"/>
  <c r="F182" i="29" s="1"/>
  <c r="G155" i="29"/>
  <c r="G156" i="29"/>
  <c r="G166" i="29"/>
  <c r="G157" i="29"/>
  <c r="G163" i="29"/>
  <c r="G159" i="29"/>
  <c r="G158" i="29"/>
  <c r="G164" i="29"/>
  <c r="G165" i="29"/>
  <c r="G162" i="29"/>
  <c r="G160" i="29"/>
  <c r="G161" i="29"/>
  <c r="G177" i="29"/>
  <c r="G179" i="29"/>
  <c r="G171" i="29"/>
  <c r="G175" i="29"/>
  <c r="G176" i="29"/>
  <c r="G170" i="29"/>
  <c r="G180" i="29"/>
  <c r="G174" i="29"/>
  <c r="G169" i="29"/>
  <c r="G172" i="29"/>
  <c r="G178" i="29"/>
  <c r="G173" i="29"/>
  <c r="I154" i="29"/>
  <c r="I140" i="29"/>
  <c r="I168" i="29"/>
  <c r="H140" i="29"/>
  <c r="H168" i="29"/>
  <c r="H154" i="29"/>
  <c r="G151" i="29"/>
  <c r="G147" i="29"/>
  <c r="G152" i="29"/>
  <c r="G143" i="29"/>
  <c r="G149" i="29"/>
  <c r="G141" i="29"/>
  <c r="G144" i="29"/>
  <c r="G150" i="29"/>
  <c r="G148" i="29"/>
  <c r="G142" i="29"/>
  <c r="G145" i="29"/>
  <c r="G146" i="29"/>
  <c r="F416" i="29"/>
  <c r="F417" i="29"/>
  <c r="G415" i="29"/>
  <c r="J31" i="29"/>
  <c r="J414" i="29" s="1"/>
  <c r="J516" i="29" s="1"/>
  <c r="I477" i="29"/>
  <c r="I479" i="29" s="1"/>
  <c r="J390" i="29"/>
  <c r="J478" i="29"/>
  <c r="E429" i="29"/>
  <c r="E428" i="29"/>
  <c r="F425" i="29"/>
  <c r="K389" i="29"/>
  <c r="F421" i="29"/>
  <c r="F423" i="29"/>
  <c r="F418" i="29"/>
  <c r="F420" i="29"/>
  <c r="F426" i="29"/>
  <c r="F424" i="29"/>
  <c r="F422" i="29"/>
  <c r="F419" i="29"/>
  <c r="F427" i="29"/>
  <c r="F526" i="29"/>
  <c r="L48" i="52"/>
  <c r="E73" i="26"/>
  <c r="D9" i="31" s="1"/>
  <c r="D28" i="29" s="1"/>
  <c r="G96" i="51"/>
  <c r="C155" i="52"/>
  <c r="C158" i="52"/>
  <c r="T7" i="52"/>
  <c r="Z202" i="52" s="1"/>
  <c r="E514" i="29"/>
  <c r="G22" i="14"/>
  <c r="G42" i="14" s="1"/>
  <c r="F113" i="14"/>
  <c r="F12" i="29"/>
  <c r="F205" i="14"/>
  <c r="E237" i="14" s="1"/>
  <c r="U551" i="29"/>
  <c r="Z551" i="29"/>
  <c r="AD551" i="29"/>
  <c r="AH551" i="29"/>
  <c r="S551" i="29"/>
  <c r="L551" i="29"/>
  <c r="W551" i="29"/>
  <c r="H551" i="29"/>
  <c r="AB551" i="29"/>
  <c r="I551" i="29"/>
  <c r="J551" i="29"/>
  <c r="AC551" i="29"/>
  <c r="N551" i="29"/>
  <c r="K551" i="29"/>
  <c r="G551" i="29"/>
  <c r="AE551" i="29"/>
  <c r="E551" i="29"/>
  <c r="E565" i="29" s="1"/>
  <c r="O551" i="29"/>
  <c r="T551" i="29"/>
  <c r="AA551" i="29"/>
  <c r="X551" i="29"/>
  <c r="AG551" i="29"/>
  <c r="F551" i="29"/>
  <c r="P551" i="29"/>
  <c r="Y551" i="29"/>
  <c r="Q551" i="29"/>
  <c r="V551" i="29"/>
  <c r="AF551" i="29"/>
  <c r="R551" i="29"/>
  <c r="M551" i="29"/>
  <c r="E60" i="26"/>
  <c r="E68" i="26"/>
  <c r="C159" i="52"/>
  <c r="P150" i="14"/>
  <c r="Q149" i="14"/>
  <c r="AI202" i="14"/>
  <c r="T5" i="52" s="1"/>
  <c r="Z201" i="52" s="1"/>
  <c r="E212" i="14"/>
  <c r="AI212" i="14" s="1"/>
  <c r="P203" i="14"/>
  <c r="O236" i="14" s="1"/>
  <c r="P112" i="14"/>
  <c r="P8" i="29"/>
  <c r="P21" i="29" s="1"/>
  <c r="I8" i="29"/>
  <c r="I21" i="29" s="1"/>
  <c r="I203" i="14"/>
  <c r="H236" i="14" s="1"/>
  <c r="I112" i="14"/>
  <c r="M8" i="29"/>
  <c r="M21" i="29" s="1"/>
  <c r="M203" i="14"/>
  <c r="L236" i="14" s="1"/>
  <c r="M112" i="14"/>
  <c r="Z112" i="14"/>
  <c r="Z8" i="29"/>
  <c r="Z21" i="29" s="1"/>
  <c r="Z203" i="14"/>
  <c r="Y236" i="14" s="1"/>
  <c r="AE203" i="14"/>
  <c r="AD236" i="14" s="1"/>
  <c r="AE112" i="14"/>
  <c r="AE8" i="29"/>
  <c r="AE21" i="29" s="1"/>
  <c r="G112" i="14"/>
  <c r="G8" i="29"/>
  <c r="G21" i="29" s="1"/>
  <c r="G203" i="14"/>
  <c r="F236" i="14" s="1"/>
  <c r="AK10" i="29"/>
  <c r="AJ10" i="29"/>
  <c r="L112" i="14"/>
  <c r="L8" i="29"/>
  <c r="L21" i="29" s="1"/>
  <c r="L203" i="14"/>
  <c r="K236" i="14" s="1"/>
  <c r="AB203" i="14"/>
  <c r="AA236" i="14" s="1"/>
  <c r="AB112" i="14"/>
  <c r="AB8" i="29"/>
  <c r="AB21" i="29" s="1"/>
  <c r="AI10" i="29"/>
  <c r="R203" i="14"/>
  <c r="Q236" i="14" s="1"/>
  <c r="R112" i="14"/>
  <c r="R8" i="29"/>
  <c r="R21" i="29" s="1"/>
  <c r="Q112" i="14"/>
  <c r="Q203" i="14"/>
  <c r="P236" i="14" s="1"/>
  <c r="Q8" i="29"/>
  <c r="Q21" i="29" s="1"/>
  <c r="T112" i="14"/>
  <c r="T203" i="14"/>
  <c r="S236" i="14" s="1"/>
  <c r="T8" i="29"/>
  <c r="T21" i="29" s="1"/>
  <c r="H112" i="14"/>
  <c r="H203" i="14"/>
  <c r="G236" i="14" s="1"/>
  <c r="H8" i="29"/>
  <c r="H21" i="29" s="1"/>
  <c r="AC203" i="14"/>
  <c r="AB236" i="14" s="1"/>
  <c r="AC8" i="29"/>
  <c r="AC21" i="29" s="1"/>
  <c r="AC112" i="14"/>
  <c r="W203" i="14"/>
  <c r="V236" i="14" s="1"/>
  <c r="W112" i="14"/>
  <c r="W8" i="29"/>
  <c r="W21" i="29" s="1"/>
  <c r="D13" i="31"/>
  <c r="D29" i="29" s="1"/>
  <c r="D216" i="14"/>
  <c r="D168" i="14"/>
  <c r="S112" i="14"/>
  <c r="S8" i="29"/>
  <c r="S21" i="29" s="1"/>
  <c r="S203" i="14"/>
  <c r="R236" i="14" s="1"/>
  <c r="F203" i="14"/>
  <c r="E236" i="14" s="1"/>
  <c r="F8" i="29"/>
  <c r="F21" i="29" s="1"/>
  <c r="F112" i="14"/>
  <c r="F42" i="14"/>
  <c r="X112" i="14"/>
  <c r="X8" i="29"/>
  <c r="X21" i="29" s="1"/>
  <c r="X203" i="14"/>
  <c r="W236" i="14" s="1"/>
  <c r="V203" i="14"/>
  <c r="U236" i="14" s="1"/>
  <c r="V112" i="14"/>
  <c r="V8" i="29"/>
  <c r="V21" i="29" s="1"/>
  <c r="U8" i="29"/>
  <c r="U21" i="29" s="1"/>
  <c r="U112" i="14"/>
  <c r="U203" i="14"/>
  <c r="T236" i="14" s="1"/>
  <c r="Y203" i="14"/>
  <c r="X236" i="14" s="1"/>
  <c r="Y112" i="14"/>
  <c r="Y8" i="29"/>
  <c r="Y21" i="29" s="1"/>
  <c r="O203" i="14"/>
  <c r="N236" i="14" s="1"/>
  <c r="O112" i="14"/>
  <c r="O8" i="29"/>
  <c r="O21" i="29" s="1"/>
  <c r="AA8" i="29"/>
  <c r="AA21" i="29" s="1"/>
  <c r="AA203" i="14"/>
  <c r="Z236" i="14" s="1"/>
  <c r="AA112" i="14"/>
  <c r="AF8" i="29"/>
  <c r="AF21" i="29" s="1"/>
  <c r="AF203" i="14"/>
  <c r="AE236" i="14" s="1"/>
  <c r="AF112" i="14"/>
  <c r="K203" i="14"/>
  <c r="J236" i="14" s="1"/>
  <c r="K8" i="29"/>
  <c r="K21" i="29" s="1"/>
  <c r="K112" i="14"/>
  <c r="E8" i="29"/>
  <c r="E21" i="29" s="1"/>
  <c r="E203" i="14"/>
  <c r="E112" i="14"/>
  <c r="AI17" i="14"/>
  <c r="E42" i="14"/>
  <c r="AH112" i="14"/>
  <c r="AH203" i="14"/>
  <c r="AG236" i="14" s="1"/>
  <c r="AH8" i="29"/>
  <c r="AH21" i="29" s="1"/>
  <c r="N8" i="29"/>
  <c r="N21" i="29" s="1"/>
  <c r="N203" i="14"/>
  <c r="M236" i="14" s="1"/>
  <c r="N112" i="14"/>
  <c r="AG203" i="14"/>
  <c r="AF236" i="14" s="1"/>
  <c r="AG112" i="14"/>
  <c r="AG8" i="29"/>
  <c r="AG21" i="29" s="1"/>
  <c r="AD112" i="14"/>
  <c r="AD8" i="29"/>
  <c r="AD21" i="29" s="1"/>
  <c r="AD203" i="14"/>
  <c r="AC236" i="14" s="1"/>
  <c r="J203" i="14"/>
  <c r="I236" i="14" s="1"/>
  <c r="J8" i="29"/>
  <c r="J21" i="29" s="1"/>
  <c r="J112" i="14"/>
  <c r="J539" i="29"/>
  <c r="J549" i="29" s="1"/>
  <c r="L384" i="29"/>
  <c r="L472" i="29" s="1"/>
  <c r="L386" i="29"/>
  <c r="L474" i="29" s="1"/>
  <c r="L388" i="29"/>
  <c r="L476" i="29" s="1"/>
  <c r="L382" i="29"/>
  <c r="L470" i="29" s="1"/>
  <c r="L381" i="29"/>
  <c r="L469" i="29" s="1"/>
  <c r="L385" i="29"/>
  <c r="L473" i="29" s="1"/>
  <c r="L387" i="29"/>
  <c r="L475" i="29" s="1"/>
  <c r="L380" i="29"/>
  <c r="L468" i="29" s="1"/>
  <c r="L379" i="29"/>
  <c r="L467" i="29" s="1"/>
  <c r="L383" i="29"/>
  <c r="L471" i="29" s="1"/>
  <c r="O189" i="14"/>
  <c r="O190" i="14"/>
  <c r="K156" i="14"/>
  <c r="K157" i="14" s="1"/>
  <c r="I549" i="29"/>
  <c r="I563" i="29" s="1"/>
  <c r="N75" i="14"/>
  <c r="N39" i="29"/>
  <c r="AI40" i="29"/>
  <c r="P197" i="14"/>
  <c r="P198" i="14"/>
  <c r="O193" i="14"/>
  <c r="O40" i="29" s="1"/>
  <c r="O194" i="14"/>
  <c r="K539" i="29"/>
  <c r="K549" i="29" s="1"/>
  <c r="M505" i="29"/>
  <c r="M506" i="29" s="1"/>
  <c r="M378" i="29"/>
  <c r="M466" i="29" s="1"/>
  <c r="K129" i="14"/>
  <c r="L129" i="14" s="1"/>
  <c r="H260" i="14"/>
  <c r="M229" i="14"/>
  <c r="L258" i="14" s="1"/>
  <c r="M76" i="14"/>
  <c r="M122" i="14" s="1"/>
  <c r="L79" i="14" s="1"/>
  <c r="L78" i="14" s="1"/>
  <c r="L156" i="14"/>
  <c r="L157" i="14" s="1"/>
  <c r="G427" i="29"/>
  <c r="G526" i="29"/>
  <c r="G421" i="29" l="1"/>
  <c r="G418" i="29"/>
  <c r="G419" i="29"/>
  <c r="G424" i="29"/>
  <c r="G420" i="29"/>
  <c r="G426" i="29"/>
  <c r="G425" i="29"/>
  <c r="H163" i="29"/>
  <c r="H157" i="29"/>
  <c r="H161" i="29"/>
  <c r="H155" i="29"/>
  <c r="H160" i="29"/>
  <c r="H158" i="29"/>
  <c r="H156" i="29"/>
  <c r="H159" i="29"/>
  <c r="H164" i="29"/>
  <c r="H165" i="29"/>
  <c r="H166" i="29"/>
  <c r="H162" i="29"/>
  <c r="H180" i="29"/>
  <c r="H177" i="29"/>
  <c r="H172" i="29"/>
  <c r="H169" i="29"/>
  <c r="H179" i="29"/>
  <c r="H175" i="29"/>
  <c r="H174" i="29"/>
  <c r="H173" i="29"/>
  <c r="H170" i="29"/>
  <c r="H171" i="29"/>
  <c r="H176" i="29"/>
  <c r="H178" i="29"/>
  <c r="H150" i="29"/>
  <c r="H144" i="29"/>
  <c r="H146" i="29"/>
  <c r="H151" i="29"/>
  <c r="H147" i="29"/>
  <c r="H145" i="29"/>
  <c r="H152" i="29"/>
  <c r="H149" i="29"/>
  <c r="H141" i="29"/>
  <c r="H143" i="29"/>
  <c r="H142" i="29"/>
  <c r="H148" i="29"/>
  <c r="I180" i="29"/>
  <c r="I176" i="29"/>
  <c r="I171" i="29"/>
  <c r="I177" i="29"/>
  <c r="I178" i="29"/>
  <c r="I169" i="29"/>
  <c r="I174" i="29"/>
  <c r="I172" i="29"/>
  <c r="I179" i="29"/>
  <c r="I170" i="29"/>
  <c r="I175" i="29"/>
  <c r="I173" i="29"/>
  <c r="I149" i="29"/>
  <c r="I148" i="29"/>
  <c r="I141" i="29"/>
  <c r="I152" i="29"/>
  <c r="I144" i="29"/>
  <c r="I150" i="29"/>
  <c r="I142" i="29"/>
  <c r="I151" i="29"/>
  <c r="I145" i="29"/>
  <c r="I143" i="29"/>
  <c r="I146" i="29"/>
  <c r="I147" i="29"/>
  <c r="G181" i="29"/>
  <c r="G182" i="29" s="1"/>
  <c r="G429" i="29" s="1"/>
  <c r="I164" i="29"/>
  <c r="I160" i="29"/>
  <c r="I158" i="29"/>
  <c r="I155" i="29"/>
  <c r="I165" i="29"/>
  <c r="I156" i="29"/>
  <c r="I166" i="29"/>
  <c r="I157" i="29"/>
  <c r="I159" i="29"/>
  <c r="I161" i="29"/>
  <c r="I162" i="29"/>
  <c r="I163" i="29"/>
  <c r="G423" i="29"/>
  <c r="J138" i="29"/>
  <c r="G422" i="29"/>
  <c r="G416" i="29"/>
  <c r="G417" i="29"/>
  <c r="E430" i="29"/>
  <c r="D396" i="29"/>
  <c r="D512" i="29" s="1"/>
  <c r="I415" i="29"/>
  <c r="K31" i="29"/>
  <c r="K414" i="29" s="1"/>
  <c r="K516" i="29" s="1"/>
  <c r="H415" i="29"/>
  <c r="J477" i="29"/>
  <c r="J479" i="29" s="1"/>
  <c r="K390" i="29"/>
  <c r="K477" i="29" s="1"/>
  <c r="K479" i="29" s="1"/>
  <c r="K478" i="29"/>
  <c r="F429" i="29"/>
  <c r="F428" i="29"/>
  <c r="L389" i="29"/>
  <c r="D215" i="14"/>
  <c r="C245" i="14" s="1"/>
  <c r="D165" i="14"/>
  <c r="G164" i="14" s="1"/>
  <c r="E59" i="26"/>
  <c r="D21" i="31" s="1"/>
  <c r="E32" i="29" s="1"/>
  <c r="F486" i="29"/>
  <c r="F514" i="29"/>
  <c r="H22" i="14"/>
  <c r="G113" i="14"/>
  <c r="G205" i="14"/>
  <c r="G12" i="29"/>
  <c r="AI551" i="29"/>
  <c r="AJ551" i="29"/>
  <c r="L51" i="52"/>
  <c r="E66" i="26"/>
  <c r="F67" i="14" s="1"/>
  <c r="F224" i="14" s="1"/>
  <c r="E253" i="14" s="1"/>
  <c r="E67" i="26"/>
  <c r="P66" i="14" s="1"/>
  <c r="P223" i="14" s="1"/>
  <c r="O252" i="14" s="1"/>
  <c r="AK551" i="29"/>
  <c r="C156" i="52"/>
  <c r="E9" i="14"/>
  <c r="E60" i="14" s="1"/>
  <c r="E218" i="14" s="1"/>
  <c r="D248" i="14" s="1"/>
  <c r="O9" i="14"/>
  <c r="O60" i="14" s="1"/>
  <c r="O218" i="14" s="1"/>
  <c r="N248" i="14" s="1"/>
  <c r="AA9" i="14"/>
  <c r="AA60" i="14" s="1"/>
  <c r="AA218" i="14" s="1"/>
  <c r="Z248" i="14" s="1"/>
  <c r="S9" i="14"/>
  <c r="S60" i="14" s="1"/>
  <c r="S218" i="14" s="1"/>
  <c r="R248" i="14" s="1"/>
  <c r="AD9" i="14"/>
  <c r="AD60" i="14" s="1"/>
  <c r="AD218" i="14" s="1"/>
  <c r="AC248" i="14" s="1"/>
  <c r="K9" i="14"/>
  <c r="K60" i="14" s="1"/>
  <c r="K218" i="14" s="1"/>
  <c r="J248" i="14" s="1"/>
  <c r="V9" i="14"/>
  <c r="V60" i="14" s="1"/>
  <c r="V218" i="14" s="1"/>
  <c r="U248" i="14" s="1"/>
  <c r="AF9" i="14"/>
  <c r="AF60" i="14" s="1"/>
  <c r="AF218" i="14" s="1"/>
  <c r="AE248" i="14" s="1"/>
  <c r="N9" i="14"/>
  <c r="N60" i="14" s="1"/>
  <c r="N218" i="14" s="1"/>
  <c r="M248" i="14" s="1"/>
  <c r="AH9" i="14"/>
  <c r="AH60" i="14" s="1"/>
  <c r="AH218" i="14" s="1"/>
  <c r="AG248" i="14" s="1"/>
  <c r="F9" i="14"/>
  <c r="F60" i="14" s="1"/>
  <c r="F218" i="14" s="1"/>
  <c r="E248" i="14" s="1"/>
  <c r="Z9" i="14"/>
  <c r="Z60" i="14" s="1"/>
  <c r="Z218" i="14" s="1"/>
  <c r="Y248" i="14" s="1"/>
  <c r="H9" i="14"/>
  <c r="H60" i="14" s="1"/>
  <c r="H218" i="14" s="1"/>
  <c r="G248" i="14" s="1"/>
  <c r="R9" i="14"/>
  <c r="R60" i="14" s="1"/>
  <c r="R218" i="14" s="1"/>
  <c r="Q248" i="14" s="1"/>
  <c r="G9" i="14"/>
  <c r="G60" i="14" s="1"/>
  <c r="G218" i="14" s="1"/>
  <c r="F248" i="14" s="1"/>
  <c r="J9" i="14"/>
  <c r="J60" i="14" s="1"/>
  <c r="J218" i="14" s="1"/>
  <c r="I248" i="14" s="1"/>
  <c r="D25" i="31"/>
  <c r="AC9" i="14"/>
  <c r="AC60" i="14" s="1"/>
  <c r="AC218" i="14" s="1"/>
  <c r="AB248" i="14" s="1"/>
  <c r="AG9" i="14"/>
  <c r="AG60" i="14" s="1"/>
  <c r="AG218" i="14" s="1"/>
  <c r="AF248" i="14" s="1"/>
  <c r="U9" i="14"/>
  <c r="U60" i="14" s="1"/>
  <c r="U218" i="14" s="1"/>
  <c r="T248" i="14" s="1"/>
  <c r="Y9" i="14"/>
  <c r="Y60" i="14" s="1"/>
  <c r="Y218" i="14" s="1"/>
  <c r="X248" i="14" s="1"/>
  <c r="M9" i="14"/>
  <c r="M60" i="14" s="1"/>
  <c r="M218" i="14" s="1"/>
  <c r="L248" i="14" s="1"/>
  <c r="Q9" i="14"/>
  <c r="Q60" i="14" s="1"/>
  <c r="Q218" i="14" s="1"/>
  <c r="P248" i="14" s="1"/>
  <c r="P9" i="14"/>
  <c r="P60" i="14" s="1"/>
  <c r="P218" i="14" s="1"/>
  <c r="O248" i="14" s="1"/>
  <c r="I9" i="14"/>
  <c r="I60" i="14" s="1"/>
  <c r="I218" i="14" s="1"/>
  <c r="H248" i="14" s="1"/>
  <c r="AB9" i="14"/>
  <c r="AB60" i="14" s="1"/>
  <c r="X9" i="14"/>
  <c r="X60" i="14" s="1"/>
  <c r="T9" i="14"/>
  <c r="T60" i="14" s="1"/>
  <c r="T218" i="14" s="1"/>
  <c r="S248" i="14" s="1"/>
  <c r="AE9" i="14"/>
  <c r="AE60" i="14" s="1"/>
  <c r="AE218" i="14" s="1"/>
  <c r="AD248" i="14" s="1"/>
  <c r="L9" i="14"/>
  <c r="L60" i="14" s="1"/>
  <c r="L218" i="14" s="1"/>
  <c r="K248" i="14" s="1"/>
  <c r="W9" i="14"/>
  <c r="W60" i="14" s="1"/>
  <c r="W218" i="14" s="1"/>
  <c r="V248" i="14" s="1"/>
  <c r="K68" i="14"/>
  <c r="K225" i="14" s="1"/>
  <c r="J254" i="14" s="1"/>
  <c r="AC68" i="14"/>
  <c r="AC225" i="14" s="1"/>
  <c r="AB254" i="14" s="1"/>
  <c r="S68" i="14"/>
  <c r="AG68" i="14"/>
  <c r="AG225" i="14" s="1"/>
  <c r="AF254" i="14" s="1"/>
  <c r="O68" i="14"/>
  <c r="I68" i="14"/>
  <c r="I225" i="14" s="1"/>
  <c r="H254" i="14" s="1"/>
  <c r="V68" i="14"/>
  <c r="W68" i="14"/>
  <c r="W225" i="14" s="1"/>
  <c r="V254" i="14" s="1"/>
  <c r="M68" i="14"/>
  <c r="N68" i="14"/>
  <c r="N225" i="14" s="1"/>
  <c r="M254" i="14" s="1"/>
  <c r="Q68" i="14"/>
  <c r="Q225" i="14" s="1"/>
  <c r="P254" i="14" s="1"/>
  <c r="J68" i="14"/>
  <c r="J225" i="14" s="1"/>
  <c r="I254" i="14" s="1"/>
  <c r="U68" i="14"/>
  <c r="U225" i="14" s="1"/>
  <c r="T254" i="14" s="1"/>
  <c r="F68" i="14"/>
  <c r="AF68" i="14"/>
  <c r="AF225" i="14" s="1"/>
  <c r="AE254" i="14" s="1"/>
  <c r="X68" i="14"/>
  <c r="X225" i="14" s="1"/>
  <c r="W254" i="14" s="1"/>
  <c r="E68" i="14"/>
  <c r="AB68" i="14"/>
  <c r="AB225" i="14" s="1"/>
  <c r="AA254" i="14" s="1"/>
  <c r="H68" i="14"/>
  <c r="H225" i="14" s="1"/>
  <c r="G254" i="14" s="1"/>
  <c r="AH68" i="14"/>
  <c r="AH225" i="14" s="1"/>
  <c r="AG254" i="14" s="1"/>
  <c r="AD68" i="14"/>
  <c r="L68" i="14"/>
  <c r="L225" i="14" s="1"/>
  <c r="K254" i="14" s="1"/>
  <c r="AE68" i="14"/>
  <c r="AE225" i="14" s="1"/>
  <c r="AD254" i="14" s="1"/>
  <c r="AA68" i="14"/>
  <c r="AA225" i="14" s="1"/>
  <c r="Z254" i="14" s="1"/>
  <c r="Z68" i="14"/>
  <c r="Z225" i="14" s="1"/>
  <c r="Y254" i="14" s="1"/>
  <c r="P68" i="14"/>
  <c r="P225" i="14" s="1"/>
  <c r="O254" i="14" s="1"/>
  <c r="R68" i="14"/>
  <c r="T68" i="14"/>
  <c r="T225" i="14" s="1"/>
  <c r="S254" i="14" s="1"/>
  <c r="Y68" i="14"/>
  <c r="G68" i="14"/>
  <c r="D37" i="31"/>
  <c r="E37" i="29" s="1"/>
  <c r="Q150" i="14"/>
  <c r="R149" i="14"/>
  <c r="AH167" i="14"/>
  <c r="AH130" i="14" s="1"/>
  <c r="AH74" i="14" s="1"/>
  <c r="Z167" i="14"/>
  <c r="Z130" i="14" s="1"/>
  <c r="Z74" i="14" s="1"/>
  <c r="AG167" i="14"/>
  <c r="AG130" i="14" s="1"/>
  <c r="AG74" i="14" s="1"/>
  <c r="Y167" i="14"/>
  <c r="Y130" i="14" s="1"/>
  <c r="Y74" i="14" s="1"/>
  <c r="AF167" i="14"/>
  <c r="AF130" i="14" s="1"/>
  <c r="AF74" i="14" s="1"/>
  <c r="AE167" i="14"/>
  <c r="AE130" i="14" s="1"/>
  <c r="AE74" i="14" s="1"/>
  <c r="AD167" i="14"/>
  <c r="AD130" i="14" s="1"/>
  <c r="AD74" i="14" s="1"/>
  <c r="AC167" i="14"/>
  <c r="AC130" i="14" s="1"/>
  <c r="AC74" i="14" s="1"/>
  <c r="AB167" i="14"/>
  <c r="AB130" i="14" s="1"/>
  <c r="AB74" i="14" s="1"/>
  <c r="AA167" i="14"/>
  <c r="AA130" i="14" s="1"/>
  <c r="AA74" i="14" s="1"/>
  <c r="AD485" i="29"/>
  <c r="AD513" i="29"/>
  <c r="V513" i="29"/>
  <c r="V485" i="29"/>
  <c r="I485" i="29"/>
  <c r="I513" i="29"/>
  <c r="K513" i="29"/>
  <c r="K485" i="29"/>
  <c r="F485" i="29"/>
  <c r="F513" i="29"/>
  <c r="AB485" i="29"/>
  <c r="AB513" i="29"/>
  <c r="N485" i="29"/>
  <c r="N513" i="29"/>
  <c r="D236" i="14"/>
  <c r="AI203" i="14"/>
  <c r="C72" i="52" s="1"/>
  <c r="AA485" i="29"/>
  <c r="AA513" i="29"/>
  <c r="X167" i="14"/>
  <c r="P167" i="14"/>
  <c r="R167" i="14"/>
  <c r="J167" i="14"/>
  <c r="E167" i="14"/>
  <c r="E168" i="14" s="1"/>
  <c r="F167" i="14"/>
  <c r="T167" i="14"/>
  <c r="W167" i="14"/>
  <c r="K167" i="14"/>
  <c r="U167" i="14"/>
  <c r="H167" i="14"/>
  <c r="Q167" i="14"/>
  <c r="N167" i="14"/>
  <c r="L167" i="14"/>
  <c r="S167" i="14"/>
  <c r="O167" i="14"/>
  <c r="G167" i="14"/>
  <c r="M167" i="14"/>
  <c r="I167" i="14"/>
  <c r="V167" i="14"/>
  <c r="T513" i="29"/>
  <c r="T485" i="29"/>
  <c r="AE485" i="29"/>
  <c r="AE513" i="29"/>
  <c r="P485" i="29"/>
  <c r="P513" i="29"/>
  <c r="AH513" i="29"/>
  <c r="AH485" i="29"/>
  <c r="E485" i="29"/>
  <c r="E484" i="29" s="1"/>
  <c r="AK8" i="29"/>
  <c r="E513" i="29"/>
  <c r="AJ8" i="29"/>
  <c r="AI8" i="29"/>
  <c r="AK28" i="29"/>
  <c r="AI28" i="29"/>
  <c r="D489" i="29"/>
  <c r="D488" i="29" s="1"/>
  <c r="AJ28" i="29"/>
  <c r="D27" i="29"/>
  <c r="D47" i="29"/>
  <c r="C246" i="14"/>
  <c r="AI216" i="14"/>
  <c r="D77" i="52" s="1"/>
  <c r="AC513" i="29"/>
  <c r="AC485" i="29"/>
  <c r="R485" i="29"/>
  <c r="R513" i="29"/>
  <c r="M513" i="29"/>
  <c r="M485" i="29"/>
  <c r="AG513" i="29"/>
  <c r="AG485" i="29"/>
  <c r="D92" i="29"/>
  <c r="AK29" i="29"/>
  <c r="AJ29" i="29"/>
  <c r="AI29" i="29"/>
  <c r="J513" i="29"/>
  <c r="J485" i="29"/>
  <c r="V164" i="14"/>
  <c r="U164" i="14"/>
  <c r="T164" i="14"/>
  <c r="X164" i="14"/>
  <c r="W164" i="14"/>
  <c r="F565" i="29"/>
  <c r="G565" i="29" s="1"/>
  <c r="H565" i="29" s="1"/>
  <c r="I565" i="29" s="1"/>
  <c r="J565" i="29" s="1"/>
  <c r="K565" i="29" s="1"/>
  <c r="L565" i="29" s="1"/>
  <c r="M565" i="29" s="1"/>
  <c r="N565" i="29" s="1"/>
  <c r="O565" i="29" s="1"/>
  <c r="P565" i="29" s="1"/>
  <c r="Q565" i="29" s="1"/>
  <c r="R565" i="29" s="1"/>
  <c r="S565" i="29" s="1"/>
  <c r="T565" i="29" s="1"/>
  <c r="U565" i="29" s="1"/>
  <c r="V565" i="29" s="1"/>
  <c r="W565" i="29" s="1"/>
  <c r="X565" i="29" s="1"/>
  <c r="Y565" i="29" s="1"/>
  <c r="Z565" i="29" s="1"/>
  <c r="AA565" i="29" s="1"/>
  <c r="AB565" i="29" s="1"/>
  <c r="AC565" i="29" s="1"/>
  <c r="AD565" i="29" s="1"/>
  <c r="AE565" i="29" s="1"/>
  <c r="AF565" i="29" s="1"/>
  <c r="AG565" i="29" s="1"/>
  <c r="AH565" i="29" s="1"/>
  <c r="U513" i="29"/>
  <c r="U485" i="29"/>
  <c r="X485" i="29"/>
  <c r="X513" i="29"/>
  <c r="S485" i="29"/>
  <c r="S513" i="29"/>
  <c r="L513" i="29"/>
  <c r="L485" i="29"/>
  <c r="AF485" i="29"/>
  <c r="AF513" i="29"/>
  <c r="W485" i="29"/>
  <c r="W513" i="29"/>
  <c r="H513" i="29"/>
  <c r="H485" i="29"/>
  <c r="Z6" i="52"/>
  <c r="T15" i="52" s="1"/>
  <c r="O485" i="29"/>
  <c r="O513" i="29"/>
  <c r="Y513" i="29"/>
  <c r="Y485" i="29"/>
  <c r="Q485" i="29"/>
  <c r="Q513" i="29"/>
  <c r="G485" i="29"/>
  <c r="G513" i="29"/>
  <c r="Z485" i="29"/>
  <c r="Z513" i="29"/>
  <c r="M156" i="14"/>
  <c r="M157" i="14" s="1"/>
  <c r="J563" i="29"/>
  <c r="K563" i="29" s="1"/>
  <c r="Q197" i="14"/>
  <c r="Q198" i="14"/>
  <c r="N76" i="14"/>
  <c r="N122" i="14" s="1"/>
  <c r="M79" i="14" s="1"/>
  <c r="M78" i="14" s="1"/>
  <c r="N229" i="14"/>
  <c r="M258" i="14" s="1"/>
  <c r="J124" i="14"/>
  <c r="J119" i="14" s="1"/>
  <c r="J231" i="14"/>
  <c r="O75" i="14"/>
  <c r="O39" i="29"/>
  <c r="M129" i="14"/>
  <c r="P193" i="14"/>
  <c r="P40" i="29" s="1"/>
  <c r="P194" i="14"/>
  <c r="M386" i="29"/>
  <c r="M474" i="29" s="1"/>
  <c r="M388" i="29"/>
  <c r="M476" i="29" s="1"/>
  <c r="M382" i="29"/>
  <c r="M470" i="29" s="1"/>
  <c r="M381" i="29"/>
  <c r="M469" i="29" s="1"/>
  <c r="M384" i="29"/>
  <c r="M472" i="29" s="1"/>
  <c r="M380" i="29"/>
  <c r="M468" i="29" s="1"/>
  <c r="M385" i="29"/>
  <c r="M473" i="29" s="1"/>
  <c r="M379" i="29"/>
  <c r="M467" i="29" s="1"/>
  <c r="M387" i="29"/>
  <c r="M475" i="29" s="1"/>
  <c r="M383" i="29"/>
  <c r="M471" i="29" s="1"/>
  <c r="K231" i="14"/>
  <c r="J260" i="14" s="1"/>
  <c r="K124" i="14"/>
  <c r="K119" i="14" s="1"/>
  <c r="N505" i="29"/>
  <c r="N378" i="29"/>
  <c r="N466" i="29" s="1"/>
  <c r="AI466" i="29" s="1"/>
  <c r="AI39" i="29"/>
  <c r="P189" i="14"/>
  <c r="P190" i="14"/>
  <c r="G428" i="29" l="1"/>
  <c r="G430" i="29" s="1"/>
  <c r="R164" i="14"/>
  <c r="F484" i="29"/>
  <c r="H181" i="29"/>
  <c r="H182" i="29" s="1"/>
  <c r="J168" i="29"/>
  <c r="J154" i="29"/>
  <c r="J140" i="29"/>
  <c r="I181" i="29"/>
  <c r="I182" i="29" s="1"/>
  <c r="H417" i="29"/>
  <c r="I417" i="29"/>
  <c r="K138" i="29"/>
  <c r="H416" i="29"/>
  <c r="I416" i="29"/>
  <c r="S164" i="14"/>
  <c r="S130" i="14" s="1"/>
  <c r="S74" i="14" s="1"/>
  <c r="D131" i="14"/>
  <c r="E82" i="14" s="1"/>
  <c r="E391" i="29" s="1"/>
  <c r="F430" i="29"/>
  <c r="AJ396" i="29"/>
  <c r="AJ512" i="29" s="1"/>
  <c r="AI396" i="29"/>
  <c r="AI512" i="29" s="1"/>
  <c r="AK396" i="29"/>
  <c r="AK512" i="29" s="1"/>
  <c r="L31" i="29"/>
  <c r="L414" i="29" s="1"/>
  <c r="L516" i="29" s="1"/>
  <c r="L390" i="29"/>
  <c r="L478" i="29"/>
  <c r="H526" i="29"/>
  <c r="L164" i="14"/>
  <c r="L130" i="14" s="1"/>
  <c r="L74" i="14" s="1"/>
  <c r="D118" i="14"/>
  <c r="D126" i="14" s="1"/>
  <c r="D128" i="14" s="1"/>
  <c r="E127" i="14" s="1"/>
  <c r="M389" i="29"/>
  <c r="K164" i="14"/>
  <c r="K130" i="14" s="1"/>
  <c r="K74" i="14" s="1"/>
  <c r="Q164" i="14"/>
  <c r="Q130" i="14" s="1"/>
  <c r="Q74" i="14" s="1"/>
  <c r="N164" i="14"/>
  <c r="N130" i="14" s="1"/>
  <c r="N74" i="14" s="1"/>
  <c r="M164" i="14"/>
  <c r="M130" i="14" s="1"/>
  <c r="M74" i="14" s="1"/>
  <c r="F164" i="14"/>
  <c r="F130" i="14" s="1"/>
  <c r="F74" i="14" s="1"/>
  <c r="H418" i="29"/>
  <c r="H422" i="29"/>
  <c r="D49" i="29"/>
  <c r="H425" i="29"/>
  <c r="H423" i="29"/>
  <c r="H427" i="29"/>
  <c r="H421" i="29"/>
  <c r="H424" i="29"/>
  <c r="H419" i="29"/>
  <c r="H420" i="29"/>
  <c r="AI215" i="14"/>
  <c r="D76" i="52" s="1"/>
  <c r="E33" i="29"/>
  <c r="E183" i="29"/>
  <c r="F32" i="29"/>
  <c r="H164" i="14"/>
  <c r="H130" i="14" s="1"/>
  <c r="H74" i="14" s="1"/>
  <c r="E164" i="14"/>
  <c r="E130" i="14" s="1"/>
  <c r="D137" i="14"/>
  <c r="D139" i="14" s="1"/>
  <c r="E140" i="14" s="1"/>
  <c r="O164" i="14"/>
  <c r="O130" i="14" s="1"/>
  <c r="O74" i="14" s="1"/>
  <c r="P164" i="14"/>
  <c r="P130" i="14" s="1"/>
  <c r="P74" i="14" s="1"/>
  <c r="J164" i="14"/>
  <c r="J130" i="14" s="1"/>
  <c r="J74" i="14" s="1"/>
  <c r="I164" i="14"/>
  <c r="I130" i="14" s="1"/>
  <c r="I74" i="14" s="1"/>
  <c r="Q8" i="14"/>
  <c r="Q59" i="14" s="1"/>
  <c r="Q217" i="14" s="1"/>
  <c r="P247" i="14" s="1"/>
  <c r="T8" i="14"/>
  <c r="T59" i="14" s="1"/>
  <c r="T217" i="14" s="1"/>
  <c r="S247" i="14" s="1"/>
  <c r="M8" i="14"/>
  <c r="M59" i="14" s="1"/>
  <c r="M217" i="14" s="1"/>
  <c r="L247" i="14" s="1"/>
  <c r="G8" i="14"/>
  <c r="G59" i="14" s="1"/>
  <c r="G217" i="14" s="1"/>
  <c r="F247" i="14" s="1"/>
  <c r="J8" i="14"/>
  <c r="J59" i="14" s="1"/>
  <c r="J217" i="14" s="1"/>
  <c r="I247" i="14" s="1"/>
  <c r="AC8" i="14"/>
  <c r="AC59" i="14" s="1"/>
  <c r="AC217" i="14" s="1"/>
  <c r="AB247" i="14" s="1"/>
  <c r="Z8" i="14"/>
  <c r="Z59" i="14" s="1"/>
  <c r="Z217" i="14" s="1"/>
  <c r="Y247" i="14" s="1"/>
  <c r="W8" i="14"/>
  <c r="W59" i="14" s="1"/>
  <c r="W217" i="14" s="1"/>
  <c r="V247" i="14" s="1"/>
  <c r="R8" i="14"/>
  <c r="R59" i="14" s="1"/>
  <c r="R217" i="14" s="1"/>
  <c r="Q247" i="14" s="1"/>
  <c r="F8" i="14"/>
  <c r="F59" i="14" s="1"/>
  <c r="F217" i="14" s="1"/>
  <c r="E247" i="14" s="1"/>
  <c r="L8" i="14"/>
  <c r="L59" i="14" s="1"/>
  <c r="L217" i="14" s="1"/>
  <c r="K247" i="14" s="1"/>
  <c r="AD8" i="14"/>
  <c r="AD59" i="14" s="1"/>
  <c r="AD217" i="14" s="1"/>
  <c r="AC247" i="14" s="1"/>
  <c r="P8" i="14"/>
  <c r="P59" i="14" s="1"/>
  <c r="P217" i="14" s="1"/>
  <c r="O247" i="14" s="1"/>
  <c r="H8" i="14"/>
  <c r="H59" i="14" s="1"/>
  <c r="H217" i="14" s="1"/>
  <c r="G247" i="14" s="1"/>
  <c r="E8" i="14"/>
  <c r="E59" i="14" s="1"/>
  <c r="E217" i="14" s="1"/>
  <c r="D247" i="14" s="1"/>
  <c r="O8" i="14"/>
  <c r="O59" i="14" s="1"/>
  <c r="O217" i="14" s="1"/>
  <c r="N247" i="14" s="1"/>
  <c r="U8" i="14"/>
  <c r="U59" i="14" s="1"/>
  <c r="U217" i="14" s="1"/>
  <c r="T247" i="14" s="1"/>
  <c r="AB8" i="14"/>
  <c r="AB59" i="14" s="1"/>
  <c r="AB217" i="14" s="1"/>
  <c r="AA247" i="14" s="1"/>
  <c r="N8" i="14"/>
  <c r="N59" i="14" s="1"/>
  <c r="N217" i="14" s="1"/>
  <c r="M247" i="14" s="1"/>
  <c r="AA8" i="14"/>
  <c r="AA59" i="14" s="1"/>
  <c r="AA217" i="14" s="1"/>
  <c r="Z247" i="14" s="1"/>
  <c r="X8" i="14"/>
  <c r="X59" i="14" s="1"/>
  <c r="X217" i="14" s="1"/>
  <c r="W247" i="14" s="1"/>
  <c r="V8" i="14"/>
  <c r="V59" i="14" s="1"/>
  <c r="V217" i="14" s="1"/>
  <c r="U247" i="14" s="1"/>
  <c r="Y8" i="14"/>
  <c r="Y59" i="14" s="1"/>
  <c r="Y217" i="14" s="1"/>
  <c r="X247" i="14" s="1"/>
  <c r="I8" i="14"/>
  <c r="I59" i="14" s="1"/>
  <c r="I217" i="14" s="1"/>
  <c r="H247" i="14" s="1"/>
  <c r="AH8" i="14"/>
  <c r="AH59" i="14" s="1"/>
  <c r="AH217" i="14" s="1"/>
  <c r="AG247" i="14" s="1"/>
  <c r="S8" i="14"/>
  <c r="S59" i="14" s="1"/>
  <c r="S217" i="14" s="1"/>
  <c r="R247" i="14" s="1"/>
  <c r="AE8" i="14"/>
  <c r="AE59" i="14" s="1"/>
  <c r="AE217" i="14" s="1"/>
  <c r="AD247" i="14" s="1"/>
  <c r="AG8" i="14"/>
  <c r="AG59" i="14" s="1"/>
  <c r="AG217" i="14" s="1"/>
  <c r="AF247" i="14" s="1"/>
  <c r="AF8" i="14"/>
  <c r="AF59" i="14" s="1"/>
  <c r="AF217" i="14" s="1"/>
  <c r="AE247" i="14" s="1"/>
  <c r="K8" i="14"/>
  <c r="K59" i="14" s="1"/>
  <c r="K217" i="14" s="1"/>
  <c r="J247" i="14" s="1"/>
  <c r="H426" i="29"/>
  <c r="G486" i="29"/>
  <c r="G484" i="29" s="1"/>
  <c r="G514" i="29"/>
  <c r="F237" i="14"/>
  <c r="I22" i="14"/>
  <c r="H205" i="14"/>
  <c r="G237" i="14" s="1"/>
  <c r="H113" i="14"/>
  <c r="H12" i="29"/>
  <c r="H42" i="14"/>
  <c r="N67" i="14"/>
  <c r="N224" i="14" s="1"/>
  <c r="M253" i="14" s="1"/>
  <c r="H67" i="14"/>
  <c r="H224" i="14" s="1"/>
  <c r="G253" i="14" s="1"/>
  <c r="O67" i="14"/>
  <c r="O224" i="14" s="1"/>
  <c r="N253" i="14" s="1"/>
  <c r="AB67" i="14"/>
  <c r="AB224" i="14" s="1"/>
  <c r="AA253" i="14" s="1"/>
  <c r="U67" i="14"/>
  <c r="U224" i="14" s="1"/>
  <c r="T253" i="14" s="1"/>
  <c r="AD67" i="14"/>
  <c r="AD224" i="14" s="1"/>
  <c r="AC253" i="14" s="1"/>
  <c r="S67" i="14"/>
  <c r="S224" i="14" s="1"/>
  <c r="R253" i="14" s="1"/>
  <c r="T67" i="14"/>
  <c r="T224" i="14" s="1"/>
  <c r="S253" i="14" s="1"/>
  <c r="S66" i="14"/>
  <c r="S223" i="14" s="1"/>
  <c r="R252" i="14" s="1"/>
  <c r="X67" i="14"/>
  <c r="X224" i="14" s="1"/>
  <c r="W253" i="14" s="1"/>
  <c r="G67" i="14"/>
  <c r="G224" i="14" s="1"/>
  <c r="F253" i="14" s="1"/>
  <c r="AA67" i="14"/>
  <c r="AA224" i="14" s="1"/>
  <c r="Z253" i="14" s="1"/>
  <c r="L67" i="14"/>
  <c r="L224" i="14" s="1"/>
  <c r="K253" i="14" s="1"/>
  <c r="AF67" i="14"/>
  <c r="AF224" i="14" s="1"/>
  <c r="AE253" i="14" s="1"/>
  <c r="AB218" i="14"/>
  <c r="AA248" i="14" s="1"/>
  <c r="X218" i="14"/>
  <c r="W248" i="14" s="1"/>
  <c r="AH248" i="14" s="1"/>
  <c r="Y67" i="14"/>
  <c r="Y224" i="14" s="1"/>
  <c r="X253" i="14" s="1"/>
  <c r="H66" i="14"/>
  <c r="H223" i="14" s="1"/>
  <c r="G252" i="14" s="1"/>
  <c r="E66" i="14"/>
  <c r="E223" i="14" s="1"/>
  <c r="D252" i="14" s="1"/>
  <c r="AH67" i="14"/>
  <c r="AH224" i="14" s="1"/>
  <c r="AG253" i="14" s="1"/>
  <c r="M66" i="14"/>
  <c r="M223" i="14" s="1"/>
  <c r="L252" i="14" s="1"/>
  <c r="AH66" i="14"/>
  <c r="AH223" i="14" s="1"/>
  <c r="AG252" i="14" s="1"/>
  <c r="D29" i="31"/>
  <c r="AE66" i="14"/>
  <c r="AE223" i="14" s="1"/>
  <c r="AD252" i="14" s="1"/>
  <c r="I67" i="14"/>
  <c r="I224" i="14" s="1"/>
  <c r="H253" i="14" s="1"/>
  <c r="W67" i="14"/>
  <c r="W224" i="14" s="1"/>
  <c r="V253" i="14" s="1"/>
  <c r="P67" i="14"/>
  <c r="P224" i="14" s="1"/>
  <c r="O253" i="14" s="1"/>
  <c r="W66" i="14"/>
  <c r="W223" i="14" s="1"/>
  <c r="V252" i="14" s="1"/>
  <c r="Q67" i="14"/>
  <c r="Q224" i="14" s="1"/>
  <c r="P253" i="14" s="1"/>
  <c r="AC67" i="14"/>
  <c r="AC224" i="14" s="1"/>
  <c r="AB253" i="14" s="1"/>
  <c r="M67" i="14"/>
  <c r="M224" i="14" s="1"/>
  <c r="L253" i="14" s="1"/>
  <c r="Z67" i="14"/>
  <c r="Z224" i="14" s="1"/>
  <c r="Y253" i="14" s="1"/>
  <c r="K67" i="14"/>
  <c r="K224" i="14" s="1"/>
  <c r="J253" i="14" s="1"/>
  <c r="O66" i="14"/>
  <c r="O223" i="14" s="1"/>
  <c r="N252" i="14" s="1"/>
  <c r="E67" i="14"/>
  <c r="E224" i="14" s="1"/>
  <c r="D253" i="14" s="1"/>
  <c r="T66" i="14"/>
  <c r="T223" i="14" s="1"/>
  <c r="S252" i="14" s="1"/>
  <c r="R67" i="14"/>
  <c r="R224" i="14" s="1"/>
  <c r="Q253" i="14" s="1"/>
  <c r="AG66" i="14"/>
  <c r="AG223" i="14" s="1"/>
  <c r="AF252" i="14" s="1"/>
  <c r="X66" i="14"/>
  <c r="X223" i="14" s="1"/>
  <c r="W252" i="14" s="1"/>
  <c r="J67" i="14"/>
  <c r="J224" i="14" s="1"/>
  <c r="I253" i="14" s="1"/>
  <c r="AG67" i="14"/>
  <c r="AG224" i="14" s="1"/>
  <c r="AF253" i="14" s="1"/>
  <c r="AE67" i="14"/>
  <c r="AE224" i="14" s="1"/>
  <c r="AD253" i="14" s="1"/>
  <c r="V67" i="14"/>
  <c r="V224" i="14" s="1"/>
  <c r="U253" i="14" s="1"/>
  <c r="AB66" i="14"/>
  <c r="AB223" i="14" s="1"/>
  <c r="AA252" i="14" s="1"/>
  <c r="Q66" i="14"/>
  <c r="Q223" i="14" s="1"/>
  <c r="P252" i="14" s="1"/>
  <c r="U66" i="14"/>
  <c r="U223" i="14" s="1"/>
  <c r="T252" i="14" s="1"/>
  <c r="AD66" i="14"/>
  <c r="AD223" i="14" s="1"/>
  <c r="AC252" i="14" s="1"/>
  <c r="N66" i="14"/>
  <c r="N223" i="14" s="1"/>
  <c r="M252" i="14" s="1"/>
  <c r="AC66" i="14"/>
  <c r="AC223" i="14" s="1"/>
  <c r="AB252" i="14" s="1"/>
  <c r="R66" i="14"/>
  <c r="R223" i="14" s="1"/>
  <c r="Q252" i="14" s="1"/>
  <c r="F66" i="14"/>
  <c r="F223" i="14" s="1"/>
  <c r="E252" i="14" s="1"/>
  <c r="Y66" i="14"/>
  <c r="Y223" i="14" s="1"/>
  <c r="X252" i="14" s="1"/>
  <c r="Z66" i="14"/>
  <c r="Z223" i="14" s="1"/>
  <c r="Y252" i="14" s="1"/>
  <c r="V66" i="14"/>
  <c r="V223" i="14" s="1"/>
  <c r="U252" i="14" s="1"/>
  <c r="G66" i="14"/>
  <c r="G223" i="14" s="1"/>
  <c r="F252" i="14" s="1"/>
  <c r="K66" i="14"/>
  <c r="K223" i="14" s="1"/>
  <c r="J252" i="14" s="1"/>
  <c r="D33" i="31"/>
  <c r="I66" i="14"/>
  <c r="I223" i="14" s="1"/>
  <c r="H252" i="14" s="1"/>
  <c r="AF66" i="14"/>
  <c r="AF223" i="14" s="1"/>
  <c r="AE252" i="14" s="1"/>
  <c r="J66" i="14"/>
  <c r="J223" i="14" s="1"/>
  <c r="I252" i="14" s="1"/>
  <c r="L66" i="14"/>
  <c r="L223" i="14" s="1"/>
  <c r="K252" i="14" s="1"/>
  <c r="AA66" i="14"/>
  <c r="AA223" i="14" s="1"/>
  <c r="Z252" i="14" s="1"/>
  <c r="AI60" i="14"/>
  <c r="G130" i="14"/>
  <c r="G74" i="14" s="1"/>
  <c r="V225" i="14"/>
  <c r="U254" i="14" s="1"/>
  <c r="AD225" i="14"/>
  <c r="AC254" i="14" s="1"/>
  <c r="O225" i="14"/>
  <c r="N254" i="14" s="1"/>
  <c r="S225" i="14"/>
  <c r="R254" i="14" s="1"/>
  <c r="E225" i="14"/>
  <c r="AI68" i="14"/>
  <c r="E332" i="29"/>
  <c r="F37" i="29"/>
  <c r="G225" i="14"/>
  <c r="F254" i="14" s="1"/>
  <c r="F225" i="14"/>
  <c r="E254" i="14" s="1"/>
  <c r="Y225" i="14"/>
  <c r="X254" i="14" s="1"/>
  <c r="R225" i="14"/>
  <c r="Q254" i="14" s="1"/>
  <c r="M225" i="14"/>
  <c r="L254" i="14" s="1"/>
  <c r="S149" i="14"/>
  <c r="R150" i="14"/>
  <c r="T130" i="14"/>
  <c r="T74" i="14" s="1"/>
  <c r="U130" i="14"/>
  <c r="U74" i="14" s="1"/>
  <c r="V130" i="14"/>
  <c r="V74" i="14" s="1"/>
  <c r="AI565" i="29"/>
  <c r="AK565" i="29"/>
  <c r="F168" i="14"/>
  <c r="G168" i="14" s="1"/>
  <c r="H168" i="14" s="1"/>
  <c r="I168" i="14" s="1"/>
  <c r="J168" i="14" s="1"/>
  <c r="K168" i="14" s="1"/>
  <c r="L168" i="14" s="1"/>
  <c r="M168" i="14" s="1"/>
  <c r="N168" i="14" s="1"/>
  <c r="O168" i="14" s="1"/>
  <c r="P168" i="14" s="1"/>
  <c r="Q168" i="14" s="1"/>
  <c r="R168" i="14" s="1"/>
  <c r="S168" i="14" s="1"/>
  <c r="T168" i="14" s="1"/>
  <c r="U168" i="14" s="1"/>
  <c r="V168" i="14" s="1"/>
  <c r="W168" i="14" s="1"/>
  <c r="X168" i="14" s="1"/>
  <c r="Y168" i="14" s="1"/>
  <c r="Z168" i="14" s="1"/>
  <c r="AA168" i="14" s="1"/>
  <c r="AB168" i="14" s="1"/>
  <c r="AC168" i="14" s="1"/>
  <c r="AD168" i="14" s="1"/>
  <c r="AE168" i="14" s="1"/>
  <c r="AF168" i="14" s="1"/>
  <c r="AG168" i="14" s="1"/>
  <c r="AH168" i="14" s="1"/>
  <c r="W130" i="14"/>
  <c r="W74" i="14" s="1"/>
  <c r="AJ565" i="29"/>
  <c r="X130" i="14"/>
  <c r="X74" i="14" s="1"/>
  <c r="AH499" i="29"/>
  <c r="AH42" i="29"/>
  <c r="P499" i="29"/>
  <c r="P42" i="29"/>
  <c r="AH236" i="14"/>
  <c r="AI236" i="14"/>
  <c r="F42" i="29"/>
  <c r="F499" i="29"/>
  <c r="Z499" i="29"/>
  <c r="Z42" i="29"/>
  <c r="AC499" i="29"/>
  <c r="AC42" i="29"/>
  <c r="N499" i="29"/>
  <c r="N42" i="29"/>
  <c r="Y42" i="29"/>
  <c r="Y499" i="29"/>
  <c r="S499" i="29"/>
  <c r="S42" i="29"/>
  <c r="M499" i="29"/>
  <c r="M42" i="29"/>
  <c r="G499" i="29"/>
  <c r="G42" i="29"/>
  <c r="AF42" i="29"/>
  <c r="AF499" i="29"/>
  <c r="X499" i="29"/>
  <c r="X42" i="29"/>
  <c r="D122" i="29"/>
  <c r="D94" i="29"/>
  <c r="AK92" i="29"/>
  <c r="D108" i="29"/>
  <c r="AJ92" i="29"/>
  <c r="AI92" i="29"/>
  <c r="AI246" i="14"/>
  <c r="AH246" i="14"/>
  <c r="AE499" i="29"/>
  <c r="AE42" i="29"/>
  <c r="V42" i="29"/>
  <c r="V499" i="29"/>
  <c r="H499" i="29"/>
  <c r="H42" i="29"/>
  <c r="R130" i="14"/>
  <c r="R74" i="14" s="1"/>
  <c r="J499" i="29"/>
  <c r="J42" i="29"/>
  <c r="AH245" i="14"/>
  <c r="C261" i="14"/>
  <c r="C262" i="14" s="1"/>
  <c r="AI245" i="14"/>
  <c r="AK47" i="29"/>
  <c r="D77" i="29"/>
  <c r="D63" i="29"/>
  <c r="AI47" i="29"/>
  <c r="AJ47" i="29"/>
  <c r="AJ513" i="29"/>
  <c r="AI513" i="29"/>
  <c r="AK513" i="29"/>
  <c r="K499" i="29"/>
  <c r="K42" i="29"/>
  <c r="O499" i="29"/>
  <c r="O42" i="29"/>
  <c r="L499" i="29"/>
  <c r="L42" i="29"/>
  <c r="R499" i="29"/>
  <c r="R42" i="29"/>
  <c r="AK27" i="29"/>
  <c r="AI27" i="29"/>
  <c r="AJ27" i="29"/>
  <c r="E42" i="29"/>
  <c r="AK21" i="29"/>
  <c r="AJ21" i="29"/>
  <c r="AI21" i="29"/>
  <c r="E499" i="29"/>
  <c r="T499" i="29"/>
  <c r="T42" i="29"/>
  <c r="AA499" i="29"/>
  <c r="AA42" i="29"/>
  <c r="AD499" i="29"/>
  <c r="AD42" i="29"/>
  <c r="Q42" i="29"/>
  <c r="Q499" i="29"/>
  <c r="U499" i="29"/>
  <c r="U42" i="29"/>
  <c r="AB499" i="29"/>
  <c r="AB42" i="29"/>
  <c r="W42" i="29"/>
  <c r="W499" i="29"/>
  <c r="AG499" i="29"/>
  <c r="AG42" i="29"/>
  <c r="D501" i="29"/>
  <c r="D507" i="29" s="1"/>
  <c r="D528" i="29" s="1"/>
  <c r="AJ489" i="29"/>
  <c r="AK489" i="29"/>
  <c r="AI489" i="29"/>
  <c r="AK485" i="29"/>
  <c r="AJ485" i="29"/>
  <c r="AI485" i="29"/>
  <c r="I499" i="29"/>
  <c r="I42" i="29"/>
  <c r="M539" i="29"/>
  <c r="M549" i="29" s="1"/>
  <c r="N156" i="14"/>
  <c r="N157" i="14" s="1"/>
  <c r="P75" i="14"/>
  <c r="P39" i="29"/>
  <c r="O76" i="14"/>
  <c r="O122" i="14" s="1"/>
  <c r="N79" i="14" s="1"/>
  <c r="N78" i="14" s="1"/>
  <c r="O229" i="14"/>
  <c r="N258" i="14" s="1"/>
  <c r="I260" i="14"/>
  <c r="R198" i="14"/>
  <c r="R197" i="14"/>
  <c r="L539" i="29"/>
  <c r="N506" i="29"/>
  <c r="AI506" i="29" s="1"/>
  <c r="AI505" i="29"/>
  <c r="N129" i="14"/>
  <c r="L231" i="14"/>
  <c r="K260" i="14" s="1"/>
  <c r="L124" i="14"/>
  <c r="L119" i="14" s="1"/>
  <c r="N388" i="29"/>
  <c r="N476" i="29" s="1"/>
  <c r="AI476" i="29" s="1"/>
  <c r="N382" i="29"/>
  <c r="N470" i="29" s="1"/>
  <c r="AI470" i="29" s="1"/>
  <c r="N381" i="29"/>
  <c r="N469" i="29" s="1"/>
  <c r="AI469" i="29" s="1"/>
  <c r="N384" i="29"/>
  <c r="N472" i="29" s="1"/>
  <c r="AI472" i="29" s="1"/>
  <c r="N386" i="29"/>
  <c r="N474" i="29" s="1"/>
  <c r="AI474" i="29" s="1"/>
  <c r="N387" i="29"/>
  <c r="N475" i="29" s="1"/>
  <c r="AI475" i="29" s="1"/>
  <c r="N385" i="29"/>
  <c r="N473" i="29" s="1"/>
  <c r="AI473" i="29" s="1"/>
  <c r="N379" i="29"/>
  <c r="N467" i="29" s="1"/>
  <c r="AI467" i="29" s="1"/>
  <c r="N383" i="29"/>
  <c r="N471" i="29" s="1"/>
  <c r="AI471" i="29" s="1"/>
  <c r="N380" i="29"/>
  <c r="N468" i="29" s="1"/>
  <c r="AI468" i="29" s="1"/>
  <c r="AI378" i="29"/>
  <c r="Q189" i="14"/>
  <c r="Q190" i="14"/>
  <c r="Q193" i="14"/>
  <c r="Q40" i="29" s="1"/>
  <c r="Q194" i="14"/>
  <c r="O505" i="29"/>
  <c r="O506" i="29" s="1"/>
  <c r="O378" i="29"/>
  <c r="O466" i="29" s="1"/>
  <c r="L138" i="29"/>
  <c r="I427" i="29"/>
  <c r="I421" i="29"/>
  <c r="I526" i="29"/>
  <c r="I420" i="29"/>
  <c r="I425" i="29"/>
  <c r="I426" i="29"/>
  <c r="I424" i="29"/>
  <c r="I423" i="29"/>
  <c r="I419" i="29"/>
  <c r="I418" i="29"/>
  <c r="I422" i="29"/>
  <c r="J415" i="29" l="1"/>
  <c r="D107" i="14"/>
  <c r="E106" i="14" s="1"/>
  <c r="J152" i="29"/>
  <c r="J148" i="29"/>
  <c r="J146" i="29"/>
  <c r="J149" i="29"/>
  <c r="J142" i="29"/>
  <c r="J145" i="29"/>
  <c r="J147" i="29"/>
  <c r="J143" i="29"/>
  <c r="J144" i="29"/>
  <c r="J141" i="29"/>
  <c r="J150" i="29"/>
  <c r="J151" i="29"/>
  <c r="J164" i="29"/>
  <c r="J161" i="29"/>
  <c r="J157" i="29"/>
  <c r="J166" i="29"/>
  <c r="J162" i="29"/>
  <c r="J156" i="29"/>
  <c r="J159" i="29"/>
  <c r="J158" i="29"/>
  <c r="J163" i="29"/>
  <c r="J155" i="29"/>
  <c r="J160" i="29"/>
  <c r="J165" i="29"/>
  <c r="J179" i="29"/>
  <c r="J170" i="29"/>
  <c r="J174" i="29"/>
  <c r="J178" i="29"/>
  <c r="J169" i="29"/>
  <c r="J173" i="29"/>
  <c r="J177" i="29"/>
  <c r="J180" i="29"/>
  <c r="J176" i="29"/>
  <c r="J172" i="29"/>
  <c r="J171" i="29"/>
  <c r="J175" i="29"/>
  <c r="K154" i="29"/>
  <c r="K140" i="29"/>
  <c r="K168" i="29"/>
  <c r="L168" i="29"/>
  <c r="L140" i="29"/>
  <c r="L154" i="29"/>
  <c r="E41" i="29"/>
  <c r="E22" i="29"/>
  <c r="E500" i="29" s="1"/>
  <c r="D109" i="29"/>
  <c r="D110" i="29"/>
  <c r="D96" i="29"/>
  <c r="D95" i="29"/>
  <c r="D123" i="29"/>
  <c r="D124" i="29"/>
  <c r="D65" i="29"/>
  <c r="D64" i="29"/>
  <c r="D79" i="29"/>
  <c r="D78" i="29"/>
  <c r="D51" i="29"/>
  <c r="D50" i="29"/>
  <c r="G32" i="29"/>
  <c r="M31" i="29"/>
  <c r="M414" i="29" s="1"/>
  <c r="M516" i="29" s="1"/>
  <c r="D58" i="29"/>
  <c r="D397" i="29"/>
  <c r="D52" i="29"/>
  <c r="M390" i="29"/>
  <c r="M478" i="29"/>
  <c r="L477" i="29"/>
  <c r="I429" i="29"/>
  <c r="I428" i="29"/>
  <c r="H429" i="29"/>
  <c r="H428" i="29"/>
  <c r="E165" i="14"/>
  <c r="F165" i="14" s="1"/>
  <c r="N389" i="29"/>
  <c r="E185" i="29"/>
  <c r="F183" i="29"/>
  <c r="E213" i="29"/>
  <c r="D141" i="14"/>
  <c r="D142" i="14" s="1"/>
  <c r="E199" i="29"/>
  <c r="F33" i="29"/>
  <c r="E228" i="29"/>
  <c r="M43" i="14"/>
  <c r="T43" i="14"/>
  <c r="G43" i="14"/>
  <c r="I43" i="14"/>
  <c r="Q43" i="14"/>
  <c r="AH43" i="14"/>
  <c r="J43" i="14"/>
  <c r="AG43" i="14"/>
  <c r="AB43" i="14"/>
  <c r="L43" i="14"/>
  <c r="P43" i="14"/>
  <c r="Z43" i="14"/>
  <c r="AC43" i="14"/>
  <c r="W43" i="14"/>
  <c r="N43" i="14"/>
  <c r="AD43" i="14"/>
  <c r="K43" i="14"/>
  <c r="O43" i="14"/>
  <c r="F43" i="14"/>
  <c r="E43" i="14"/>
  <c r="AI247" i="14"/>
  <c r="AF43" i="14"/>
  <c r="U43" i="14"/>
  <c r="R43" i="14"/>
  <c r="Y43" i="14"/>
  <c r="V43" i="14"/>
  <c r="H43" i="14"/>
  <c r="AI59" i="14"/>
  <c r="S43" i="14"/>
  <c r="AH247" i="14"/>
  <c r="AI217" i="14"/>
  <c r="D78" i="52" s="1"/>
  <c r="AA43" i="14"/>
  <c r="AE43" i="14"/>
  <c r="X43" i="14"/>
  <c r="H514" i="29"/>
  <c r="H486" i="29"/>
  <c r="H484" i="29" s="1"/>
  <c r="J22" i="14"/>
  <c r="I205" i="14"/>
  <c r="H237" i="14" s="1"/>
  <c r="I12" i="29"/>
  <c r="I113" i="14"/>
  <c r="I42" i="14"/>
  <c r="S65" i="14"/>
  <c r="AI218" i="14"/>
  <c r="D79" i="52" s="1"/>
  <c r="S116" i="14"/>
  <c r="F116" i="14"/>
  <c r="R65" i="14"/>
  <c r="AI248" i="14"/>
  <c r="U116" i="14"/>
  <c r="E116" i="14"/>
  <c r="H65" i="14"/>
  <c r="H116" i="14"/>
  <c r="E65" i="14"/>
  <c r="J116" i="14"/>
  <c r="Z65" i="14"/>
  <c r="AI252" i="14"/>
  <c r="K116" i="14"/>
  <c r="AE65" i="14"/>
  <c r="W116" i="14"/>
  <c r="G65" i="14"/>
  <c r="W65" i="14"/>
  <c r="F65" i="14"/>
  <c r="T65" i="14"/>
  <c r="L116" i="14"/>
  <c r="AE116" i="14"/>
  <c r="AH65" i="14"/>
  <c r="AH253" i="14"/>
  <c r="I65" i="14"/>
  <c r="AG65" i="14"/>
  <c r="I116" i="14"/>
  <c r="AH116" i="14"/>
  <c r="P65" i="14"/>
  <c r="M65" i="14"/>
  <c r="AA116" i="14"/>
  <c r="P116" i="14"/>
  <c r="E35" i="29"/>
  <c r="E273" i="29" s="1"/>
  <c r="E449" i="29" s="1"/>
  <c r="M116" i="14"/>
  <c r="AD65" i="14"/>
  <c r="AI67" i="14"/>
  <c r="U65" i="14"/>
  <c r="AD116" i="14"/>
  <c r="AG116" i="14"/>
  <c r="AB116" i="14"/>
  <c r="R116" i="14"/>
  <c r="O65" i="14"/>
  <c r="X65" i="14"/>
  <c r="L65" i="14"/>
  <c r="N116" i="14"/>
  <c r="Q65" i="14"/>
  <c r="N65" i="14"/>
  <c r="AF65" i="14"/>
  <c r="X116" i="14"/>
  <c r="AA65" i="14"/>
  <c r="T116" i="14"/>
  <c r="O116" i="14"/>
  <c r="AI66" i="14"/>
  <c r="E36" i="29"/>
  <c r="E490" i="29" s="1"/>
  <c r="AH252" i="14"/>
  <c r="Z116" i="14"/>
  <c r="K65" i="14"/>
  <c r="G116" i="14"/>
  <c r="Y65" i="14"/>
  <c r="AC116" i="14"/>
  <c r="Y116" i="14"/>
  <c r="AB65" i="14"/>
  <c r="Q116" i="14"/>
  <c r="V116" i="14"/>
  <c r="V65" i="14"/>
  <c r="AI223" i="14"/>
  <c r="D80" i="52" s="1"/>
  <c r="AC65" i="14"/>
  <c r="J65" i="14"/>
  <c r="AF116" i="14"/>
  <c r="AI224" i="14"/>
  <c r="D81" i="52" s="1"/>
  <c r="AI253" i="14"/>
  <c r="D254" i="14"/>
  <c r="AI225" i="14"/>
  <c r="D82" i="52" s="1"/>
  <c r="F332" i="29"/>
  <c r="G37" i="29"/>
  <c r="E348" i="29"/>
  <c r="E362" i="29"/>
  <c r="E334" i="29"/>
  <c r="T149" i="14"/>
  <c r="S150" i="14"/>
  <c r="AK42" i="29"/>
  <c r="AJ42" i="29"/>
  <c r="AI42" i="29"/>
  <c r="AK108" i="29"/>
  <c r="D112" i="29"/>
  <c r="D115" i="29"/>
  <c r="AI108" i="29"/>
  <c r="D116" i="29"/>
  <c r="D117" i="29"/>
  <c r="D118" i="29"/>
  <c r="D119" i="29"/>
  <c r="AJ108" i="29"/>
  <c r="D120" i="29"/>
  <c r="D114" i="29"/>
  <c r="D111" i="29"/>
  <c r="D113" i="29"/>
  <c r="AI49" i="29"/>
  <c r="D59" i="29"/>
  <c r="D57" i="29"/>
  <c r="D53" i="29"/>
  <c r="D61" i="29"/>
  <c r="D56" i="29"/>
  <c r="D54" i="29"/>
  <c r="D55" i="29"/>
  <c r="AK49" i="29"/>
  <c r="AJ49" i="29"/>
  <c r="D60" i="29"/>
  <c r="D69" i="29"/>
  <c r="AI63" i="29"/>
  <c r="D72" i="29"/>
  <c r="D71" i="29"/>
  <c r="D67" i="29"/>
  <c r="D68" i="29"/>
  <c r="AJ63" i="29"/>
  <c r="D74" i="29"/>
  <c r="D66" i="29"/>
  <c r="D70" i="29"/>
  <c r="AK63" i="29"/>
  <c r="D75" i="29"/>
  <c r="D73" i="29"/>
  <c r="AK94" i="29"/>
  <c r="D98" i="29"/>
  <c r="D99" i="29"/>
  <c r="D100" i="29"/>
  <c r="D106" i="29"/>
  <c r="D97" i="29"/>
  <c r="D103" i="29"/>
  <c r="D102" i="29"/>
  <c r="D104" i="29"/>
  <c r="D105" i="29"/>
  <c r="AJ94" i="29"/>
  <c r="AI94" i="29"/>
  <c r="D101" i="29"/>
  <c r="D84" i="29"/>
  <c r="D88" i="29"/>
  <c r="D82" i="29"/>
  <c r="D86" i="29"/>
  <c r="D89" i="29"/>
  <c r="D83" i="29"/>
  <c r="AJ77" i="29"/>
  <c r="D87" i="29"/>
  <c r="D85" i="29"/>
  <c r="D80" i="29"/>
  <c r="AK77" i="29"/>
  <c r="D81" i="29"/>
  <c r="AI77" i="29"/>
  <c r="D127" i="29"/>
  <c r="D131" i="29"/>
  <c r="D133" i="29"/>
  <c r="D134" i="29"/>
  <c r="AJ122" i="29"/>
  <c r="AI122" i="29"/>
  <c r="D125" i="29"/>
  <c r="D132" i="29"/>
  <c r="AK122" i="29"/>
  <c r="D126" i="29"/>
  <c r="D128" i="29"/>
  <c r="D129" i="29"/>
  <c r="D130" i="29"/>
  <c r="AK499" i="29"/>
  <c r="AJ499" i="29"/>
  <c r="AI499" i="29"/>
  <c r="E74" i="14"/>
  <c r="AI130" i="14"/>
  <c r="AI381" i="29"/>
  <c r="L549" i="29"/>
  <c r="O129" i="14"/>
  <c r="AI380" i="29"/>
  <c r="AI382" i="29"/>
  <c r="AI384" i="29"/>
  <c r="AI383" i="29"/>
  <c r="AI388" i="29"/>
  <c r="S197" i="14"/>
  <c r="S198" i="14"/>
  <c r="M231" i="14"/>
  <c r="L260" i="14" s="1"/>
  <c r="M124" i="14"/>
  <c r="M119" i="14" s="1"/>
  <c r="O384" i="29"/>
  <c r="O472" i="29" s="1"/>
  <c r="O388" i="29"/>
  <c r="O476" i="29" s="1"/>
  <c r="O382" i="29"/>
  <c r="O470" i="29" s="1"/>
  <c r="O381" i="29"/>
  <c r="O469" i="29" s="1"/>
  <c r="O386" i="29"/>
  <c r="O474" i="29" s="1"/>
  <c r="O383" i="29"/>
  <c r="O471" i="29" s="1"/>
  <c r="O387" i="29"/>
  <c r="O475" i="29" s="1"/>
  <c r="O385" i="29"/>
  <c r="O473" i="29" s="1"/>
  <c r="O380" i="29"/>
  <c r="O468" i="29" s="1"/>
  <c r="O379" i="29"/>
  <c r="O467" i="29" s="1"/>
  <c r="R193" i="14"/>
  <c r="R40" i="29" s="1"/>
  <c r="R194" i="14"/>
  <c r="Q75" i="14"/>
  <c r="Q39" i="29"/>
  <c r="AI387" i="29"/>
  <c r="AI386" i="29"/>
  <c r="P505" i="29"/>
  <c r="P506" i="29" s="1"/>
  <c r="P378" i="29"/>
  <c r="P466" i="29" s="1"/>
  <c r="AI379" i="29"/>
  <c r="R190" i="14"/>
  <c r="R189" i="14"/>
  <c r="AI385" i="29"/>
  <c r="P76" i="14"/>
  <c r="P122" i="14" s="1"/>
  <c r="O79" i="14" s="1"/>
  <c r="O78" i="14" s="1"/>
  <c r="P229" i="14"/>
  <c r="O258" i="14" s="1"/>
  <c r="J426" i="29"/>
  <c r="J423" i="29"/>
  <c r="M138" i="29"/>
  <c r="J419" i="29"/>
  <c r="J526" i="29" l="1"/>
  <c r="J421" i="29"/>
  <c r="J425" i="29"/>
  <c r="J418" i="29"/>
  <c r="J417" i="29"/>
  <c r="J424" i="29"/>
  <c r="K415" i="29"/>
  <c r="J416" i="29"/>
  <c r="J422" i="29"/>
  <c r="J427" i="29"/>
  <c r="J420" i="29"/>
  <c r="D90" i="29"/>
  <c r="D91" i="29" s="1"/>
  <c r="K165" i="29"/>
  <c r="K161" i="29"/>
  <c r="K156" i="29"/>
  <c r="K166" i="29"/>
  <c r="K157" i="29"/>
  <c r="K155" i="29"/>
  <c r="K163" i="29"/>
  <c r="K158" i="29"/>
  <c r="K159" i="29"/>
  <c r="K160" i="29"/>
  <c r="K164" i="29"/>
  <c r="K162" i="29"/>
  <c r="J181" i="29"/>
  <c r="J182" i="29" s="1"/>
  <c r="J429" i="29" s="1"/>
  <c r="M168" i="29"/>
  <c r="M140" i="29"/>
  <c r="M154" i="29"/>
  <c r="K149" i="29"/>
  <c r="K145" i="29"/>
  <c r="K148" i="29"/>
  <c r="K142" i="29"/>
  <c r="K144" i="29"/>
  <c r="K151" i="29"/>
  <c r="K143" i="29"/>
  <c r="K141" i="29"/>
  <c r="K147" i="29"/>
  <c r="K152" i="29"/>
  <c r="K146" i="29"/>
  <c r="K150" i="29"/>
  <c r="L166" i="29"/>
  <c r="L155" i="29"/>
  <c r="L164" i="29"/>
  <c r="L157" i="29"/>
  <c r="L165" i="29"/>
  <c r="L161" i="29"/>
  <c r="L160" i="29"/>
  <c r="L162" i="29"/>
  <c r="L163" i="29"/>
  <c r="L159" i="29"/>
  <c r="L158" i="29"/>
  <c r="L156" i="29"/>
  <c r="L149" i="29"/>
  <c r="L145" i="29"/>
  <c r="L147" i="29"/>
  <c r="L150" i="29"/>
  <c r="L143" i="29"/>
  <c r="L146" i="29"/>
  <c r="L148" i="29"/>
  <c r="L152" i="29"/>
  <c r="L144" i="29"/>
  <c r="L141" i="29"/>
  <c r="L142" i="29"/>
  <c r="L151" i="29"/>
  <c r="L180" i="29"/>
  <c r="L174" i="29"/>
  <c r="L171" i="29"/>
  <c r="L175" i="29"/>
  <c r="L179" i="29"/>
  <c r="L170" i="29"/>
  <c r="L178" i="29"/>
  <c r="L169" i="29"/>
  <c r="L176" i="29"/>
  <c r="L177" i="29"/>
  <c r="L172" i="29"/>
  <c r="L173" i="29"/>
  <c r="K179" i="29"/>
  <c r="K169" i="29"/>
  <c r="K173" i="29"/>
  <c r="K177" i="29"/>
  <c r="K176" i="29"/>
  <c r="K171" i="29"/>
  <c r="K174" i="29"/>
  <c r="K180" i="29"/>
  <c r="K175" i="29"/>
  <c r="K178" i="29"/>
  <c r="K172" i="29"/>
  <c r="K170" i="29"/>
  <c r="D398" i="29"/>
  <c r="AK398" i="29" s="1"/>
  <c r="D399" i="29"/>
  <c r="AI79" i="29"/>
  <c r="AJ79" i="29"/>
  <c r="AK79" i="29"/>
  <c r="AK124" i="29"/>
  <c r="AI124" i="29"/>
  <c r="AJ124" i="29"/>
  <c r="E187" i="29"/>
  <c r="E186" i="29"/>
  <c r="AK78" i="29"/>
  <c r="AI78" i="29"/>
  <c r="AJ78" i="29"/>
  <c r="E336" i="29"/>
  <c r="E335" i="29"/>
  <c r="AI123" i="29"/>
  <c r="AK123" i="29"/>
  <c r="AJ123" i="29"/>
  <c r="E364" i="29"/>
  <c r="E363" i="29"/>
  <c r="AK110" i="29"/>
  <c r="AJ110" i="29"/>
  <c r="AI110" i="29"/>
  <c r="E350" i="29"/>
  <c r="E349" i="29"/>
  <c r="E201" i="29"/>
  <c r="E200" i="29"/>
  <c r="AJ64" i="29"/>
  <c r="AI64" i="29"/>
  <c r="AK64" i="29"/>
  <c r="AI95" i="29"/>
  <c r="AJ95" i="29"/>
  <c r="AK95" i="29"/>
  <c r="AK109" i="29"/>
  <c r="AJ109" i="29"/>
  <c r="AI109" i="29"/>
  <c r="AK65" i="29"/>
  <c r="AJ65" i="29"/>
  <c r="AI65" i="29"/>
  <c r="AK96" i="29"/>
  <c r="AJ96" i="29"/>
  <c r="AI96" i="29"/>
  <c r="E215" i="29"/>
  <c r="E214" i="29"/>
  <c r="AK50" i="29"/>
  <c r="AJ50" i="29"/>
  <c r="AI50" i="29"/>
  <c r="AJ51" i="29"/>
  <c r="AI51" i="29"/>
  <c r="AK51" i="29"/>
  <c r="AK397" i="29"/>
  <c r="E432" i="29"/>
  <c r="E131" i="14"/>
  <c r="F82" i="14" s="1"/>
  <c r="E71" i="14"/>
  <c r="E72" i="14" s="1"/>
  <c r="E81" i="14" s="1"/>
  <c r="E85" i="14" s="1"/>
  <c r="F86" i="14" s="1"/>
  <c r="AI397" i="29"/>
  <c r="I430" i="29"/>
  <c r="H32" i="29"/>
  <c r="H430" i="29"/>
  <c r="N31" i="29"/>
  <c r="N414" i="29" s="1"/>
  <c r="N516" i="29" s="1"/>
  <c r="L415" i="29"/>
  <c r="D135" i="29"/>
  <c r="D136" i="29" s="1"/>
  <c r="AJ397" i="29"/>
  <c r="E195" i="29"/>
  <c r="D558" i="29"/>
  <c r="L479" i="29"/>
  <c r="N390" i="29"/>
  <c r="N477" i="29" s="1"/>
  <c r="N478" i="29"/>
  <c r="AI478" i="29" s="1"/>
  <c r="M477" i="29"/>
  <c r="M479" i="29" s="1"/>
  <c r="O539" i="29"/>
  <c r="O549" i="29" s="1"/>
  <c r="O389" i="29"/>
  <c r="E189" i="29"/>
  <c r="E190" i="29"/>
  <c r="E193" i="29"/>
  <c r="E191" i="29"/>
  <c r="E194" i="29"/>
  <c r="E196" i="29"/>
  <c r="E192" i="29"/>
  <c r="E188" i="29"/>
  <c r="E197" i="29"/>
  <c r="F213" i="29"/>
  <c r="D406" i="29"/>
  <c r="AI406" i="29" s="1"/>
  <c r="D408" i="29"/>
  <c r="D400" i="29"/>
  <c r="D403" i="29"/>
  <c r="D531" i="29" s="1"/>
  <c r="D405" i="29"/>
  <c r="D402" i="29"/>
  <c r="D407" i="29"/>
  <c r="D536" i="29" s="1"/>
  <c r="D404" i="29"/>
  <c r="D409" i="29"/>
  <c r="D538" i="29" s="1"/>
  <c r="D401" i="29"/>
  <c r="E217" i="29"/>
  <c r="E204" i="29"/>
  <c r="F199" i="29"/>
  <c r="F185" i="29"/>
  <c r="E221" i="29"/>
  <c r="E224" i="29"/>
  <c r="E225" i="29"/>
  <c r="E219" i="29"/>
  <c r="E222" i="29"/>
  <c r="E218" i="29"/>
  <c r="E223" i="29"/>
  <c r="E220" i="29"/>
  <c r="E216" i="29"/>
  <c r="E209" i="29"/>
  <c r="E211" i="29"/>
  <c r="E205" i="29"/>
  <c r="E274" i="29"/>
  <c r="E450" i="29" s="1"/>
  <c r="E284" i="29"/>
  <c r="E279" i="29"/>
  <c r="E455" i="29" s="1"/>
  <c r="E207" i="29"/>
  <c r="E210" i="29"/>
  <c r="E202" i="29"/>
  <c r="E206" i="29"/>
  <c r="E244" i="29"/>
  <c r="E230" i="29"/>
  <c r="E258" i="29"/>
  <c r="E208" i="29"/>
  <c r="E203" i="29"/>
  <c r="G33" i="29"/>
  <c r="F228" i="29"/>
  <c r="Q71" i="14"/>
  <c r="G71" i="14"/>
  <c r="G72" i="14" s="1"/>
  <c r="G81" i="14" s="1"/>
  <c r="M71" i="14"/>
  <c r="J71" i="14"/>
  <c r="I71" i="14"/>
  <c r="I72" i="14" s="1"/>
  <c r="I81" i="14" s="1"/>
  <c r="AH71" i="14"/>
  <c r="T71" i="14"/>
  <c r="AB71" i="14"/>
  <c r="AG71" i="14"/>
  <c r="Z71" i="14"/>
  <c r="G183" i="29"/>
  <c r="P71" i="14"/>
  <c r="N71" i="14"/>
  <c r="AC71" i="14"/>
  <c r="U71" i="14"/>
  <c r="AD71" i="14"/>
  <c r="R71" i="14"/>
  <c r="K71" i="14"/>
  <c r="L71" i="14"/>
  <c r="Y71" i="14"/>
  <c r="O71" i="14"/>
  <c r="W71" i="14"/>
  <c r="H71" i="14"/>
  <c r="H72" i="14" s="1"/>
  <c r="H81" i="14" s="1"/>
  <c r="X71" i="14"/>
  <c r="F71" i="14"/>
  <c r="F72" i="14" s="1"/>
  <c r="F81" i="14" s="1"/>
  <c r="S71" i="14"/>
  <c r="AF71" i="14"/>
  <c r="V71" i="14"/>
  <c r="AI43" i="14"/>
  <c r="AE71" i="14"/>
  <c r="AA71" i="14"/>
  <c r="I514" i="29"/>
  <c r="I486" i="29"/>
  <c r="I484" i="29" s="1"/>
  <c r="K22" i="14"/>
  <c r="J113" i="14"/>
  <c r="J205" i="14"/>
  <c r="J12" i="29"/>
  <c r="J42" i="14"/>
  <c r="E491" i="29"/>
  <c r="F36" i="29"/>
  <c r="E287" i="29"/>
  <c r="F35" i="29"/>
  <c r="F273" i="29" s="1"/>
  <c r="F449" i="29" s="1"/>
  <c r="AI65" i="14"/>
  <c r="E344" i="29"/>
  <c r="E342" i="29"/>
  <c r="E338" i="29"/>
  <c r="E346" i="29"/>
  <c r="E341" i="29"/>
  <c r="E343" i="29"/>
  <c r="E337" i="29"/>
  <c r="E340" i="29"/>
  <c r="E339" i="29"/>
  <c r="E345" i="29"/>
  <c r="E371" i="29"/>
  <c r="E374" i="29"/>
  <c r="E367" i="29"/>
  <c r="E366" i="29"/>
  <c r="E372" i="29"/>
  <c r="E370" i="29"/>
  <c r="E365" i="29"/>
  <c r="E369" i="29"/>
  <c r="E368" i="29"/>
  <c r="E373" i="29"/>
  <c r="E358" i="29"/>
  <c r="E356" i="29"/>
  <c r="E353" i="29"/>
  <c r="E355" i="29"/>
  <c r="E359" i="29"/>
  <c r="E357" i="29"/>
  <c r="E352" i="29"/>
  <c r="E360" i="29"/>
  <c r="E351" i="29"/>
  <c r="E354" i="29"/>
  <c r="H37" i="29"/>
  <c r="G332" i="29"/>
  <c r="F362" i="29"/>
  <c r="F334" i="29"/>
  <c r="F348" i="29"/>
  <c r="AI254" i="14"/>
  <c r="AH254" i="14"/>
  <c r="T150" i="14"/>
  <c r="U149" i="14"/>
  <c r="AJ132" i="29"/>
  <c r="AI132" i="29"/>
  <c r="AK132" i="29"/>
  <c r="AJ127" i="29"/>
  <c r="AI127" i="29"/>
  <c r="AK127" i="29"/>
  <c r="AK105" i="29"/>
  <c r="AJ105" i="29"/>
  <c r="AI105" i="29"/>
  <c r="AJ99" i="29"/>
  <c r="AK99" i="29"/>
  <c r="AI99" i="29"/>
  <c r="AK55" i="29"/>
  <c r="AJ55" i="29"/>
  <c r="AI55" i="29"/>
  <c r="AJ104" i="29"/>
  <c r="AI104" i="29"/>
  <c r="AK104" i="29"/>
  <c r="AK98" i="29"/>
  <c r="AJ98" i="29"/>
  <c r="AI98" i="29"/>
  <c r="AJ70" i="29"/>
  <c r="AI70" i="29"/>
  <c r="AK70" i="29"/>
  <c r="AK72" i="29"/>
  <c r="AI72" i="29"/>
  <c r="AJ72" i="29"/>
  <c r="AJ58" i="29"/>
  <c r="AI58" i="29"/>
  <c r="AK58" i="29"/>
  <c r="AK120" i="29"/>
  <c r="AI120" i="29"/>
  <c r="AJ120" i="29"/>
  <c r="AJ129" i="29"/>
  <c r="AI129" i="29"/>
  <c r="AK129" i="29"/>
  <c r="AK89" i="29"/>
  <c r="AJ89" i="29"/>
  <c r="AI89" i="29"/>
  <c r="AJ66" i="29"/>
  <c r="AI66" i="29"/>
  <c r="AK66" i="29"/>
  <c r="AK69" i="29"/>
  <c r="AJ69" i="29"/>
  <c r="AI69" i="29"/>
  <c r="AI59" i="29"/>
  <c r="AJ59" i="29"/>
  <c r="AK59" i="29"/>
  <c r="AJ119" i="29"/>
  <c r="AI119" i="29"/>
  <c r="AK119" i="29"/>
  <c r="AI112" i="29"/>
  <c r="AK112" i="29"/>
  <c r="AJ112" i="29"/>
  <c r="AK130" i="29"/>
  <c r="AJ130" i="29"/>
  <c r="AI130" i="29"/>
  <c r="AJ125" i="29"/>
  <c r="AI125" i="29"/>
  <c r="AK125" i="29"/>
  <c r="AJ81" i="29"/>
  <c r="AK81" i="29"/>
  <c r="AI81" i="29"/>
  <c r="AK83" i="29"/>
  <c r="AJ83" i="29"/>
  <c r="AI83" i="29"/>
  <c r="AI102" i="29"/>
  <c r="AJ102" i="29"/>
  <c r="AK102" i="29"/>
  <c r="AI54" i="29"/>
  <c r="AK54" i="29"/>
  <c r="AJ54" i="29"/>
  <c r="AK115" i="29"/>
  <c r="AJ115" i="29"/>
  <c r="AI115" i="29"/>
  <c r="AI128" i="29"/>
  <c r="AJ128" i="29"/>
  <c r="AK128" i="29"/>
  <c r="AK80" i="29"/>
  <c r="AJ80" i="29"/>
  <c r="AI80" i="29"/>
  <c r="AK86" i="29"/>
  <c r="AJ86" i="29"/>
  <c r="AI86" i="29"/>
  <c r="AJ103" i="29"/>
  <c r="AI103" i="29"/>
  <c r="AK103" i="29"/>
  <c r="AI74" i="29"/>
  <c r="AJ74" i="29"/>
  <c r="AK74" i="29"/>
  <c r="AI56" i="29"/>
  <c r="AK56" i="29"/>
  <c r="AJ56" i="29"/>
  <c r="AI118" i="29"/>
  <c r="AJ118" i="29"/>
  <c r="AK118" i="29"/>
  <c r="AI57" i="29"/>
  <c r="AK57" i="29"/>
  <c r="AJ57" i="29"/>
  <c r="F391" i="29"/>
  <c r="F22" i="29"/>
  <c r="F500" i="29" s="1"/>
  <c r="F41" i="29"/>
  <c r="AI126" i="29"/>
  <c r="AK126" i="29"/>
  <c r="AJ126" i="29"/>
  <c r="AI134" i="29"/>
  <c r="AK134" i="29"/>
  <c r="AJ134" i="29"/>
  <c r="AJ85" i="29"/>
  <c r="AI85" i="29"/>
  <c r="AK85" i="29"/>
  <c r="AK82" i="29"/>
  <c r="AI82" i="29"/>
  <c r="AJ82" i="29"/>
  <c r="AI101" i="29"/>
  <c r="AK101" i="29"/>
  <c r="AJ101" i="29"/>
  <c r="AK97" i="29"/>
  <c r="AJ97" i="29"/>
  <c r="AI97" i="29"/>
  <c r="AI60" i="29"/>
  <c r="AK60" i="29"/>
  <c r="AJ60" i="29"/>
  <c r="AI61" i="29"/>
  <c r="AK61" i="29"/>
  <c r="AJ61" i="29"/>
  <c r="AJ117" i="29"/>
  <c r="AI117" i="29"/>
  <c r="AK117" i="29"/>
  <c r="G165" i="14"/>
  <c r="F131" i="14"/>
  <c r="G82" i="14" s="1"/>
  <c r="AK133" i="29"/>
  <c r="AI133" i="29"/>
  <c r="AJ133" i="29"/>
  <c r="AK88" i="29"/>
  <c r="AJ88" i="29"/>
  <c r="AI88" i="29"/>
  <c r="AI106" i="29"/>
  <c r="AJ106" i="29"/>
  <c r="AK106" i="29"/>
  <c r="AI73" i="29"/>
  <c r="AJ73" i="29"/>
  <c r="AK73" i="29"/>
  <c r="AI68" i="29"/>
  <c r="AK68" i="29"/>
  <c r="AJ68" i="29"/>
  <c r="AK52" i="29"/>
  <c r="AJ52" i="29"/>
  <c r="AI52" i="29"/>
  <c r="AK113" i="29"/>
  <c r="AJ113" i="29"/>
  <c r="AI113" i="29"/>
  <c r="AI131" i="29"/>
  <c r="AJ131" i="29"/>
  <c r="AK131" i="29"/>
  <c r="AI84" i="29"/>
  <c r="AJ84" i="29"/>
  <c r="AK84" i="29"/>
  <c r="AJ100" i="29"/>
  <c r="AI100" i="29"/>
  <c r="AK100" i="29"/>
  <c r="AK75" i="29"/>
  <c r="AJ75" i="29"/>
  <c r="AI75" i="29"/>
  <c r="AI67" i="29"/>
  <c r="AK67" i="29"/>
  <c r="AJ67" i="29"/>
  <c r="AI53" i="29"/>
  <c r="AJ53" i="29"/>
  <c r="AK53" i="29"/>
  <c r="AK111" i="29"/>
  <c r="AJ111" i="29"/>
  <c r="AI111" i="29"/>
  <c r="AJ87" i="29"/>
  <c r="AK87" i="29"/>
  <c r="AI87" i="29"/>
  <c r="AJ71" i="29"/>
  <c r="AI71" i="29"/>
  <c r="AK71" i="29"/>
  <c r="AJ114" i="29"/>
  <c r="AI114" i="29"/>
  <c r="AK114" i="29"/>
  <c r="AI116" i="29"/>
  <c r="AJ116" i="29"/>
  <c r="AK116" i="29"/>
  <c r="Q76" i="14"/>
  <c r="Q122" i="14" s="1"/>
  <c r="P79" i="14" s="1"/>
  <c r="P78" i="14" s="1"/>
  <c r="Q229" i="14"/>
  <c r="P258" i="14" s="1"/>
  <c r="S189" i="14"/>
  <c r="S190" i="14"/>
  <c r="S193" i="14"/>
  <c r="S40" i="29" s="1"/>
  <c r="S194" i="14"/>
  <c r="P386" i="29"/>
  <c r="P474" i="29" s="1"/>
  <c r="P381" i="29"/>
  <c r="P469" i="29" s="1"/>
  <c r="P382" i="29"/>
  <c r="P470" i="29" s="1"/>
  <c r="P388" i="29"/>
  <c r="P476" i="29" s="1"/>
  <c r="P384" i="29"/>
  <c r="P472" i="29" s="1"/>
  <c r="P380" i="29"/>
  <c r="P468" i="29" s="1"/>
  <c r="P385" i="29"/>
  <c r="P473" i="29" s="1"/>
  <c r="P387" i="29"/>
  <c r="P475" i="29" s="1"/>
  <c r="P383" i="29"/>
  <c r="P471" i="29" s="1"/>
  <c r="P379" i="29"/>
  <c r="P467" i="29" s="1"/>
  <c r="P156" i="14"/>
  <c r="P157" i="14" s="1"/>
  <c r="P129" i="14"/>
  <c r="N539" i="29"/>
  <c r="R75" i="14"/>
  <c r="R39" i="29"/>
  <c r="T197" i="14"/>
  <c r="T198" i="14"/>
  <c r="Q505" i="29"/>
  <c r="Q506" i="29" s="1"/>
  <c r="Q378" i="29"/>
  <c r="Q466" i="29" s="1"/>
  <c r="O156" i="14"/>
  <c r="O157" i="14" s="1"/>
  <c r="L563" i="29"/>
  <c r="K422" i="29" l="1"/>
  <c r="K420" i="29"/>
  <c r="K426" i="29"/>
  <c r="K424" i="29"/>
  <c r="K526" i="29"/>
  <c r="K427" i="29"/>
  <c r="K418" i="29"/>
  <c r="K417" i="29"/>
  <c r="K419" i="29"/>
  <c r="K423" i="29"/>
  <c r="K425" i="29"/>
  <c r="K421" i="29"/>
  <c r="D533" i="29"/>
  <c r="K416" i="29"/>
  <c r="E375" i="29"/>
  <c r="E376" i="29" s="1"/>
  <c r="J428" i="29"/>
  <c r="J430" i="29" s="1"/>
  <c r="M142" i="29"/>
  <c r="M146" i="29"/>
  <c r="M150" i="29"/>
  <c r="M143" i="29"/>
  <c r="M141" i="29"/>
  <c r="M152" i="29"/>
  <c r="M148" i="29"/>
  <c r="M149" i="29"/>
  <c r="M151" i="29"/>
  <c r="M147" i="29"/>
  <c r="M144" i="29"/>
  <c r="M145" i="29"/>
  <c r="L181" i="29"/>
  <c r="L182" i="29" s="1"/>
  <c r="K181" i="29"/>
  <c r="K182" i="29" s="1"/>
  <c r="M180" i="29"/>
  <c r="M178" i="29"/>
  <c r="M170" i="29"/>
  <c r="M174" i="29"/>
  <c r="M179" i="29"/>
  <c r="M173" i="29"/>
  <c r="M171" i="29"/>
  <c r="M177" i="29"/>
  <c r="M172" i="29"/>
  <c r="M169" i="29"/>
  <c r="M175" i="29"/>
  <c r="M176" i="29"/>
  <c r="D534" i="29"/>
  <c r="M156" i="29"/>
  <c r="M155" i="29"/>
  <c r="M161" i="29"/>
  <c r="M166" i="29"/>
  <c r="M162" i="29"/>
  <c r="M163" i="29"/>
  <c r="M164" i="29"/>
  <c r="M157" i="29"/>
  <c r="M159" i="29"/>
  <c r="M160" i="29"/>
  <c r="M158" i="29"/>
  <c r="M165" i="29"/>
  <c r="D521" i="29"/>
  <c r="AI398" i="29"/>
  <c r="AJ398" i="29"/>
  <c r="AK408" i="29"/>
  <c r="D537" i="29"/>
  <c r="E460" i="29"/>
  <c r="L417" i="29"/>
  <c r="L416" i="29"/>
  <c r="AK399" i="29"/>
  <c r="AJ399" i="29"/>
  <c r="AI399" i="29"/>
  <c r="F336" i="29"/>
  <c r="F335" i="29"/>
  <c r="F201" i="29"/>
  <c r="F200" i="29"/>
  <c r="E231" i="29"/>
  <c r="E232" i="29"/>
  <c r="E246" i="29"/>
  <c r="E245" i="29"/>
  <c r="E303" i="29"/>
  <c r="E309" i="29" s="1"/>
  <c r="F214" i="29"/>
  <c r="F215" i="29"/>
  <c r="F364" i="29"/>
  <c r="F363" i="29"/>
  <c r="E260" i="29"/>
  <c r="E259" i="29"/>
  <c r="F350" i="29"/>
  <c r="F349" i="29"/>
  <c r="F186" i="29"/>
  <c r="F187" i="29"/>
  <c r="F218" i="29"/>
  <c r="AI31" i="29"/>
  <c r="AI414" i="29" s="1"/>
  <c r="N138" i="29"/>
  <c r="F490" i="29"/>
  <c r="F432" i="29"/>
  <c r="I32" i="29"/>
  <c r="I183" i="29" s="1"/>
  <c r="H183" i="29"/>
  <c r="O31" i="29"/>
  <c r="O414" i="29" s="1"/>
  <c r="O516" i="29" s="1"/>
  <c r="M415" i="29"/>
  <c r="AK400" i="29"/>
  <c r="AI477" i="29"/>
  <c r="N479" i="29"/>
  <c r="AI479" i="29" s="1"/>
  <c r="F225" i="29"/>
  <c r="D410" i="29"/>
  <c r="AK410" i="29" s="1"/>
  <c r="O390" i="29"/>
  <c r="O478" i="29"/>
  <c r="K429" i="29"/>
  <c r="P389" i="29"/>
  <c r="E226" i="29"/>
  <c r="E227" i="29" s="1"/>
  <c r="F221" i="29"/>
  <c r="F220" i="29"/>
  <c r="AJ135" i="29"/>
  <c r="AJ136" i="29" s="1"/>
  <c r="AK135" i="29"/>
  <c r="AK136" i="29" s="1"/>
  <c r="AJ90" i="29"/>
  <c r="AJ91" i="29" s="1"/>
  <c r="F217" i="29"/>
  <c r="AK90" i="29"/>
  <c r="AK91" i="29" s="1"/>
  <c r="F224" i="29"/>
  <c r="F216" i="29"/>
  <c r="AI90" i="29"/>
  <c r="AI91" i="29" s="1"/>
  <c r="F222" i="29"/>
  <c r="F223" i="29"/>
  <c r="AI135" i="29"/>
  <c r="AI136" i="29" s="1"/>
  <c r="F219" i="29"/>
  <c r="E495" i="29"/>
  <c r="G213" i="29"/>
  <c r="AJ406" i="29"/>
  <c r="AK406" i="29"/>
  <c r="AI408" i="29"/>
  <c r="AJ400" i="29"/>
  <c r="AI400" i="29"/>
  <c r="AJ408" i="29"/>
  <c r="AJ401" i="29"/>
  <c r="AK401" i="29"/>
  <c r="AI401" i="29"/>
  <c r="AI404" i="29"/>
  <c r="AJ404" i="29"/>
  <c r="AK404" i="29"/>
  <c r="D411" i="29"/>
  <c r="D517" i="29" s="1"/>
  <c r="AI407" i="29"/>
  <c r="AK407" i="29"/>
  <c r="AJ407" i="29"/>
  <c r="AI402" i="29"/>
  <c r="AJ402" i="29"/>
  <c r="AK402" i="29"/>
  <c r="AJ405" i="29"/>
  <c r="AK405" i="29"/>
  <c r="AI405" i="29"/>
  <c r="AJ409" i="29"/>
  <c r="AI409" i="29"/>
  <c r="AK409" i="29"/>
  <c r="AI403" i="29"/>
  <c r="AJ403" i="29"/>
  <c r="AK403" i="29"/>
  <c r="F188" i="29"/>
  <c r="F202" i="29"/>
  <c r="F207" i="29"/>
  <c r="F210" i="29"/>
  <c r="F211" i="29"/>
  <c r="F206" i="29"/>
  <c r="F209" i="29"/>
  <c r="F204" i="29"/>
  <c r="F203" i="29"/>
  <c r="F194" i="29"/>
  <c r="F205" i="29"/>
  <c r="F208" i="29"/>
  <c r="F190" i="29"/>
  <c r="F197" i="29"/>
  <c r="F192" i="29"/>
  <c r="F189" i="29"/>
  <c r="F191" i="29"/>
  <c r="F195" i="29"/>
  <c r="F196" i="29"/>
  <c r="F193" i="29"/>
  <c r="J72" i="14"/>
  <c r="J81" i="14" s="1"/>
  <c r="E283" i="29"/>
  <c r="E459" i="29" s="1"/>
  <c r="E282" i="29"/>
  <c r="E458" i="29" s="1"/>
  <c r="E281" i="29"/>
  <c r="F279" i="29"/>
  <c r="F455" i="29" s="1"/>
  <c r="F274" i="29"/>
  <c r="F450" i="29" s="1"/>
  <c r="F284" i="29"/>
  <c r="F460" i="29" s="1"/>
  <c r="E278" i="29"/>
  <c r="E454" i="29" s="1"/>
  <c r="E276" i="29"/>
  <c r="E452" i="29" s="1"/>
  <c r="E277" i="29"/>
  <c r="E453" i="29" s="1"/>
  <c r="F258" i="29"/>
  <c r="F244" i="29"/>
  <c r="F230" i="29"/>
  <c r="H33" i="29"/>
  <c r="G228" i="29"/>
  <c r="E268" i="29"/>
  <c r="E270" i="29"/>
  <c r="E266" i="29"/>
  <c r="E267" i="29"/>
  <c r="E264" i="29"/>
  <c r="E262" i="29"/>
  <c r="E265" i="29"/>
  <c r="E261" i="29"/>
  <c r="E263" i="29"/>
  <c r="E269" i="29"/>
  <c r="E234" i="29"/>
  <c r="E242" i="29"/>
  <c r="E233" i="29"/>
  <c r="E239" i="29"/>
  <c r="E241" i="29"/>
  <c r="E240" i="29"/>
  <c r="E237" i="29"/>
  <c r="E238" i="29"/>
  <c r="E236" i="29"/>
  <c r="E235" i="29"/>
  <c r="E251" i="29"/>
  <c r="E250" i="29"/>
  <c r="E249" i="29"/>
  <c r="E255" i="29"/>
  <c r="E253" i="29"/>
  <c r="E247" i="29"/>
  <c r="E256" i="29"/>
  <c r="E254" i="29"/>
  <c r="E252" i="29"/>
  <c r="E248" i="29"/>
  <c r="E84" i="14"/>
  <c r="E104" i="14" s="1"/>
  <c r="E17" i="29" s="1"/>
  <c r="F85" i="14"/>
  <c r="G86" i="14" s="1"/>
  <c r="F84" i="14"/>
  <c r="G85" i="14"/>
  <c r="H86" i="14" s="1"/>
  <c r="G84" i="14"/>
  <c r="G199" i="29"/>
  <c r="G185" i="29"/>
  <c r="AI71" i="14"/>
  <c r="I237" i="14"/>
  <c r="J514" i="29"/>
  <c r="J486" i="29"/>
  <c r="J484" i="29" s="1"/>
  <c r="L22" i="14"/>
  <c r="K12" i="29"/>
  <c r="K205" i="14"/>
  <c r="J237" i="14" s="1"/>
  <c r="K113" i="14"/>
  <c r="K42" i="14"/>
  <c r="K72" i="14" s="1"/>
  <c r="K81" i="14" s="1"/>
  <c r="F287" i="29"/>
  <c r="G36" i="29"/>
  <c r="G490" i="29" s="1"/>
  <c r="G35" i="29"/>
  <c r="G273" i="29" s="1"/>
  <c r="G449" i="29" s="1"/>
  <c r="E289" i="29"/>
  <c r="E317" i="29"/>
  <c r="F491" i="29"/>
  <c r="F356" i="29"/>
  <c r="F351" i="29"/>
  <c r="F354" i="29"/>
  <c r="F352" i="29"/>
  <c r="F358" i="29"/>
  <c r="F359" i="29"/>
  <c r="F360" i="29"/>
  <c r="F357" i="29"/>
  <c r="F355" i="29"/>
  <c r="F353" i="29"/>
  <c r="F343" i="29"/>
  <c r="F345" i="29"/>
  <c r="F339" i="29"/>
  <c r="F341" i="29"/>
  <c r="F344" i="29"/>
  <c r="F342" i="29"/>
  <c r="F346" i="29"/>
  <c r="F338" i="29"/>
  <c r="F340" i="29"/>
  <c r="F337" i="29"/>
  <c r="F370" i="29"/>
  <c r="F369" i="29"/>
  <c r="F373" i="29"/>
  <c r="F365" i="29"/>
  <c r="F368" i="29"/>
  <c r="F371" i="29"/>
  <c r="F374" i="29"/>
  <c r="F367" i="29"/>
  <c r="F372" i="29"/>
  <c r="F366" i="29"/>
  <c r="G348" i="29"/>
  <c r="G334" i="29"/>
  <c r="G362" i="29"/>
  <c r="I37" i="29"/>
  <c r="H332" i="29"/>
  <c r="U150" i="14"/>
  <c r="V149" i="14"/>
  <c r="D529" i="29"/>
  <c r="D530" i="29"/>
  <c r="G391" i="29"/>
  <c r="G41" i="29"/>
  <c r="G22" i="29"/>
  <c r="G500" i="29" s="1"/>
  <c r="G131" i="14"/>
  <c r="H82" i="14" s="1"/>
  <c r="H84" i="14" s="1"/>
  <c r="H165" i="14"/>
  <c r="D535" i="29"/>
  <c r="P539" i="29"/>
  <c r="P549" i="29" s="1"/>
  <c r="N231" i="14"/>
  <c r="M260" i="14" s="1"/>
  <c r="N124" i="14"/>
  <c r="N119" i="14" s="1"/>
  <c r="Q156" i="14"/>
  <c r="Q157" i="14" s="1"/>
  <c r="Q129" i="14"/>
  <c r="M563" i="29"/>
  <c r="O124" i="14"/>
  <c r="O119" i="14" s="1"/>
  <c r="O231" i="14"/>
  <c r="N260" i="14" s="1"/>
  <c r="T193" i="14"/>
  <c r="T40" i="29" s="1"/>
  <c r="T194" i="14"/>
  <c r="Q381" i="29"/>
  <c r="Q469" i="29" s="1"/>
  <c r="Q384" i="29"/>
  <c r="Q472" i="29" s="1"/>
  <c r="Q388" i="29"/>
  <c r="Q476" i="29" s="1"/>
  <c r="Q382" i="29"/>
  <c r="Q470" i="29" s="1"/>
  <c r="Q386" i="29"/>
  <c r="Q474" i="29" s="1"/>
  <c r="Q387" i="29"/>
  <c r="Q475" i="29" s="1"/>
  <c r="Q380" i="29"/>
  <c r="Q468" i="29" s="1"/>
  <c r="Q379" i="29"/>
  <c r="Q467" i="29" s="1"/>
  <c r="Q383" i="29"/>
  <c r="Q471" i="29" s="1"/>
  <c r="Q385" i="29"/>
  <c r="Q473" i="29" s="1"/>
  <c r="R505" i="29"/>
  <c r="R506" i="29" s="1"/>
  <c r="R378" i="29"/>
  <c r="R466" i="29" s="1"/>
  <c r="N549" i="29"/>
  <c r="AI539" i="29"/>
  <c r="T189" i="14"/>
  <c r="T190" i="14"/>
  <c r="U197" i="14"/>
  <c r="U198" i="14"/>
  <c r="R76" i="14"/>
  <c r="R122" i="14" s="1"/>
  <c r="Q79" i="14" s="1"/>
  <c r="Q78" i="14" s="1"/>
  <c r="R229" i="14"/>
  <c r="Q258" i="14" s="1"/>
  <c r="S75" i="14"/>
  <c r="S39" i="29"/>
  <c r="L427" i="29"/>
  <c r="L426" i="29"/>
  <c r="L424" i="29"/>
  <c r="L419" i="29"/>
  <c r="L422" i="29"/>
  <c r="L526" i="29"/>
  <c r="L420" i="29"/>
  <c r="L423" i="29"/>
  <c r="L418" i="29"/>
  <c r="L425" i="29"/>
  <c r="L421" i="29"/>
  <c r="D548" i="29" l="1"/>
  <c r="D562" i="29" s="1"/>
  <c r="E20" i="29"/>
  <c r="E18" i="29"/>
  <c r="E19" i="29"/>
  <c r="D522" i="29"/>
  <c r="K428" i="29"/>
  <c r="K430" i="29" s="1"/>
  <c r="M181" i="29"/>
  <c r="M182" i="29" s="1"/>
  <c r="N154" i="29"/>
  <c r="N168" i="29"/>
  <c r="N140" i="29"/>
  <c r="E308" i="29"/>
  <c r="E314" i="29"/>
  <c r="E313" i="29"/>
  <c r="E312" i="29"/>
  <c r="O138" i="29"/>
  <c r="E286" i="29"/>
  <c r="M417" i="29"/>
  <c r="E311" i="29"/>
  <c r="E307" i="29"/>
  <c r="M416" i="29"/>
  <c r="E306" i="29"/>
  <c r="E310" i="29"/>
  <c r="AI138" i="29"/>
  <c r="E315" i="29"/>
  <c r="G336" i="29"/>
  <c r="G335" i="29"/>
  <c r="G349" i="29"/>
  <c r="G350" i="29"/>
  <c r="F232" i="29"/>
  <c r="F231" i="29"/>
  <c r="G186" i="29"/>
  <c r="G187" i="29"/>
  <c r="F245" i="29"/>
  <c r="F246" i="29"/>
  <c r="E305" i="29"/>
  <c r="E304" i="29"/>
  <c r="E319" i="29"/>
  <c r="E318" i="29"/>
  <c r="G201" i="29"/>
  <c r="G200" i="29"/>
  <c r="F260" i="29"/>
  <c r="F259" i="29"/>
  <c r="E433" i="29"/>
  <c r="E291" i="29"/>
  <c r="E290" i="29"/>
  <c r="G364" i="29"/>
  <c r="G363" i="29"/>
  <c r="G215" i="29"/>
  <c r="G214" i="29"/>
  <c r="G222" i="29"/>
  <c r="D412" i="29"/>
  <c r="H213" i="29"/>
  <c r="H185" i="29"/>
  <c r="H199" i="29"/>
  <c r="J32" i="29"/>
  <c r="G432" i="29"/>
  <c r="P31" i="29"/>
  <c r="P414" i="29" s="1"/>
  <c r="P516" i="29" s="1"/>
  <c r="E457" i="29"/>
  <c r="E462" i="29" s="1"/>
  <c r="G225" i="29"/>
  <c r="G220" i="29"/>
  <c r="AJ410" i="29"/>
  <c r="D540" i="29"/>
  <c r="P390" i="29"/>
  <c r="P478" i="29"/>
  <c r="AI410" i="29"/>
  <c r="O477" i="29"/>
  <c r="O479" i="29" s="1"/>
  <c r="F375" i="29"/>
  <c r="F376" i="29" s="1"/>
  <c r="L429" i="29"/>
  <c r="L428" i="29"/>
  <c r="Q389" i="29"/>
  <c r="E271" i="29"/>
  <c r="E272" i="29" s="1"/>
  <c r="G224" i="29"/>
  <c r="F317" i="29"/>
  <c r="F326" i="29" s="1"/>
  <c r="G217" i="29"/>
  <c r="F226" i="29"/>
  <c r="F227" i="29" s="1"/>
  <c r="G216" i="29"/>
  <c r="G218" i="29"/>
  <c r="G223" i="29"/>
  <c r="G219" i="29"/>
  <c r="G221" i="29"/>
  <c r="F495" i="29"/>
  <c r="I185" i="29"/>
  <c r="AI411" i="29"/>
  <c r="AJ411" i="29"/>
  <c r="AK411" i="29"/>
  <c r="E492" i="29"/>
  <c r="E280" i="29"/>
  <c r="E456" i="29" s="1"/>
  <c r="E494" i="29"/>
  <c r="F281" i="29"/>
  <c r="F457" i="29" s="1"/>
  <c r="F282" i="29"/>
  <c r="F458" i="29" s="1"/>
  <c r="F283" i="29"/>
  <c r="F459" i="29" s="1"/>
  <c r="F277" i="29"/>
  <c r="F453" i="29" s="1"/>
  <c r="F276" i="29"/>
  <c r="F452" i="29" s="1"/>
  <c r="F278" i="29"/>
  <c r="F454" i="29" s="1"/>
  <c r="E328" i="29"/>
  <c r="G196" i="29"/>
  <c r="E296" i="29"/>
  <c r="G274" i="29"/>
  <c r="G450" i="29" s="1"/>
  <c r="G284" i="29"/>
  <c r="G460" i="29" s="1"/>
  <c r="G279" i="29"/>
  <c r="G455" i="29" s="1"/>
  <c r="H85" i="14"/>
  <c r="I86" i="14" s="1"/>
  <c r="G258" i="29"/>
  <c r="G244" i="29"/>
  <c r="G230" i="29"/>
  <c r="I33" i="29"/>
  <c r="H228" i="29"/>
  <c r="F242" i="29"/>
  <c r="F234" i="29"/>
  <c r="F233" i="29"/>
  <c r="F239" i="29"/>
  <c r="F241" i="29"/>
  <c r="F240" i="29"/>
  <c r="F235" i="29"/>
  <c r="F237" i="29"/>
  <c r="F236" i="29"/>
  <c r="F238" i="29"/>
  <c r="F256" i="29"/>
  <c r="F252" i="29"/>
  <c r="F254" i="29"/>
  <c r="F248" i="29"/>
  <c r="F247" i="29"/>
  <c r="F251" i="29"/>
  <c r="F255" i="29"/>
  <c r="F249" i="29"/>
  <c r="F253" i="29"/>
  <c r="F250" i="29"/>
  <c r="F270" i="29"/>
  <c r="F266" i="29"/>
  <c r="F264" i="29"/>
  <c r="F262" i="29"/>
  <c r="F268" i="29"/>
  <c r="F261" i="29"/>
  <c r="F269" i="29"/>
  <c r="F263" i="29"/>
  <c r="F265" i="29"/>
  <c r="F267" i="29"/>
  <c r="E83" i="14"/>
  <c r="G194" i="29"/>
  <c r="G195" i="29"/>
  <c r="G190" i="29"/>
  <c r="G197" i="29"/>
  <c r="G191" i="29"/>
  <c r="G193" i="29"/>
  <c r="G192" i="29"/>
  <c r="G188" i="29"/>
  <c r="G203" i="29"/>
  <c r="G210" i="29"/>
  <c r="G208" i="29"/>
  <c r="G206" i="29"/>
  <c r="G209" i="29"/>
  <c r="G207" i="29"/>
  <c r="G202" i="29"/>
  <c r="G204" i="29"/>
  <c r="G205" i="29"/>
  <c r="G211" i="29"/>
  <c r="G189" i="29"/>
  <c r="I199" i="29"/>
  <c r="F87" i="14"/>
  <c r="F102" i="14" s="1"/>
  <c r="F104" i="14" s="1"/>
  <c r="F17" i="29" s="1"/>
  <c r="I213" i="29"/>
  <c r="K486" i="29"/>
  <c r="K484" i="29" s="1"/>
  <c r="K514" i="29"/>
  <c r="M22" i="14"/>
  <c r="L205" i="14"/>
  <c r="K237" i="14" s="1"/>
  <c r="L113" i="14"/>
  <c r="L12" i="29"/>
  <c r="L42" i="14"/>
  <c r="L72" i="14" s="1"/>
  <c r="L81" i="14" s="1"/>
  <c r="E103" i="14"/>
  <c r="F101" i="14" s="1"/>
  <c r="E327" i="29"/>
  <c r="F289" i="29"/>
  <c r="F303" i="29"/>
  <c r="H35" i="29"/>
  <c r="H491" i="29" s="1"/>
  <c r="E295" i="29"/>
  <c r="E298" i="29"/>
  <c r="G491" i="29"/>
  <c r="E299" i="29"/>
  <c r="E294" i="29"/>
  <c r="E300" i="29"/>
  <c r="H36" i="29"/>
  <c r="H490" i="29" s="1"/>
  <c r="G287" i="29"/>
  <c r="E320" i="29"/>
  <c r="E322" i="29"/>
  <c r="E329" i="29"/>
  <c r="E321" i="29"/>
  <c r="E292" i="29"/>
  <c r="E325" i="29"/>
  <c r="E293" i="29"/>
  <c r="E326" i="29"/>
  <c r="E301" i="29"/>
  <c r="E297" i="29"/>
  <c r="E324" i="29"/>
  <c r="E323" i="29"/>
  <c r="E275" i="29"/>
  <c r="E493" i="29"/>
  <c r="I332" i="29"/>
  <c r="J37" i="29"/>
  <c r="H334" i="29"/>
  <c r="H362" i="29"/>
  <c r="H348" i="29"/>
  <c r="G367" i="29"/>
  <c r="G368" i="29"/>
  <c r="G372" i="29"/>
  <c r="G373" i="29"/>
  <c r="G371" i="29"/>
  <c r="G374" i="29"/>
  <c r="G366" i="29"/>
  <c r="G365" i="29"/>
  <c r="G369" i="29"/>
  <c r="G370" i="29"/>
  <c r="G342" i="29"/>
  <c r="G339" i="29"/>
  <c r="G340" i="29"/>
  <c r="G341" i="29"/>
  <c r="G345" i="29"/>
  <c r="G344" i="29"/>
  <c r="G346" i="29"/>
  <c r="G343" i="29"/>
  <c r="G337" i="29"/>
  <c r="G338" i="29"/>
  <c r="G356" i="29"/>
  <c r="G358" i="29"/>
  <c r="G357" i="29"/>
  <c r="G359" i="29"/>
  <c r="G352" i="29"/>
  <c r="G355" i="29"/>
  <c r="G353" i="29"/>
  <c r="G351" i="29"/>
  <c r="G360" i="29"/>
  <c r="G354" i="29"/>
  <c r="V150" i="14"/>
  <c r="W149" i="14"/>
  <c r="H131" i="14"/>
  <c r="I82" i="14" s="1"/>
  <c r="I165" i="14"/>
  <c r="H22" i="29"/>
  <c r="H500" i="29" s="1"/>
  <c r="H41" i="29"/>
  <c r="H391" i="29"/>
  <c r="AK531" i="29"/>
  <c r="AJ531" i="29"/>
  <c r="D202" i="52" s="1"/>
  <c r="Z206" i="52" s="1"/>
  <c r="AI531" i="29"/>
  <c r="C202" i="52" s="1"/>
  <c r="D545" i="29"/>
  <c r="D547" i="29"/>
  <c r="D561" i="29" s="1"/>
  <c r="Q539" i="29"/>
  <c r="Q549" i="29" s="1"/>
  <c r="R156" i="14"/>
  <c r="R157" i="14" s="1"/>
  <c r="S505" i="29"/>
  <c r="S506" i="29" s="1"/>
  <c r="S378" i="29"/>
  <c r="S466" i="29" s="1"/>
  <c r="V197" i="14"/>
  <c r="V198" i="14"/>
  <c r="U189" i="14"/>
  <c r="U190" i="14"/>
  <c r="S229" i="14"/>
  <c r="R258" i="14" s="1"/>
  <c r="S76" i="14"/>
  <c r="S122" i="14" s="1"/>
  <c r="R79" i="14" s="1"/>
  <c r="R78" i="14" s="1"/>
  <c r="T75" i="14"/>
  <c r="T39" i="29"/>
  <c r="P124" i="14"/>
  <c r="P119" i="14" s="1"/>
  <c r="P231" i="14"/>
  <c r="O260" i="14" s="1"/>
  <c r="R388" i="29"/>
  <c r="R476" i="29" s="1"/>
  <c r="R382" i="29"/>
  <c r="R470" i="29" s="1"/>
  <c r="R384" i="29"/>
  <c r="R472" i="29" s="1"/>
  <c r="R386" i="29"/>
  <c r="R474" i="29" s="1"/>
  <c r="R381" i="29"/>
  <c r="R469" i="29" s="1"/>
  <c r="R379" i="29"/>
  <c r="R467" i="29" s="1"/>
  <c r="R387" i="29"/>
  <c r="R475" i="29" s="1"/>
  <c r="R380" i="29"/>
  <c r="R468" i="29" s="1"/>
  <c r="R383" i="29"/>
  <c r="R471" i="29" s="1"/>
  <c r="R385" i="29"/>
  <c r="R473" i="29" s="1"/>
  <c r="AI549" i="29"/>
  <c r="C214" i="52" s="1"/>
  <c r="N563" i="29"/>
  <c r="R129" i="14"/>
  <c r="U193" i="14"/>
  <c r="U40" i="29" s="1"/>
  <c r="U194" i="14"/>
  <c r="M426" i="29"/>
  <c r="M422" i="29"/>
  <c r="M425" i="29"/>
  <c r="M419" i="29"/>
  <c r="M526" i="29"/>
  <c r="M420" i="29"/>
  <c r="M427" i="29"/>
  <c r="M423" i="29"/>
  <c r="M418" i="29"/>
  <c r="M421" i="29"/>
  <c r="M424" i="29"/>
  <c r="F19" i="29" l="1"/>
  <c r="F497" i="29" s="1"/>
  <c r="F18" i="29"/>
  <c r="F496" i="29" s="1"/>
  <c r="F20" i="29"/>
  <c r="F498" i="29" s="1"/>
  <c r="AK412" i="29"/>
  <c r="E451" i="29"/>
  <c r="E527" i="29" s="1"/>
  <c r="E285" i="29"/>
  <c r="N149" i="29"/>
  <c r="AI149" i="29" s="1"/>
  <c r="N143" i="29"/>
  <c r="AI143" i="29" s="1"/>
  <c r="N145" i="29"/>
  <c r="N150" i="29"/>
  <c r="N146" i="29"/>
  <c r="N148" i="29"/>
  <c r="AI148" i="29" s="1"/>
  <c r="N151" i="29"/>
  <c r="N152" i="29"/>
  <c r="N144" i="29"/>
  <c r="AI144" i="29" s="1"/>
  <c r="N141" i="29"/>
  <c r="AI141" i="29" s="1"/>
  <c r="N142" i="29"/>
  <c r="AI142" i="29" s="1"/>
  <c r="N147" i="29"/>
  <c r="AI147" i="29" s="1"/>
  <c r="O168" i="29"/>
  <c r="O154" i="29"/>
  <c r="O140" i="29"/>
  <c r="N176" i="29"/>
  <c r="AI176" i="29" s="1"/>
  <c r="N171" i="29"/>
  <c r="AI171" i="29" s="1"/>
  <c r="N174" i="29"/>
  <c r="AI174" i="29" s="1"/>
  <c r="N172" i="29"/>
  <c r="AI172" i="29" s="1"/>
  <c r="N170" i="29"/>
  <c r="AI170" i="29" s="1"/>
  <c r="N179" i="29"/>
  <c r="AI179" i="29" s="1"/>
  <c r="N177" i="29"/>
  <c r="AI177" i="29" s="1"/>
  <c r="N169" i="29"/>
  <c r="AI169" i="29" s="1"/>
  <c r="N178" i="29"/>
  <c r="AI178" i="29" s="1"/>
  <c r="N180" i="29"/>
  <c r="AI180" i="29" s="1"/>
  <c r="N173" i="29"/>
  <c r="AI173" i="29" s="1"/>
  <c r="N175" i="29"/>
  <c r="AI175" i="29" s="1"/>
  <c r="N158" i="29"/>
  <c r="AI158" i="29" s="1"/>
  <c r="N156" i="29"/>
  <c r="AI156" i="29" s="1"/>
  <c r="N166" i="29"/>
  <c r="AI166" i="29" s="1"/>
  <c r="N163" i="29"/>
  <c r="AI163" i="29" s="1"/>
  <c r="N161" i="29"/>
  <c r="AI161" i="29" s="1"/>
  <c r="N160" i="29"/>
  <c r="AI160" i="29" s="1"/>
  <c r="N159" i="29"/>
  <c r="AI159" i="29" s="1"/>
  <c r="N164" i="29"/>
  <c r="AI164" i="29" s="1"/>
  <c r="N157" i="29"/>
  <c r="AI157" i="29" s="1"/>
  <c r="N165" i="29"/>
  <c r="AI165" i="29" s="1"/>
  <c r="N155" i="29"/>
  <c r="AI155" i="29" s="1"/>
  <c r="N162" i="29"/>
  <c r="AI162" i="29" s="1"/>
  <c r="AI154" i="29"/>
  <c r="AJ412" i="29"/>
  <c r="E496" i="29"/>
  <c r="E23" i="29"/>
  <c r="AI140" i="29"/>
  <c r="AI146" i="29"/>
  <c r="E435" i="29"/>
  <c r="E434" i="29"/>
  <c r="N415" i="29"/>
  <c r="AI516" i="29" s="1"/>
  <c r="AI168" i="29"/>
  <c r="H364" i="29"/>
  <c r="H363" i="29"/>
  <c r="I214" i="29"/>
  <c r="I215" i="29"/>
  <c r="G245" i="29"/>
  <c r="G246" i="29"/>
  <c r="I200" i="29"/>
  <c r="I201" i="29"/>
  <c r="H336" i="29"/>
  <c r="H335" i="29"/>
  <c r="G259" i="29"/>
  <c r="G260" i="29"/>
  <c r="P138" i="29"/>
  <c r="F305" i="29"/>
  <c r="F304" i="29"/>
  <c r="F291" i="29"/>
  <c r="F290" i="29"/>
  <c r="I186" i="29"/>
  <c r="I187" i="29"/>
  <c r="H200" i="29"/>
  <c r="H201" i="29"/>
  <c r="E436" i="29"/>
  <c r="F321" i="29"/>
  <c r="F319" i="29"/>
  <c r="F318" i="29"/>
  <c r="H187" i="29"/>
  <c r="H186" i="29"/>
  <c r="H349" i="29"/>
  <c r="H350" i="29"/>
  <c r="G232" i="29"/>
  <c r="G231" i="29"/>
  <c r="H215" i="29"/>
  <c r="H214" i="29"/>
  <c r="E117" i="14"/>
  <c r="E111" i="14" s="1"/>
  <c r="E228" i="14"/>
  <c r="D257" i="14" s="1"/>
  <c r="D261" i="14" s="1"/>
  <c r="AI412" i="29"/>
  <c r="L430" i="29"/>
  <c r="H205" i="29"/>
  <c r="H202" i="29"/>
  <c r="H208" i="29"/>
  <c r="H204" i="29"/>
  <c r="H210" i="29"/>
  <c r="H206" i="29"/>
  <c r="H207" i="29"/>
  <c r="H203" i="29"/>
  <c r="H211" i="29"/>
  <c r="H209" i="29"/>
  <c r="H193" i="29"/>
  <c r="H189" i="29"/>
  <c r="H195" i="29"/>
  <c r="H188" i="29"/>
  <c r="H197" i="29"/>
  <c r="H196" i="29"/>
  <c r="H192" i="29"/>
  <c r="H194" i="29"/>
  <c r="H191" i="29"/>
  <c r="H190" i="29"/>
  <c r="H217" i="29"/>
  <c r="H225" i="29"/>
  <c r="H221" i="29"/>
  <c r="H219" i="29"/>
  <c r="H220" i="29"/>
  <c r="H223" i="29"/>
  <c r="H218" i="29"/>
  <c r="H224" i="29"/>
  <c r="H222" i="29"/>
  <c r="H216" i="29"/>
  <c r="H432" i="29"/>
  <c r="K32" i="29"/>
  <c r="J183" i="29"/>
  <c r="Q31" i="29"/>
  <c r="Q414" i="29" s="1"/>
  <c r="Q516" i="29" s="1"/>
  <c r="F433" i="29"/>
  <c r="I194" i="29"/>
  <c r="F462" i="29"/>
  <c r="P477" i="29"/>
  <c r="P479" i="29" s="1"/>
  <c r="E440" i="29"/>
  <c r="Q390" i="29"/>
  <c r="Q478" i="29"/>
  <c r="M429" i="29"/>
  <c r="M428" i="29"/>
  <c r="G375" i="29"/>
  <c r="G376" i="29" s="1"/>
  <c r="R389" i="29"/>
  <c r="F320" i="29"/>
  <c r="F322" i="29"/>
  <c r="E330" i="29"/>
  <c r="G226" i="29"/>
  <c r="G227" i="29" s="1"/>
  <c r="F327" i="29"/>
  <c r="F325" i="29"/>
  <c r="F328" i="29"/>
  <c r="F271" i="29"/>
  <c r="F272" i="29" s="1"/>
  <c r="F323" i="29"/>
  <c r="F324" i="29"/>
  <c r="F329" i="29"/>
  <c r="G303" i="29"/>
  <c r="G307" i="29" s="1"/>
  <c r="I189" i="29"/>
  <c r="F286" i="29"/>
  <c r="I197" i="29"/>
  <c r="I190" i="29"/>
  <c r="I195" i="29"/>
  <c r="G495" i="29"/>
  <c r="I196" i="29"/>
  <c r="I188" i="29"/>
  <c r="I192" i="29"/>
  <c r="I193" i="29"/>
  <c r="I191" i="29"/>
  <c r="E444" i="29"/>
  <c r="E537" i="29" s="1"/>
  <c r="E441" i="29"/>
  <c r="E445" i="29"/>
  <c r="E538" i="29" s="1"/>
  <c r="F492" i="29"/>
  <c r="F275" i="29"/>
  <c r="F451" i="29" s="1"/>
  <c r="I208" i="29"/>
  <c r="F280" i="29"/>
  <c r="F456" i="29" s="1"/>
  <c r="F308" i="29"/>
  <c r="I221" i="29"/>
  <c r="F300" i="29"/>
  <c r="G283" i="29"/>
  <c r="G459" i="29" s="1"/>
  <c r="G282" i="29"/>
  <c r="G458" i="29" s="1"/>
  <c r="G281" i="29"/>
  <c r="G457" i="29" s="1"/>
  <c r="G277" i="29"/>
  <c r="G453" i="29" s="1"/>
  <c r="G276" i="29"/>
  <c r="G278" i="29"/>
  <c r="G454" i="29" s="1"/>
  <c r="E498" i="29"/>
  <c r="H258" i="29"/>
  <c r="H244" i="29"/>
  <c r="H230" i="29"/>
  <c r="J33" i="29"/>
  <c r="I228" i="29"/>
  <c r="G237" i="29"/>
  <c r="G242" i="29"/>
  <c r="G238" i="29"/>
  <c r="G239" i="29"/>
  <c r="G233" i="29"/>
  <c r="G241" i="29"/>
  <c r="G240" i="29"/>
  <c r="G234" i="29"/>
  <c r="G235" i="29"/>
  <c r="G236" i="29"/>
  <c r="G249" i="29"/>
  <c r="G253" i="29"/>
  <c r="G255" i="29"/>
  <c r="G256" i="29"/>
  <c r="G254" i="29"/>
  <c r="G252" i="29"/>
  <c r="G248" i="29"/>
  <c r="G247" i="29"/>
  <c r="G251" i="29"/>
  <c r="G250" i="29"/>
  <c r="I84" i="14"/>
  <c r="I85" i="14"/>
  <c r="J86" i="14" s="1"/>
  <c r="G270" i="29"/>
  <c r="G264" i="29"/>
  <c r="G262" i="29"/>
  <c r="G261" i="29"/>
  <c r="G266" i="29"/>
  <c r="G263" i="29"/>
  <c r="G269" i="29"/>
  <c r="G268" i="29"/>
  <c r="G267" i="29"/>
  <c r="G265" i="29"/>
  <c r="E105" i="14"/>
  <c r="E107" i="14" s="1"/>
  <c r="F106" i="14" s="1"/>
  <c r="I218" i="29"/>
  <c r="I210" i="29"/>
  <c r="I216" i="29"/>
  <c r="I223" i="29"/>
  <c r="I222" i="29"/>
  <c r="I217" i="29"/>
  <c r="I220" i="29"/>
  <c r="I204" i="29"/>
  <c r="F83" i="14"/>
  <c r="F117" i="14" s="1"/>
  <c r="F111" i="14" s="1"/>
  <c r="F138" i="14" s="1"/>
  <c r="F139" i="14" s="1"/>
  <c r="I205" i="29"/>
  <c r="I206" i="29"/>
  <c r="F88" i="14"/>
  <c r="G89" i="14" s="1"/>
  <c r="G90" i="14" s="1"/>
  <c r="G87" i="14" s="1"/>
  <c r="G102" i="14" s="1"/>
  <c r="F103" i="14"/>
  <c r="G101" i="14" s="1"/>
  <c r="I207" i="29"/>
  <c r="I225" i="29"/>
  <c r="I209" i="29"/>
  <c r="I202" i="29"/>
  <c r="I211" i="29"/>
  <c r="I203" i="29"/>
  <c r="I224" i="29"/>
  <c r="I219" i="29"/>
  <c r="E439" i="29"/>
  <c r="E437" i="29"/>
  <c r="E443" i="29"/>
  <c r="F494" i="29"/>
  <c r="E438" i="29"/>
  <c r="E529" i="29" s="1"/>
  <c r="I36" i="29"/>
  <c r="I490" i="29" s="1"/>
  <c r="L486" i="29"/>
  <c r="L484" i="29" s="1"/>
  <c r="L514" i="29"/>
  <c r="N22" i="14"/>
  <c r="M205" i="14"/>
  <c r="M12" i="29"/>
  <c r="M113" i="14"/>
  <c r="M42" i="14"/>
  <c r="M72" i="14" s="1"/>
  <c r="M81" i="14" s="1"/>
  <c r="F296" i="29"/>
  <c r="E442" i="29"/>
  <c r="E535" i="29" s="1"/>
  <c r="F297" i="29"/>
  <c r="F299" i="29"/>
  <c r="G289" i="29"/>
  <c r="F311" i="29"/>
  <c r="F294" i="29"/>
  <c r="F298" i="29"/>
  <c r="F301" i="29"/>
  <c r="F293" i="29"/>
  <c r="F307" i="29"/>
  <c r="F313" i="29"/>
  <c r="F314" i="29"/>
  <c r="F309" i="29"/>
  <c r="F315" i="29"/>
  <c r="F310" i="29"/>
  <c r="F306" i="29"/>
  <c r="I35" i="29"/>
  <c r="J35" i="29" s="1"/>
  <c r="H287" i="29"/>
  <c r="F295" i="29"/>
  <c r="F312" i="29"/>
  <c r="F292" i="29"/>
  <c r="H273" i="29"/>
  <c r="H449" i="29" s="1"/>
  <c r="G317" i="29"/>
  <c r="F493" i="29"/>
  <c r="D552" i="29"/>
  <c r="D553" i="29" s="1"/>
  <c r="D555" i="29" s="1"/>
  <c r="H354" i="29"/>
  <c r="H352" i="29"/>
  <c r="H355" i="29"/>
  <c r="H357" i="29"/>
  <c r="H360" i="29"/>
  <c r="H356" i="29"/>
  <c r="H353" i="29"/>
  <c r="H358" i="29"/>
  <c r="H351" i="29"/>
  <c r="H359" i="29"/>
  <c r="H365" i="29"/>
  <c r="H368" i="29"/>
  <c r="H373" i="29"/>
  <c r="H369" i="29"/>
  <c r="H374" i="29"/>
  <c r="H367" i="29"/>
  <c r="H372" i="29"/>
  <c r="H370" i="29"/>
  <c r="H371" i="29"/>
  <c r="H366" i="29"/>
  <c r="H338" i="29"/>
  <c r="H344" i="29"/>
  <c r="H340" i="29"/>
  <c r="H343" i="29"/>
  <c r="H337" i="29"/>
  <c r="H342" i="29"/>
  <c r="H346" i="29"/>
  <c r="H339" i="29"/>
  <c r="H341" i="29"/>
  <c r="H345" i="29"/>
  <c r="J332" i="29"/>
  <c r="K37" i="29"/>
  <c r="I348" i="29"/>
  <c r="I362" i="29"/>
  <c r="I334" i="29"/>
  <c r="W150" i="14"/>
  <c r="X149" i="14"/>
  <c r="R539" i="29"/>
  <c r="R549" i="29" s="1"/>
  <c r="AJ545" i="29"/>
  <c r="D559" i="29"/>
  <c r="AI545" i="29"/>
  <c r="AK545" i="29"/>
  <c r="J165" i="14"/>
  <c r="I131" i="14"/>
  <c r="J82" i="14" s="1"/>
  <c r="I41" i="29"/>
  <c r="I22" i="29"/>
  <c r="I500" i="29" s="1"/>
  <c r="I391" i="29"/>
  <c r="S156" i="14"/>
  <c r="S157" i="14" s="1"/>
  <c r="C158" i="14" s="1"/>
  <c r="U75" i="14"/>
  <c r="U39" i="29"/>
  <c r="W197" i="14"/>
  <c r="W198" i="14"/>
  <c r="T505" i="29"/>
  <c r="T506" i="29" s="1"/>
  <c r="T378" i="29"/>
  <c r="T466" i="29" s="1"/>
  <c r="S381" i="29"/>
  <c r="S469" i="29" s="1"/>
  <c r="S384" i="29"/>
  <c r="S472" i="29" s="1"/>
  <c r="S386" i="29"/>
  <c r="S474" i="29" s="1"/>
  <c r="S382" i="29"/>
  <c r="S470" i="29" s="1"/>
  <c r="S388" i="29"/>
  <c r="S476" i="29" s="1"/>
  <c r="S379" i="29"/>
  <c r="S467" i="29" s="1"/>
  <c r="S387" i="29"/>
  <c r="S475" i="29" s="1"/>
  <c r="S380" i="29"/>
  <c r="S468" i="29" s="1"/>
  <c r="S385" i="29"/>
  <c r="S473" i="29" s="1"/>
  <c r="S383" i="29"/>
  <c r="S471" i="29" s="1"/>
  <c r="T229" i="14"/>
  <c r="S258" i="14" s="1"/>
  <c r="T76" i="14"/>
  <c r="T122" i="14" s="1"/>
  <c r="S79" i="14" s="1"/>
  <c r="S78" i="14" s="1"/>
  <c r="Q124" i="14"/>
  <c r="Q119" i="14" s="1"/>
  <c r="Q231" i="14"/>
  <c r="P260" i="14" s="1"/>
  <c r="S129" i="14"/>
  <c r="V194" i="14"/>
  <c r="V193" i="14"/>
  <c r="V40" i="29" s="1"/>
  <c r="O563" i="29"/>
  <c r="P563" i="29" s="1"/>
  <c r="Q563" i="29" s="1"/>
  <c r="AI563" i="29"/>
  <c r="V189" i="14"/>
  <c r="V190" i="14"/>
  <c r="N423" i="29"/>
  <c r="D262" i="14" l="1"/>
  <c r="E543" i="29"/>
  <c r="E544" i="29" s="1"/>
  <c r="O415" i="29"/>
  <c r="N426" i="29"/>
  <c r="AI426" i="29" s="1"/>
  <c r="AI151" i="29"/>
  <c r="N526" i="29"/>
  <c r="AI526" i="29" s="1"/>
  <c r="E461" i="29"/>
  <c r="E463" i="29" s="1"/>
  <c r="AI415" i="29"/>
  <c r="N425" i="29"/>
  <c r="AI425" i="29" s="1"/>
  <c r="N427" i="29"/>
  <c r="AI427" i="29" s="1"/>
  <c r="AI150" i="29"/>
  <c r="E519" i="29"/>
  <c r="N181" i="29"/>
  <c r="N182" i="29" s="1"/>
  <c r="N429" i="29" s="1"/>
  <c r="F519" i="29"/>
  <c r="F488" i="29"/>
  <c r="F501" i="29" s="1"/>
  <c r="F507" i="29" s="1"/>
  <c r="N422" i="29"/>
  <c r="AI422" i="29" s="1"/>
  <c r="P140" i="29"/>
  <c r="P168" i="29"/>
  <c r="P154" i="29"/>
  <c r="O144" i="29"/>
  <c r="O143" i="29"/>
  <c r="O147" i="29"/>
  <c r="O151" i="29"/>
  <c r="O145" i="29"/>
  <c r="O141" i="29"/>
  <c r="O146" i="29"/>
  <c r="O142" i="29"/>
  <c r="O148" i="29"/>
  <c r="O150" i="29"/>
  <c r="O149" i="29"/>
  <c r="O152" i="29"/>
  <c r="Q138" i="29"/>
  <c r="O158" i="29"/>
  <c r="O157" i="29"/>
  <c r="O156" i="29"/>
  <c r="O155" i="29"/>
  <c r="O160" i="29"/>
  <c r="O165" i="29"/>
  <c r="O163" i="29"/>
  <c r="O162" i="29"/>
  <c r="O166" i="29"/>
  <c r="O164" i="29"/>
  <c r="O161" i="29"/>
  <c r="O159" i="29"/>
  <c r="AI145" i="29"/>
  <c r="O177" i="29"/>
  <c r="O171" i="29"/>
  <c r="O175" i="29"/>
  <c r="O179" i="29"/>
  <c r="O178" i="29"/>
  <c r="O173" i="29"/>
  <c r="O176" i="29"/>
  <c r="O170" i="29"/>
  <c r="O180" i="29"/>
  <c r="O174" i="29"/>
  <c r="O169" i="29"/>
  <c r="O172" i="29"/>
  <c r="E521" i="29"/>
  <c r="N424" i="29"/>
  <c r="AI424" i="29" s="1"/>
  <c r="AI152" i="29"/>
  <c r="N420" i="29"/>
  <c r="AI420" i="29" s="1"/>
  <c r="N418" i="29"/>
  <c r="AI418" i="29" s="1"/>
  <c r="N421" i="29"/>
  <c r="AI421" i="29" s="1"/>
  <c r="N419" i="29"/>
  <c r="AI419" i="29" s="1"/>
  <c r="N416" i="29"/>
  <c r="AI416" i="29" s="1"/>
  <c r="E534" i="29"/>
  <c r="N417" i="29"/>
  <c r="AI417" i="29" s="1"/>
  <c r="E530" i="29"/>
  <c r="F435" i="29"/>
  <c r="F434" i="29"/>
  <c r="H231" i="29"/>
  <c r="H232" i="29"/>
  <c r="G318" i="29"/>
  <c r="G319" i="29"/>
  <c r="H246" i="29"/>
  <c r="H245" i="29"/>
  <c r="H259" i="29"/>
  <c r="H260" i="29"/>
  <c r="G306" i="29"/>
  <c r="G305" i="29"/>
  <c r="G304" i="29"/>
  <c r="E331" i="29"/>
  <c r="E447" i="29" s="1"/>
  <c r="E517" i="29" s="1"/>
  <c r="I336" i="29"/>
  <c r="I335" i="29"/>
  <c r="I364" i="29"/>
  <c r="I363" i="29"/>
  <c r="G291" i="29"/>
  <c r="G290" i="29"/>
  <c r="I350" i="29"/>
  <c r="I349" i="29"/>
  <c r="H317" i="29"/>
  <c r="H321" i="29" s="1"/>
  <c r="M430" i="29"/>
  <c r="J199" i="29"/>
  <c r="J213" i="29"/>
  <c r="J185" i="29"/>
  <c r="G309" i="29"/>
  <c r="H226" i="29"/>
  <c r="H227" i="29" s="1"/>
  <c r="L32" i="29"/>
  <c r="K183" i="29"/>
  <c r="I432" i="29"/>
  <c r="G310" i="29"/>
  <c r="R31" i="29"/>
  <c r="R414" i="29" s="1"/>
  <c r="R516" i="29" s="1"/>
  <c r="G433" i="29"/>
  <c r="G308" i="29"/>
  <c r="G314" i="29"/>
  <c r="F527" i="29"/>
  <c r="E497" i="29"/>
  <c r="E533" i="29" s="1"/>
  <c r="G315" i="29"/>
  <c r="G313" i="29"/>
  <c r="G312" i="29"/>
  <c r="G286" i="29"/>
  <c r="G452" i="29"/>
  <c r="G462" i="29" s="1"/>
  <c r="G311" i="29"/>
  <c r="F461" i="29"/>
  <c r="F463" i="29" s="1"/>
  <c r="E536" i="29"/>
  <c r="Q477" i="29"/>
  <c r="Q479" i="29" s="1"/>
  <c r="E532" i="29"/>
  <c r="E546" i="29" s="1"/>
  <c r="E560" i="29" s="1"/>
  <c r="R390" i="29"/>
  <c r="R478" i="29"/>
  <c r="E446" i="29"/>
  <c r="H375" i="29"/>
  <c r="H376" i="29" s="1"/>
  <c r="S539" i="29"/>
  <c r="S549" i="29" s="1"/>
  <c r="S389" i="29"/>
  <c r="F23" i="29"/>
  <c r="I226" i="29"/>
  <c r="I227" i="29" s="1"/>
  <c r="F330" i="29"/>
  <c r="G271" i="29"/>
  <c r="G272" i="29" s="1"/>
  <c r="F285" i="29"/>
  <c r="AI423" i="29"/>
  <c r="F444" i="29"/>
  <c r="F537" i="29" s="1"/>
  <c r="E547" i="29"/>
  <c r="E561" i="29" s="1"/>
  <c r="F438" i="29"/>
  <c r="F529" i="29" s="1"/>
  <c r="F443" i="29"/>
  <c r="F536" i="29" s="1"/>
  <c r="G327" i="29"/>
  <c r="H274" i="29"/>
  <c r="H450" i="29" s="1"/>
  <c r="H284" i="29"/>
  <c r="H460" i="29" s="1"/>
  <c r="H279" i="29"/>
  <c r="H455" i="29" s="1"/>
  <c r="G300" i="29"/>
  <c r="G280" i="29"/>
  <c r="G456" i="29" s="1"/>
  <c r="G275" i="29"/>
  <c r="G451" i="29" s="1"/>
  <c r="J84" i="14"/>
  <c r="J85" i="14"/>
  <c r="K86" i="14" s="1"/>
  <c r="I244" i="29"/>
  <c r="I258" i="29"/>
  <c r="I230" i="29"/>
  <c r="K33" i="29"/>
  <c r="J228" i="29"/>
  <c r="H235" i="29"/>
  <c r="H242" i="29"/>
  <c r="H233" i="29"/>
  <c r="H241" i="29"/>
  <c r="H240" i="29"/>
  <c r="H236" i="29"/>
  <c r="H239" i="29"/>
  <c r="H237" i="29"/>
  <c r="H238" i="29"/>
  <c r="H234" i="29"/>
  <c r="H251" i="29"/>
  <c r="H253" i="29"/>
  <c r="H255" i="29"/>
  <c r="H250" i="29"/>
  <c r="H256" i="29"/>
  <c r="H249" i="29"/>
  <c r="H254" i="29"/>
  <c r="H252" i="29"/>
  <c r="H248" i="29"/>
  <c r="H247" i="29"/>
  <c r="H262" i="29"/>
  <c r="H261" i="29"/>
  <c r="H270" i="29"/>
  <c r="H264" i="29"/>
  <c r="H268" i="29"/>
  <c r="H263" i="29"/>
  <c r="H269" i="29"/>
  <c r="H266" i="29"/>
  <c r="H267" i="29"/>
  <c r="H265" i="29"/>
  <c r="E126" i="14"/>
  <c r="E128" i="14" s="1"/>
  <c r="F127" i="14" s="1"/>
  <c r="E138" i="14"/>
  <c r="E139" i="14" s="1"/>
  <c r="G140" i="14" s="1"/>
  <c r="F105" i="14"/>
  <c r="F107" i="14" s="1"/>
  <c r="G106" i="14" s="1"/>
  <c r="F228" i="14"/>
  <c r="E257" i="14" s="1"/>
  <c r="E261" i="14" s="1"/>
  <c r="G88" i="14"/>
  <c r="H89" i="14" s="1"/>
  <c r="G91" i="14"/>
  <c r="H92" i="14" s="1"/>
  <c r="H93" i="14" s="1"/>
  <c r="F441" i="29"/>
  <c r="G299" i="29"/>
  <c r="F440" i="29"/>
  <c r="G297" i="29"/>
  <c r="G295" i="29"/>
  <c r="J36" i="29"/>
  <c r="J490" i="29" s="1"/>
  <c r="F445" i="29"/>
  <c r="F538" i="29" s="1"/>
  <c r="I287" i="29"/>
  <c r="F442" i="29"/>
  <c r="F535" i="29" s="1"/>
  <c r="L237" i="14"/>
  <c r="O22" i="14"/>
  <c r="N205" i="14"/>
  <c r="M237" i="14" s="1"/>
  <c r="N113" i="14"/>
  <c r="N12" i="29"/>
  <c r="N42" i="14"/>
  <c r="N72" i="14" s="1"/>
  <c r="N81" i="14" s="1"/>
  <c r="M486" i="29"/>
  <c r="M484" i="29" s="1"/>
  <c r="M514" i="29"/>
  <c r="G298" i="29"/>
  <c r="F437" i="29"/>
  <c r="F436" i="29"/>
  <c r="G293" i="29"/>
  <c r="G294" i="29"/>
  <c r="G301" i="29"/>
  <c r="G296" i="29"/>
  <c r="G292" i="29"/>
  <c r="G324" i="29"/>
  <c r="F439" i="29"/>
  <c r="G326" i="29"/>
  <c r="G323" i="29"/>
  <c r="H289" i="29"/>
  <c r="H303" i="29"/>
  <c r="I273" i="29"/>
  <c r="I449" i="29" s="1"/>
  <c r="I491" i="29"/>
  <c r="G328" i="29"/>
  <c r="G320" i="29"/>
  <c r="G325" i="29"/>
  <c r="G329" i="29"/>
  <c r="G321" i="29"/>
  <c r="G322" i="29"/>
  <c r="G494" i="29"/>
  <c r="J491" i="29"/>
  <c r="J273" i="29"/>
  <c r="J449" i="29" s="1"/>
  <c r="K35" i="29"/>
  <c r="G493" i="29"/>
  <c r="G492" i="29"/>
  <c r="F126" i="14"/>
  <c r="R563" i="29"/>
  <c r="I345" i="29"/>
  <c r="I346" i="29"/>
  <c r="I344" i="29"/>
  <c r="I342" i="29"/>
  <c r="I338" i="29"/>
  <c r="I340" i="29"/>
  <c r="I343" i="29"/>
  <c r="I339" i="29"/>
  <c r="I337" i="29"/>
  <c r="I341" i="29"/>
  <c r="I370" i="29"/>
  <c r="I371" i="29"/>
  <c r="I369" i="29"/>
  <c r="I367" i="29"/>
  <c r="I374" i="29"/>
  <c r="I373" i="29"/>
  <c r="I368" i="29"/>
  <c r="I372" i="29"/>
  <c r="I366" i="29"/>
  <c r="I365" i="29"/>
  <c r="I352" i="29"/>
  <c r="I354" i="29"/>
  <c r="I360" i="29"/>
  <c r="I357" i="29"/>
  <c r="I351" i="29"/>
  <c r="I353" i="29"/>
  <c r="I355" i="29"/>
  <c r="I359" i="29"/>
  <c r="I358" i="29"/>
  <c r="I356" i="29"/>
  <c r="L37" i="29"/>
  <c r="K332" i="29"/>
  <c r="J348" i="29"/>
  <c r="J362" i="29"/>
  <c r="J334" i="29"/>
  <c r="X150" i="14"/>
  <c r="Y149" i="14"/>
  <c r="J391" i="29"/>
  <c r="J41" i="29"/>
  <c r="J22" i="29"/>
  <c r="J500" i="29" s="1"/>
  <c r="K165" i="14"/>
  <c r="J131" i="14"/>
  <c r="K82" i="14" s="1"/>
  <c r="D566" i="29"/>
  <c r="E559" i="29"/>
  <c r="G104" i="14"/>
  <c r="G103" i="14"/>
  <c r="H101" i="14" s="1"/>
  <c r="T156" i="14"/>
  <c r="T157" i="14" s="1"/>
  <c r="U505" i="29"/>
  <c r="U506" i="29" s="1"/>
  <c r="U378" i="29"/>
  <c r="U466" i="29" s="1"/>
  <c r="U229" i="14"/>
  <c r="T258" i="14" s="1"/>
  <c r="U76" i="14"/>
  <c r="U122" i="14" s="1"/>
  <c r="T79" i="14" s="1"/>
  <c r="T78" i="14" s="1"/>
  <c r="W193" i="14"/>
  <c r="W40" i="29" s="1"/>
  <c r="W194" i="14"/>
  <c r="T384" i="29"/>
  <c r="T472" i="29" s="1"/>
  <c r="T386" i="29"/>
  <c r="T474" i="29" s="1"/>
  <c r="T388" i="29"/>
  <c r="T476" i="29" s="1"/>
  <c r="T381" i="29"/>
  <c r="T469" i="29" s="1"/>
  <c r="T382" i="29"/>
  <c r="T470" i="29" s="1"/>
  <c r="T385" i="29"/>
  <c r="T473" i="29" s="1"/>
  <c r="T387" i="29"/>
  <c r="T475" i="29" s="1"/>
  <c r="T379" i="29"/>
  <c r="T467" i="29" s="1"/>
  <c r="T380" i="29"/>
  <c r="T468" i="29" s="1"/>
  <c r="T383" i="29"/>
  <c r="T471" i="29" s="1"/>
  <c r="X197" i="14"/>
  <c r="X198" i="14"/>
  <c r="R124" i="14"/>
  <c r="R119" i="14" s="1"/>
  <c r="R231" i="14"/>
  <c r="Q260" i="14" s="1"/>
  <c r="W189" i="14"/>
  <c r="W190" i="14"/>
  <c r="V75" i="14"/>
  <c r="V39" i="29"/>
  <c r="T129" i="14"/>
  <c r="E262" i="14" l="1"/>
  <c r="F543" i="29"/>
  <c r="F544" i="29" s="1"/>
  <c r="O425" i="29"/>
  <c r="O421" i="29"/>
  <c r="O418" i="29"/>
  <c r="O526" i="29"/>
  <c r="O420" i="29"/>
  <c r="O423" i="29"/>
  <c r="O419" i="29"/>
  <c r="P415" i="29"/>
  <c r="O416" i="29"/>
  <c r="AI181" i="29"/>
  <c r="AI182" i="29" s="1"/>
  <c r="O427" i="29"/>
  <c r="O426" i="29"/>
  <c r="O417" i="29"/>
  <c r="N428" i="29"/>
  <c r="AI428" i="29" s="1"/>
  <c r="O424" i="29"/>
  <c r="O422" i="29"/>
  <c r="Q154" i="29"/>
  <c r="Q140" i="29"/>
  <c r="Q168" i="29"/>
  <c r="O181" i="29"/>
  <c r="O182" i="29" s="1"/>
  <c r="O429" i="29" s="1"/>
  <c r="P158" i="29"/>
  <c r="P157" i="29"/>
  <c r="P164" i="29"/>
  <c r="P163" i="29"/>
  <c r="P161" i="29"/>
  <c r="P156" i="29"/>
  <c r="P155" i="29"/>
  <c r="P165" i="29"/>
  <c r="P166" i="29"/>
  <c r="P160" i="29"/>
  <c r="P162" i="29"/>
  <c r="P159" i="29"/>
  <c r="E488" i="29"/>
  <c r="E501" i="29" s="1"/>
  <c r="P169" i="29"/>
  <c r="P173" i="29"/>
  <c r="P176" i="29"/>
  <c r="P171" i="29"/>
  <c r="P177" i="29"/>
  <c r="P178" i="29"/>
  <c r="P174" i="29"/>
  <c r="P179" i="29"/>
  <c r="P172" i="29"/>
  <c r="P180" i="29"/>
  <c r="P170" i="29"/>
  <c r="P175" i="29"/>
  <c r="P147" i="29"/>
  <c r="P149" i="29"/>
  <c r="P143" i="29"/>
  <c r="P141" i="29"/>
  <c r="P148" i="29"/>
  <c r="P150" i="29"/>
  <c r="P144" i="29"/>
  <c r="P142" i="29"/>
  <c r="P146" i="29"/>
  <c r="P151" i="29"/>
  <c r="P152" i="29"/>
  <c r="P145" i="29"/>
  <c r="F534" i="29"/>
  <c r="F521" i="29"/>
  <c r="F533" i="29"/>
  <c r="G434" i="29"/>
  <c r="R138" i="29"/>
  <c r="G435" i="29"/>
  <c r="H323" i="29"/>
  <c r="H324" i="29"/>
  <c r="H320" i="29"/>
  <c r="H326" i="29"/>
  <c r="E448" i="29"/>
  <c r="H322" i="29"/>
  <c r="H327" i="29"/>
  <c r="H328" i="29"/>
  <c r="H325" i="29"/>
  <c r="H329" i="29"/>
  <c r="J336" i="29"/>
  <c r="J335" i="29"/>
  <c r="J364" i="29"/>
  <c r="J363" i="29"/>
  <c r="J350" i="29"/>
  <c r="J349" i="29"/>
  <c r="I232" i="29"/>
  <c r="I231" i="29"/>
  <c r="I259" i="29"/>
  <c r="I260" i="29"/>
  <c r="I317" i="29"/>
  <c r="I322" i="29" s="1"/>
  <c r="I245" i="29"/>
  <c r="I246" i="29"/>
  <c r="H318" i="29"/>
  <c r="H319" i="29"/>
  <c r="H305" i="29"/>
  <c r="H304" i="29"/>
  <c r="H290" i="29"/>
  <c r="H291" i="29"/>
  <c r="F331" i="29"/>
  <c r="F447" i="29" s="1"/>
  <c r="F517" i="29" s="1"/>
  <c r="J186" i="29"/>
  <c r="J187" i="29"/>
  <c r="J214" i="29"/>
  <c r="J215" i="29"/>
  <c r="J201" i="29"/>
  <c r="J200" i="29"/>
  <c r="H433" i="29"/>
  <c r="E548" i="29"/>
  <c r="J189" i="29"/>
  <c r="J195" i="29"/>
  <c r="J197" i="29"/>
  <c r="J190" i="29"/>
  <c r="J188" i="29"/>
  <c r="J191" i="29"/>
  <c r="J193" i="29"/>
  <c r="J194" i="29"/>
  <c r="J196" i="29"/>
  <c r="J192" i="29"/>
  <c r="J219" i="29"/>
  <c r="J220" i="29"/>
  <c r="J217" i="29"/>
  <c r="J218" i="29"/>
  <c r="J223" i="29"/>
  <c r="J224" i="29"/>
  <c r="J221" i="29"/>
  <c r="J222" i="29"/>
  <c r="J216" i="29"/>
  <c r="J225" i="29"/>
  <c r="J209" i="29"/>
  <c r="J211" i="29"/>
  <c r="J208" i="29"/>
  <c r="J204" i="29"/>
  <c r="J203" i="29"/>
  <c r="J202" i="29"/>
  <c r="J205" i="29"/>
  <c r="J210" i="29"/>
  <c r="J207" i="29"/>
  <c r="J206" i="29"/>
  <c r="K199" i="29"/>
  <c r="K213" i="29"/>
  <c r="K185" i="29"/>
  <c r="M32" i="29"/>
  <c r="L183" i="29"/>
  <c r="J432" i="29"/>
  <c r="S31" i="29"/>
  <c r="S414" i="29" s="1"/>
  <c r="S516" i="29" s="1"/>
  <c r="F528" i="29"/>
  <c r="AI429" i="29"/>
  <c r="G527" i="29"/>
  <c r="G461" i="29"/>
  <c r="G463" i="29" s="1"/>
  <c r="S390" i="29"/>
  <c r="S478" i="29"/>
  <c r="F446" i="29"/>
  <c r="F532" i="29"/>
  <c r="F546" i="29" s="1"/>
  <c r="F560" i="29" s="1"/>
  <c r="R477" i="29"/>
  <c r="R479" i="29" s="1"/>
  <c r="I375" i="29"/>
  <c r="I376" i="29" s="1"/>
  <c r="T389" i="29"/>
  <c r="G330" i="29"/>
  <c r="H271" i="29"/>
  <c r="H272" i="29" s="1"/>
  <c r="H495" i="29"/>
  <c r="G285" i="29"/>
  <c r="G443" i="29"/>
  <c r="G536" i="29" s="1"/>
  <c r="F520" i="29"/>
  <c r="F547" i="29"/>
  <c r="F561" i="29" s="1"/>
  <c r="G444" i="29"/>
  <c r="G537" i="29" s="1"/>
  <c r="H281" i="29"/>
  <c r="H457" i="29" s="1"/>
  <c r="H283" i="29"/>
  <c r="H459" i="29" s="1"/>
  <c r="H282" i="29"/>
  <c r="H458" i="29" s="1"/>
  <c r="J284" i="29"/>
  <c r="J460" i="29" s="1"/>
  <c r="J279" i="29"/>
  <c r="J455" i="29" s="1"/>
  <c r="J274" i="29"/>
  <c r="J450" i="29" s="1"/>
  <c r="H309" i="29"/>
  <c r="H278" i="29"/>
  <c r="H454" i="29" s="1"/>
  <c r="H276" i="29"/>
  <c r="H452" i="29" s="1"/>
  <c r="H277" i="29"/>
  <c r="H453" i="29" s="1"/>
  <c r="I274" i="29"/>
  <c r="I450" i="29" s="1"/>
  <c r="I284" i="29"/>
  <c r="I460" i="29" s="1"/>
  <c r="I279" i="29"/>
  <c r="I455" i="29" s="1"/>
  <c r="H294" i="29"/>
  <c r="J244" i="29"/>
  <c r="J230" i="29"/>
  <c r="J258" i="29"/>
  <c r="L33" i="29"/>
  <c r="K228" i="29"/>
  <c r="I235" i="29"/>
  <c r="I240" i="29"/>
  <c r="I239" i="29"/>
  <c r="I237" i="29"/>
  <c r="I236" i="29"/>
  <c r="I242" i="29"/>
  <c r="I234" i="29"/>
  <c r="I233" i="29"/>
  <c r="I241" i="29"/>
  <c r="I238" i="29"/>
  <c r="K85" i="14"/>
  <c r="L86" i="14" s="1"/>
  <c r="K84" i="14"/>
  <c r="I266" i="29"/>
  <c r="I264" i="29"/>
  <c r="I262" i="29"/>
  <c r="I261" i="29"/>
  <c r="I270" i="29"/>
  <c r="I268" i="29"/>
  <c r="I263" i="29"/>
  <c r="I269" i="29"/>
  <c r="I265" i="29"/>
  <c r="I267" i="29"/>
  <c r="I250" i="29"/>
  <c r="I249" i="29"/>
  <c r="I251" i="29"/>
  <c r="I254" i="29"/>
  <c r="I255" i="29"/>
  <c r="I252" i="29"/>
  <c r="I248" i="29"/>
  <c r="I247" i="29"/>
  <c r="I256" i="29"/>
  <c r="I253" i="29"/>
  <c r="H94" i="14"/>
  <c r="I95" i="14" s="1"/>
  <c r="I96" i="14" s="1"/>
  <c r="I97" i="14" s="1"/>
  <c r="J98" i="14" s="1"/>
  <c r="J99" i="14" s="1"/>
  <c r="F128" i="14"/>
  <c r="G127" i="14" s="1"/>
  <c r="F141" i="14"/>
  <c r="F142" i="14" s="1"/>
  <c r="E141" i="14"/>
  <c r="E142" i="14" s="1"/>
  <c r="F140" i="14"/>
  <c r="H90" i="14"/>
  <c r="H87" i="14" s="1"/>
  <c r="H102" i="14" s="1"/>
  <c r="H104" i="14" s="1"/>
  <c r="G441" i="29"/>
  <c r="G439" i="29"/>
  <c r="H296" i="29"/>
  <c r="G442" i="29"/>
  <c r="G535" i="29" s="1"/>
  <c r="G445" i="29"/>
  <c r="G538" i="29" s="1"/>
  <c r="G436" i="29"/>
  <c r="G437" i="29"/>
  <c r="H297" i="29"/>
  <c r="I303" i="29"/>
  <c r="I289" i="29"/>
  <c r="H301" i="29"/>
  <c r="H293" i="29"/>
  <c r="H307" i="29"/>
  <c r="H314" i="29"/>
  <c r="H313" i="29"/>
  <c r="H312" i="29"/>
  <c r="K36" i="29"/>
  <c r="L36" i="29" s="1"/>
  <c r="J287" i="29"/>
  <c r="H299" i="29"/>
  <c r="H298" i="29"/>
  <c r="H292" i="29"/>
  <c r="H300" i="29"/>
  <c r="G438" i="29"/>
  <c r="G529" i="29" s="1"/>
  <c r="N486" i="29"/>
  <c r="N484" i="29" s="1"/>
  <c r="N514" i="29"/>
  <c r="AI12" i="29"/>
  <c r="P22" i="14"/>
  <c r="O113" i="14"/>
  <c r="O12" i="29"/>
  <c r="O205" i="14"/>
  <c r="N237" i="14" s="1"/>
  <c r="O42" i="14"/>
  <c r="O72" i="14" s="1"/>
  <c r="O81" i="14" s="1"/>
  <c r="G440" i="29"/>
  <c r="H315" i="29"/>
  <c r="H310" i="29"/>
  <c r="H306" i="29"/>
  <c r="H308" i="29"/>
  <c r="F530" i="29"/>
  <c r="H311" i="29"/>
  <c r="H295" i="29"/>
  <c r="K273" i="29"/>
  <c r="K449" i="29" s="1"/>
  <c r="L35" i="29"/>
  <c r="K491" i="29"/>
  <c r="S563" i="29"/>
  <c r="J340" i="29"/>
  <c r="J339" i="29"/>
  <c r="J345" i="29"/>
  <c r="J342" i="29"/>
  <c r="J341" i="29"/>
  <c r="J344" i="29"/>
  <c r="J343" i="29"/>
  <c r="J337" i="29"/>
  <c r="J338" i="29"/>
  <c r="J346" i="29"/>
  <c r="J370" i="29"/>
  <c r="J371" i="29"/>
  <c r="J374" i="29"/>
  <c r="J369" i="29"/>
  <c r="J367" i="29"/>
  <c r="J366" i="29"/>
  <c r="J372" i="29"/>
  <c r="J368" i="29"/>
  <c r="J365" i="29"/>
  <c r="J373" i="29"/>
  <c r="J352" i="29"/>
  <c r="J355" i="29"/>
  <c r="J356" i="29"/>
  <c r="J357" i="29"/>
  <c r="J360" i="29"/>
  <c r="J353" i="29"/>
  <c r="J359" i="29"/>
  <c r="J351" i="29"/>
  <c r="J354" i="29"/>
  <c r="J358" i="29"/>
  <c r="K334" i="29"/>
  <c r="K348" i="29"/>
  <c r="K362" i="29"/>
  <c r="M37" i="29"/>
  <c r="L332" i="29"/>
  <c r="Z149" i="14"/>
  <c r="Y150" i="14"/>
  <c r="K22" i="29"/>
  <c r="K500" i="29" s="1"/>
  <c r="K391" i="29"/>
  <c r="K41" i="29"/>
  <c r="L165" i="14"/>
  <c r="K131" i="14"/>
  <c r="L82" i="14" s="1"/>
  <c r="F559" i="29"/>
  <c r="G559" i="29" s="1"/>
  <c r="H559" i="29" s="1"/>
  <c r="I559" i="29" s="1"/>
  <c r="J559" i="29" s="1"/>
  <c r="K559" i="29" s="1"/>
  <c r="L559" i="29" s="1"/>
  <c r="M559" i="29" s="1"/>
  <c r="N559" i="29" s="1"/>
  <c r="O559" i="29" s="1"/>
  <c r="P559" i="29" s="1"/>
  <c r="Q559" i="29" s="1"/>
  <c r="R559" i="29" s="1"/>
  <c r="S559" i="29" s="1"/>
  <c r="T559" i="29" s="1"/>
  <c r="U559" i="29" s="1"/>
  <c r="V559" i="29" s="1"/>
  <c r="W559" i="29" s="1"/>
  <c r="X559" i="29" s="1"/>
  <c r="Y559" i="29" s="1"/>
  <c r="Z559" i="29" s="1"/>
  <c r="AA559" i="29" s="1"/>
  <c r="AB559" i="29" s="1"/>
  <c r="AC559" i="29" s="1"/>
  <c r="AD559" i="29" s="1"/>
  <c r="AE559" i="29" s="1"/>
  <c r="AF559" i="29" s="1"/>
  <c r="AG559" i="29" s="1"/>
  <c r="AH559" i="29" s="1"/>
  <c r="T539" i="29"/>
  <c r="T549" i="29" s="1"/>
  <c r="G17" i="29"/>
  <c r="G83" i="14"/>
  <c r="G228" i="14" s="1"/>
  <c r="F257" i="14" s="1"/>
  <c r="F261" i="14" s="1"/>
  <c r="Y197" i="14"/>
  <c r="Y198" i="14"/>
  <c r="U129" i="14"/>
  <c r="V505" i="29"/>
  <c r="V506" i="29" s="1"/>
  <c r="V378" i="29"/>
  <c r="V466" i="29" s="1"/>
  <c r="V76" i="14"/>
  <c r="V122" i="14" s="1"/>
  <c r="U79" i="14" s="1"/>
  <c r="U78" i="14" s="1"/>
  <c r="V229" i="14"/>
  <c r="U258" i="14" s="1"/>
  <c r="U386" i="29"/>
  <c r="U474" i="29" s="1"/>
  <c r="U384" i="29"/>
  <c r="U472" i="29" s="1"/>
  <c r="U388" i="29"/>
  <c r="U476" i="29" s="1"/>
  <c r="U382" i="29"/>
  <c r="U470" i="29" s="1"/>
  <c r="U381" i="29"/>
  <c r="U469" i="29" s="1"/>
  <c r="U380" i="29"/>
  <c r="U468" i="29" s="1"/>
  <c r="U379" i="29"/>
  <c r="U467" i="29" s="1"/>
  <c r="U385" i="29"/>
  <c r="U473" i="29" s="1"/>
  <c r="U387" i="29"/>
  <c r="U475" i="29" s="1"/>
  <c r="U383" i="29"/>
  <c r="U471" i="29" s="1"/>
  <c r="X189" i="14"/>
  <c r="X190" i="14"/>
  <c r="X193" i="14"/>
  <c r="X40" i="29" s="1"/>
  <c r="X194" i="14"/>
  <c r="S231" i="14"/>
  <c r="R260" i="14" s="1"/>
  <c r="S124" i="14"/>
  <c r="S119" i="14" s="1"/>
  <c r="W75" i="14"/>
  <c r="W39" i="29"/>
  <c r="F262" i="14" l="1"/>
  <c r="G543" i="29"/>
  <c r="G544" i="29" s="1"/>
  <c r="N430" i="29"/>
  <c r="Q415" i="29"/>
  <c r="P420" i="29"/>
  <c r="P418" i="29"/>
  <c r="P416" i="29"/>
  <c r="P419" i="29"/>
  <c r="O428" i="29"/>
  <c r="O430" i="29" s="1"/>
  <c r="P417" i="29"/>
  <c r="P422" i="29"/>
  <c r="P423" i="29"/>
  <c r="P526" i="29"/>
  <c r="P426" i="29"/>
  <c r="P427" i="29"/>
  <c r="P421" i="29"/>
  <c r="I323" i="29"/>
  <c r="I320" i="29"/>
  <c r="I321" i="29"/>
  <c r="G18" i="29"/>
  <c r="G496" i="29" s="1"/>
  <c r="G20" i="29"/>
  <c r="G498" i="29" s="1"/>
  <c r="G534" i="29" s="1"/>
  <c r="G19" i="29"/>
  <c r="G497" i="29" s="1"/>
  <c r="G533" i="29" s="1"/>
  <c r="P424" i="29"/>
  <c r="P425" i="29"/>
  <c r="P181" i="29"/>
  <c r="P182" i="29" s="1"/>
  <c r="P429" i="29" s="1"/>
  <c r="Q176" i="29"/>
  <c r="Q180" i="29"/>
  <c r="Q175" i="29"/>
  <c r="Q171" i="29"/>
  <c r="Q173" i="29"/>
  <c r="Q178" i="29"/>
  <c r="Q169" i="29"/>
  <c r="Q170" i="29"/>
  <c r="Q172" i="29"/>
  <c r="Q174" i="29"/>
  <c r="Q179" i="29"/>
  <c r="Q177" i="29"/>
  <c r="Q148" i="29"/>
  <c r="Q144" i="29"/>
  <c r="Q145" i="29"/>
  <c r="Q152" i="29"/>
  <c r="Q141" i="29"/>
  <c r="Q146" i="29"/>
  <c r="Q149" i="29"/>
  <c r="Q142" i="29"/>
  <c r="Q147" i="29"/>
  <c r="Q143" i="29"/>
  <c r="Q150" i="29"/>
  <c r="Q151" i="29"/>
  <c r="Q161" i="29"/>
  <c r="Q156" i="29"/>
  <c r="Q166" i="29"/>
  <c r="Q163" i="29"/>
  <c r="Q424" i="29" s="1"/>
  <c r="Q164" i="29"/>
  <c r="Q160" i="29"/>
  <c r="Q155" i="29"/>
  <c r="Q165" i="29"/>
  <c r="Q162" i="29"/>
  <c r="Q158" i="29"/>
  <c r="Q159" i="29"/>
  <c r="Q157" i="29"/>
  <c r="R168" i="29"/>
  <c r="R154" i="29"/>
  <c r="R140" i="29"/>
  <c r="G521" i="29"/>
  <c r="F548" i="29"/>
  <c r="F552" i="29" s="1"/>
  <c r="I328" i="29"/>
  <c r="I325" i="29"/>
  <c r="I327" i="29"/>
  <c r="I326" i="29"/>
  <c r="I329" i="29"/>
  <c r="I324" i="29"/>
  <c r="F522" i="29"/>
  <c r="H435" i="29"/>
  <c r="E507" i="29"/>
  <c r="H434" i="29"/>
  <c r="F448" i="29"/>
  <c r="S138" i="29"/>
  <c r="K350" i="29"/>
  <c r="K349" i="29"/>
  <c r="K335" i="29"/>
  <c r="K336" i="29"/>
  <c r="J245" i="29"/>
  <c r="J246" i="29"/>
  <c r="K200" i="29"/>
  <c r="K201" i="29"/>
  <c r="J317" i="29"/>
  <c r="J325" i="29" s="1"/>
  <c r="I290" i="29"/>
  <c r="I291" i="29"/>
  <c r="I305" i="29"/>
  <c r="I304" i="29"/>
  <c r="K363" i="29"/>
  <c r="K364" i="29"/>
  <c r="J259" i="29"/>
  <c r="J260" i="29"/>
  <c r="G331" i="29"/>
  <c r="G447" i="29" s="1"/>
  <c r="G517" i="29" s="1"/>
  <c r="K187" i="29"/>
  <c r="K186" i="29"/>
  <c r="I319" i="29"/>
  <c r="I318" i="29"/>
  <c r="J232" i="29"/>
  <c r="J231" i="29"/>
  <c r="K214" i="29"/>
  <c r="K215" i="29"/>
  <c r="I433" i="29"/>
  <c r="L432" i="29"/>
  <c r="J226" i="29"/>
  <c r="J227" i="29" s="1"/>
  <c r="K191" i="29"/>
  <c r="K194" i="29"/>
  <c r="K189" i="29"/>
  <c r="K193" i="29"/>
  <c r="K188" i="29"/>
  <c r="K192" i="29"/>
  <c r="K190" i="29"/>
  <c r="K197" i="29"/>
  <c r="K196" i="29"/>
  <c r="K195" i="29"/>
  <c r="N32" i="29"/>
  <c r="AI32" i="29" s="1"/>
  <c r="M183" i="29"/>
  <c r="K223" i="29"/>
  <c r="K216" i="29"/>
  <c r="K218" i="29"/>
  <c r="K222" i="29"/>
  <c r="K219" i="29"/>
  <c r="K217" i="29"/>
  <c r="K224" i="29"/>
  <c r="K225" i="29"/>
  <c r="K221" i="29"/>
  <c r="K220" i="29"/>
  <c r="K202" i="29"/>
  <c r="K208" i="29"/>
  <c r="K203" i="29"/>
  <c r="K206" i="29"/>
  <c r="K211" i="29"/>
  <c r="K209" i="29"/>
  <c r="K205" i="29"/>
  <c r="K207" i="29"/>
  <c r="K204" i="29"/>
  <c r="K210" i="29"/>
  <c r="AI430" i="29"/>
  <c r="L199" i="29"/>
  <c r="L185" i="29"/>
  <c r="L213" i="29"/>
  <c r="K432" i="29"/>
  <c r="T31" i="29"/>
  <c r="T414" i="29" s="1"/>
  <c r="T516" i="29" s="1"/>
  <c r="H462" i="29"/>
  <c r="G446" i="29"/>
  <c r="G530" i="29"/>
  <c r="G532" i="29"/>
  <c r="G546" i="29" s="1"/>
  <c r="G560" i="29" s="1"/>
  <c r="S477" i="29"/>
  <c r="S479" i="29" s="1"/>
  <c r="T390" i="29"/>
  <c r="T478" i="29"/>
  <c r="J375" i="29"/>
  <c r="J376" i="29" s="1"/>
  <c r="U389" i="29"/>
  <c r="H330" i="29"/>
  <c r="H331" i="29" s="1"/>
  <c r="I271" i="29"/>
  <c r="I272" i="29" s="1"/>
  <c r="H286" i="29"/>
  <c r="I495" i="29"/>
  <c r="J495" i="29"/>
  <c r="AI514" i="29"/>
  <c r="H439" i="29"/>
  <c r="H438" i="29"/>
  <c r="H529" i="29" s="1"/>
  <c r="H492" i="29"/>
  <c r="H494" i="29"/>
  <c r="I298" i="29"/>
  <c r="K287" i="29"/>
  <c r="E562" i="29"/>
  <c r="I293" i="29"/>
  <c r="H440" i="29"/>
  <c r="L490" i="29"/>
  <c r="H275" i="29"/>
  <c r="H451" i="29" s="1"/>
  <c r="H280" i="29"/>
  <c r="H456" i="29" s="1"/>
  <c r="H443" i="29"/>
  <c r="J282" i="29"/>
  <c r="J458" i="29" s="1"/>
  <c r="J283" i="29"/>
  <c r="J459" i="29" s="1"/>
  <c r="J281" i="29"/>
  <c r="J457" i="29" s="1"/>
  <c r="K279" i="29"/>
  <c r="K455" i="29" s="1"/>
  <c r="K284" i="29"/>
  <c r="K460" i="29" s="1"/>
  <c r="K274" i="29"/>
  <c r="K450" i="29" s="1"/>
  <c r="I283" i="29"/>
  <c r="I459" i="29" s="1"/>
  <c r="I281" i="29"/>
  <c r="I457" i="29" s="1"/>
  <c r="I282" i="29"/>
  <c r="I458" i="29" s="1"/>
  <c r="I295" i="29"/>
  <c r="I276" i="29"/>
  <c r="I452" i="29" s="1"/>
  <c r="I277" i="29"/>
  <c r="I453" i="29" s="1"/>
  <c r="I278" i="29"/>
  <c r="I454" i="29" s="1"/>
  <c r="J278" i="29"/>
  <c r="J454" i="29" s="1"/>
  <c r="J276" i="29"/>
  <c r="J452" i="29" s="1"/>
  <c r="J277" i="29"/>
  <c r="J453" i="29" s="1"/>
  <c r="L85" i="14"/>
  <c r="M86" i="14" s="1"/>
  <c r="L84" i="14"/>
  <c r="K258" i="29"/>
  <c r="K244" i="29"/>
  <c r="K230" i="29"/>
  <c r="H444" i="29"/>
  <c r="M33" i="29"/>
  <c r="L228" i="29"/>
  <c r="J266" i="29"/>
  <c r="J264" i="29"/>
  <c r="J265" i="29"/>
  <c r="J262" i="29"/>
  <c r="J261" i="29"/>
  <c r="J270" i="29"/>
  <c r="J269" i="29"/>
  <c r="J268" i="29"/>
  <c r="J263" i="29"/>
  <c r="J267" i="29"/>
  <c r="J242" i="29"/>
  <c r="J237" i="29"/>
  <c r="J233" i="29"/>
  <c r="J239" i="29"/>
  <c r="J234" i="29"/>
  <c r="J241" i="29"/>
  <c r="J240" i="29"/>
  <c r="J236" i="29"/>
  <c r="J238" i="29"/>
  <c r="J235" i="29"/>
  <c r="J255" i="29"/>
  <c r="J249" i="29"/>
  <c r="J256" i="29"/>
  <c r="J252" i="29"/>
  <c r="J248" i="29"/>
  <c r="J247" i="29"/>
  <c r="J254" i="29"/>
  <c r="J251" i="29"/>
  <c r="J253" i="29"/>
  <c r="J250" i="29"/>
  <c r="H88" i="14"/>
  <c r="I89" i="14" s="1"/>
  <c r="H91" i="14"/>
  <c r="I92" i="14" s="1"/>
  <c r="I93" i="14" s="1"/>
  <c r="I94" i="14" s="1"/>
  <c r="J95" i="14" s="1"/>
  <c r="I294" i="29"/>
  <c r="I301" i="29"/>
  <c r="I297" i="29"/>
  <c r="I300" i="29"/>
  <c r="I292" i="29"/>
  <c r="F540" i="29"/>
  <c r="I296" i="29"/>
  <c r="I299" i="29"/>
  <c r="I307" i="29"/>
  <c r="I314" i="29"/>
  <c r="I311" i="29"/>
  <c r="I308" i="29"/>
  <c r="I313" i="29"/>
  <c r="I306" i="29"/>
  <c r="I310" i="29"/>
  <c r="I309" i="29"/>
  <c r="I315" i="29"/>
  <c r="I312" i="29"/>
  <c r="H445" i="29"/>
  <c r="H538" i="29" s="1"/>
  <c r="J303" i="29"/>
  <c r="H442" i="29"/>
  <c r="H535" i="29" s="1"/>
  <c r="H437" i="29"/>
  <c r="H441" i="29"/>
  <c r="K490" i="29"/>
  <c r="J289" i="29"/>
  <c r="T563" i="29"/>
  <c r="H436" i="29"/>
  <c r="G547" i="29"/>
  <c r="G561" i="29" s="1"/>
  <c r="O514" i="29"/>
  <c r="O486" i="29"/>
  <c r="O484" i="29" s="1"/>
  <c r="AI484" i="29"/>
  <c r="Q22" i="14"/>
  <c r="P205" i="14"/>
  <c r="O237" i="14" s="1"/>
  <c r="P12" i="29"/>
  <c r="P113" i="14"/>
  <c r="P42" i="14"/>
  <c r="P72" i="14" s="1"/>
  <c r="P81" i="14" s="1"/>
  <c r="AI486" i="29"/>
  <c r="H493" i="29"/>
  <c r="L491" i="29"/>
  <c r="L273" i="29"/>
  <c r="L449" i="29" s="1"/>
  <c r="M35" i="29"/>
  <c r="M36" i="29"/>
  <c r="L287" i="29"/>
  <c r="L348" i="29"/>
  <c r="L362" i="29"/>
  <c r="L334" i="29"/>
  <c r="N37" i="29"/>
  <c r="M332" i="29"/>
  <c r="K369" i="29"/>
  <c r="K374" i="29"/>
  <c r="K365" i="29"/>
  <c r="K373" i="29"/>
  <c r="K370" i="29"/>
  <c r="K372" i="29"/>
  <c r="K367" i="29"/>
  <c r="K366" i="29"/>
  <c r="K368" i="29"/>
  <c r="K371" i="29"/>
  <c r="K355" i="29"/>
  <c r="K352" i="29"/>
  <c r="K357" i="29"/>
  <c r="K360" i="29"/>
  <c r="K356" i="29"/>
  <c r="K353" i="29"/>
  <c r="K359" i="29"/>
  <c r="K358" i="29"/>
  <c r="K354" i="29"/>
  <c r="K351" i="29"/>
  <c r="K344" i="29"/>
  <c r="K341" i="29"/>
  <c r="K345" i="29"/>
  <c r="K338" i="29"/>
  <c r="K339" i="29"/>
  <c r="K337" i="29"/>
  <c r="K342" i="29"/>
  <c r="K343" i="29"/>
  <c r="K346" i="29"/>
  <c r="K340" i="29"/>
  <c r="Z150" i="14"/>
  <c r="AA149" i="14"/>
  <c r="AK559" i="29"/>
  <c r="L391" i="29"/>
  <c r="L22" i="29"/>
  <c r="L500" i="29" s="1"/>
  <c r="L41" i="29"/>
  <c r="M165" i="14"/>
  <c r="L131" i="14"/>
  <c r="M82" i="14" s="1"/>
  <c r="AI559" i="29"/>
  <c r="AJ559" i="29"/>
  <c r="H103" i="14"/>
  <c r="I101" i="14" s="1"/>
  <c r="J100" i="14"/>
  <c r="H17" i="29"/>
  <c r="H83" i="14"/>
  <c r="H228" i="14" s="1"/>
  <c r="G257" i="14" s="1"/>
  <c r="G261" i="14" s="1"/>
  <c r="G117" i="14"/>
  <c r="G111" i="14" s="1"/>
  <c r="G105" i="14"/>
  <c r="G107" i="14" s="1"/>
  <c r="H106" i="14" s="1"/>
  <c r="V129" i="14"/>
  <c r="Y193" i="14"/>
  <c r="Y40" i="29" s="1"/>
  <c r="Y194" i="14"/>
  <c r="AJ40" i="29"/>
  <c r="W76" i="14"/>
  <c r="W122" i="14" s="1"/>
  <c r="V79" i="14" s="1"/>
  <c r="V78" i="14" s="1"/>
  <c r="W229" i="14"/>
  <c r="V258" i="14" s="1"/>
  <c r="U156" i="14"/>
  <c r="U157" i="14" s="1"/>
  <c r="U539" i="29"/>
  <c r="U549" i="29" s="1"/>
  <c r="V156" i="14"/>
  <c r="V157" i="14" s="1"/>
  <c r="Z198" i="14"/>
  <c r="Z197" i="14"/>
  <c r="V384" i="29"/>
  <c r="V472" i="29" s="1"/>
  <c r="V386" i="29"/>
  <c r="V474" i="29" s="1"/>
  <c r="V388" i="29"/>
  <c r="V476" i="29" s="1"/>
  <c r="V382" i="29"/>
  <c r="V470" i="29" s="1"/>
  <c r="V381" i="29"/>
  <c r="V469" i="29" s="1"/>
  <c r="V387" i="29"/>
  <c r="V475" i="29" s="1"/>
  <c r="V383" i="29"/>
  <c r="V471" i="29" s="1"/>
  <c r="V380" i="29"/>
  <c r="V468" i="29" s="1"/>
  <c r="V385" i="29"/>
  <c r="V473" i="29" s="1"/>
  <c r="V379" i="29"/>
  <c r="V467" i="29" s="1"/>
  <c r="Y189" i="14"/>
  <c r="Y190" i="14"/>
  <c r="W505" i="29"/>
  <c r="W506" i="29" s="1"/>
  <c r="W378" i="29"/>
  <c r="W466" i="29" s="1"/>
  <c r="X75" i="14"/>
  <c r="X39" i="29"/>
  <c r="G262" i="14" l="1"/>
  <c r="H543" i="29"/>
  <c r="H544" i="29" s="1"/>
  <c r="Q426" i="29"/>
  <c r="Q418" i="29"/>
  <c r="P428" i="29"/>
  <c r="P430" i="29" s="1"/>
  <c r="Q425" i="29"/>
  <c r="T138" i="29"/>
  <c r="T168" i="29" s="1"/>
  <c r="Q422" i="29"/>
  <c r="Q421" i="29"/>
  <c r="Q427" i="29"/>
  <c r="Q416" i="29"/>
  <c r="R415" i="29"/>
  <c r="Q417" i="29"/>
  <c r="Q419" i="29"/>
  <c r="J321" i="29"/>
  <c r="J322" i="29"/>
  <c r="Q423" i="29"/>
  <c r="H19" i="29"/>
  <c r="H497" i="29" s="1"/>
  <c r="H533" i="29" s="1"/>
  <c r="H20" i="29"/>
  <c r="H498" i="29" s="1"/>
  <c r="H534" i="29" s="1"/>
  <c r="H18" i="29"/>
  <c r="H496" i="29" s="1"/>
  <c r="F562" i="29"/>
  <c r="Q420" i="29"/>
  <c r="Q526" i="29"/>
  <c r="G519" i="29"/>
  <c r="G488" i="29"/>
  <c r="G501" i="29" s="1"/>
  <c r="G507" i="29" s="1"/>
  <c r="S154" i="29"/>
  <c r="S140" i="29"/>
  <c r="S168" i="29"/>
  <c r="R150" i="29"/>
  <c r="R152" i="29"/>
  <c r="R149" i="29"/>
  <c r="R148" i="29"/>
  <c r="R141" i="29"/>
  <c r="R147" i="29"/>
  <c r="R151" i="29"/>
  <c r="R146" i="29"/>
  <c r="R144" i="29"/>
  <c r="R143" i="29"/>
  <c r="R142" i="29"/>
  <c r="R145" i="29"/>
  <c r="R165" i="29"/>
  <c r="R158" i="29"/>
  <c r="R160" i="29"/>
  <c r="R162" i="29"/>
  <c r="R163" i="29"/>
  <c r="R161" i="29"/>
  <c r="R164" i="29"/>
  <c r="R157" i="29"/>
  <c r="R156" i="29"/>
  <c r="R166" i="29"/>
  <c r="R155" i="29"/>
  <c r="R159" i="29"/>
  <c r="R179" i="29"/>
  <c r="R178" i="29"/>
  <c r="R170" i="29"/>
  <c r="R174" i="29"/>
  <c r="R173" i="29"/>
  <c r="R169" i="29"/>
  <c r="R177" i="29"/>
  <c r="R180" i="29"/>
  <c r="R176" i="29"/>
  <c r="R172" i="29"/>
  <c r="R175" i="29"/>
  <c r="R171" i="29"/>
  <c r="E520" i="29"/>
  <c r="E522" i="29" s="1"/>
  <c r="Q181" i="29"/>
  <c r="Q182" i="29" s="1"/>
  <c r="Q429" i="29" s="1"/>
  <c r="J328" i="29"/>
  <c r="J329" i="29"/>
  <c r="J323" i="29"/>
  <c r="J327" i="29"/>
  <c r="J324" i="29"/>
  <c r="H521" i="29"/>
  <c r="I434" i="29"/>
  <c r="E528" i="29"/>
  <c r="E540" i="29" s="1"/>
  <c r="E552" i="29"/>
  <c r="E553" i="29" s="1"/>
  <c r="E555" i="29" s="1"/>
  <c r="I435" i="29"/>
  <c r="J326" i="29"/>
  <c r="J320" i="29"/>
  <c r="G448" i="29"/>
  <c r="L335" i="29"/>
  <c r="L336" i="29"/>
  <c r="K260" i="29"/>
  <c r="K259" i="29"/>
  <c r="L186" i="29"/>
  <c r="L187" i="29"/>
  <c r="J319" i="29"/>
  <c r="J318" i="29"/>
  <c r="L363" i="29"/>
  <c r="L364" i="29"/>
  <c r="L200" i="29"/>
  <c r="L201" i="29"/>
  <c r="J291" i="29"/>
  <c r="J290" i="29"/>
  <c r="K231" i="29"/>
  <c r="K232" i="29"/>
  <c r="K303" i="29"/>
  <c r="K312" i="29" s="1"/>
  <c r="L350" i="29"/>
  <c r="L349" i="29"/>
  <c r="J305" i="29"/>
  <c r="J304" i="29"/>
  <c r="K246" i="29"/>
  <c r="K245" i="29"/>
  <c r="L215" i="29"/>
  <c r="L214" i="29"/>
  <c r="J433" i="29"/>
  <c r="M432" i="29"/>
  <c r="L220" i="29"/>
  <c r="L225" i="29"/>
  <c r="L218" i="29"/>
  <c r="L217" i="29"/>
  <c r="L219" i="29"/>
  <c r="L221" i="29"/>
  <c r="L222" i="29"/>
  <c r="L224" i="29"/>
  <c r="L216" i="29"/>
  <c r="L223" i="29"/>
  <c r="L190" i="29"/>
  <c r="L188" i="29"/>
  <c r="L195" i="29"/>
  <c r="L197" i="29"/>
  <c r="L193" i="29"/>
  <c r="L194" i="29"/>
  <c r="L191" i="29"/>
  <c r="L189" i="29"/>
  <c r="L196" i="29"/>
  <c r="L192" i="29"/>
  <c r="K226" i="29"/>
  <c r="K227" i="29" s="1"/>
  <c r="L208" i="29"/>
  <c r="L206" i="29"/>
  <c r="L211" i="29"/>
  <c r="L202" i="29"/>
  <c r="L207" i="29"/>
  <c r="L204" i="29"/>
  <c r="L205" i="29"/>
  <c r="L210" i="29"/>
  <c r="L203" i="29"/>
  <c r="L209" i="29"/>
  <c r="M185" i="29"/>
  <c r="M213" i="29"/>
  <c r="M199" i="29"/>
  <c r="O32" i="29"/>
  <c r="N183" i="29"/>
  <c r="U31" i="29"/>
  <c r="U414" i="29" s="1"/>
  <c r="U516" i="29" s="1"/>
  <c r="I462" i="29"/>
  <c r="J462" i="29"/>
  <c r="H527" i="29"/>
  <c r="H547" i="29" s="1"/>
  <c r="H561" i="29" s="1"/>
  <c r="H461" i="29"/>
  <c r="H463" i="29" s="1"/>
  <c r="U390" i="29"/>
  <c r="U478" i="29"/>
  <c r="H447" i="29"/>
  <c r="H517" i="29" s="1"/>
  <c r="H530" i="29"/>
  <c r="H532" i="29"/>
  <c r="H546" i="29" s="1"/>
  <c r="H560" i="29" s="1"/>
  <c r="T477" i="29"/>
  <c r="T479" i="29" s="1"/>
  <c r="H537" i="29"/>
  <c r="H536" i="29"/>
  <c r="K375" i="29"/>
  <c r="K376" i="29" s="1"/>
  <c r="V389" i="29"/>
  <c r="G23" i="29"/>
  <c r="J271" i="29"/>
  <c r="J272" i="29" s="1"/>
  <c r="I330" i="29"/>
  <c r="I331" i="29" s="1"/>
  <c r="J286" i="29"/>
  <c r="I286" i="29"/>
  <c r="K495" i="29"/>
  <c r="H285" i="29"/>
  <c r="H446" i="29" s="1"/>
  <c r="K289" i="29"/>
  <c r="K317" i="29"/>
  <c r="I439" i="29"/>
  <c r="I437" i="29"/>
  <c r="U563" i="29"/>
  <c r="I492" i="29"/>
  <c r="M490" i="29"/>
  <c r="I445" i="29"/>
  <c r="I538" i="29" s="1"/>
  <c r="I438" i="29"/>
  <c r="I529" i="29" s="1"/>
  <c r="I280" i="29"/>
  <c r="I456" i="29" s="1"/>
  <c r="J280" i="29"/>
  <c r="J456" i="29" s="1"/>
  <c r="I275" i="29"/>
  <c r="I451" i="29" s="1"/>
  <c r="J275" i="29"/>
  <c r="J451" i="29" s="1"/>
  <c r="J296" i="29"/>
  <c r="K282" i="29"/>
  <c r="K458" i="29" s="1"/>
  <c r="K283" i="29"/>
  <c r="K459" i="29" s="1"/>
  <c r="K281" i="29"/>
  <c r="K457" i="29" s="1"/>
  <c r="L279" i="29"/>
  <c r="L455" i="29" s="1"/>
  <c r="L274" i="29"/>
  <c r="L450" i="29" s="1"/>
  <c r="L284" i="29"/>
  <c r="L460" i="29" s="1"/>
  <c r="J315" i="29"/>
  <c r="K277" i="29"/>
  <c r="K453" i="29" s="1"/>
  <c r="K278" i="29"/>
  <c r="K454" i="29" s="1"/>
  <c r="K276" i="29"/>
  <c r="K452" i="29" s="1"/>
  <c r="L244" i="29"/>
  <c r="L230" i="29"/>
  <c r="L258" i="29"/>
  <c r="N33" i="29"/>
  <c r="M228" i="29"/>
  <c r="K234" i="29"/>
  <c r="K241" i="29"/>
  <c r="K240" i="29"/>
  <c r="K236" i="29"/>
  <c r="K238" i="29"/>
  <c r="K237" i="29"/>
  <c r="K235" i="29"/>
  <c r="K242" i="29"/>
  <c r="K239" i="29"/>
  <c r="K233" i="29"/>
  <c r="K256" i="29"/>
  <c r="K250" i="29"/>
  <c r="K254" i="29"/>
  <c r="K248" i="29"/>
  <c r="K247" i="29"/>
  <c r="K255" i="29"/>
  <c r="K252" i="29"/>
  <c r="K251" i="29"/>
  <c r="K253" i="29"/>
  <c r="K249" i="29"/>
  <c r="K261" i="29"/>
  <c r="K270" i="29"/>
  <c r="K269" i="29"/>
  <c r="K266" i="29"/>
  <c r="K263" i="29"/>
  <c r="K268" i="29"/>
  <c r="K265" i="29"/>
  <c r="K267" i="29"/>
  <c r="K264" i="29"/>
  <c r="K262" i="29"/>
  <c r="M85" i="14"/>
  <c r="N86" i="14" s="1"/>
  <c r="M84" i="14"/>
  <c r="I436" i="29"/>
  <c r="I441" i="29"/>
  <c r="I444" i="29"/>
  <c r="I537" i="29" s="1"/>
  <c r="I440" i="29"/>
  <c r="I443" i="29"/>
  <c r="I536" i="29" s="1"/>
  <c r="J306" i="29"/>
  <c r="J310" i="29"/>
  <c r="J309" i="29"/>
  <c r="J313" i="29"/>
  <c r="J307" i="29"/>
  <c r="J308" i="29"/>
  <c r="I442" i="29"/>
  <c r="J312" i="29"/>
  <c r="J311" i="29"/>
  <c r="J314" i="29"/>
  <c r="J295" i="29"/>
  <c r="J298" i="29"/>
  <c r="J301" i="29"/>
  <c r="J300" i="29"/>
  <c r="I493" i="29"/>
  <c r="J297" i="29"/>
  <c r="I494" i="29"/>
  <c r="J299" i="29"/>
  <c r="J294" i="29"/>
  <c r="J292" i="29"/>
  <c r="J293" i="29"/>
  <c r="R22" i="14"/>
  <c r="Q205" i="14"/>
  <c r="P237" i="14" s="1"/>
  <c r="Q113" i="14"/>
  <c r="Q12" i="29"/>
  <c r="Q42" i="14"/>
  <c r="Q72" i="14" s="1"/>
  <c r="Q81" i="14" s="1"/>
  <c r="P514" i="29"/>
  <c r="P486" i="29"/>
  <c r="P484" i="29" s="1"/>
  <c r="J492" i="29"/>
  <c r="M491" i="29"/>
  <c r="M273" i="29"/>
  <c r="M449" i="29" s="1"/>
  <c r="N35" i="29"/>
  <c r="J493" i="29"/>
  <c r="J494" i="29"/>
  <c r="L303" i="29"/>
  <c r="L289" i="29"/>
  <c r="L317" i="29"/>
  <c r="M287" i="29"/>
  <c r="N36" i="29"/>
  <c r="M362" i="29"/>
  <c r="M334" i="29"/>
  <c r="M348" i="29"/>
  <c r="AI37" i="29"/>
  <c r="N332" i="29"/>
  <c r="O37" i="29"/>
  <c r="L340" i="29"/>
  <c r="L345" i="29"/>
  <c r="L342" i="29"/>
  <c r="L341" i="29"/>
  <c r="L344" i="29"/>
  <c r="L338" i="29"/>
  <c r="L339" i="29"/>
  <c r="L343" i="29"/>
  <c r="L337" i="29"/>
  <c r="L346" i="29"/>
  <c r="L372" i="29"/>
  <c r="L371" i="29"/>
  <c r="L367" i="29"/>
  <c r="L373" i="29"/>
  <c r="L365" i="29"/>
  <c r="L366" i="29"/>
  <c r="L369" i="29"/>
  <c r="L374" i="29"/>
  <c r="L370" i="29"/>
  <c r="L368" i="29"/>
  <c r="L356" i="29"/>
  <c r="L353" i="29"/>
  <c r="L355" i="29"/>
  <c r="L352" i="29"/>
  <c r="L351" i="29"/>
  <c r="L357" i="29"/>
  <c r="L360" i="29"/>
  <c r="L359" i="29"/>
  <c r="L354" i="29"/>
  <c r="L358" i="29"/>
  <c r="AA150" i="14"/>
  <c r="AB149" i="14"/>
  <c r="M41" i="29"/>
  <c r="M391" i="29"/>
  <c r="M22" i="29"/>
  <c r="M131" i="14"/>
  <c r="N82" i="14" s="1"/>
  <c r="N165" i="14"/>
  <c r="V539" i="29"/>
  <c r="V549" i="29" s="1"/>
  <c r="I90" i="14"/>
  <c r="I87" i="14" s="1"/>
  <c r="I88" i="14" s="1"/>
  <c r="J89" i="14" s="1"/>
  <c r="G548" i="29"/>
  <c r="H117" i="14"/>
  <c r="H111" i="14" s="1"/>
  <c r="H105" i="14"/>
  <c r="H107" i="14" s="1"/>
  <c r="I106" i="14" s="1"/>
  <c r="G138" i="14"/>
  <c r="G139" i="14" s="1"/>
  <c r="G126" i="14"/>
  <c r="G128" i="14" s="1"/>
  <c r="H127" i="14" s="1"/>
  <c r="J96" i="14"/>
  <c r="J97" i="14" s="1"/>
  <c r="K98" i="14" s="1"/>
  <c r="W156" i="14"/>
  <c r="W157" i="14" s="1"/>
  <c r="W129" i="14"/>
  <c r="AA197" i="14"/>
  <c r="AA198" i="14"/>
  <c r="T231" i="14"/>
  <c r="S260" i="14" s="1"/>
  <c r="T124" i="14"/>
  <c r="T119" i="14" s="1"/>
  <c r="X505" i="29"/>
  <c r="X378" i="29"/>
  <c r="X466" i="29" s="1"/>
  <c r="AJ466" i="29" s="1"/>
  <c r="AJ39" i="29"/>
  <c r="X76" i="14"/>
  <c r="X122" i="14" s="1"/>
  <c r="W79" i="14" s="1"/>
  <c r="W78" i="14" s="1"/>
  <c r="X229" i="14"/>
  <c r="Z190" i="14"/>
  <c r="Z189" i="14"/>
  <c r="Y75" i="14"/>
  <c r="Y39" i="29"/>
  <c r="W384" i="29"/>
  <c r="W472" i="29" s="1"/>
  <c r="W388" i="29"/>
  <c r="W476" i="29" s="1"/>
  <c r="W382" i="29"/>
  <c r="W470" i="29" s="1"/>
  <c r="W386" i="29"/>
  <c r="W474" i="29" s="1"/>
  <c r="W381" i="29"/>
  <c r="W469" i="29" s="1"/>
  <c r="W385" i="29"/>
  <c r="W473" i="29" s="1"/>
  <c r="W379" i="29"/>
  <c r="W467" i="29" s="1"/>
  <c r="W383" i="29"/>
  <c r="W471" i="29" s="1"/>
  <c r="W387" i="29"/>
  <c r="W475" i="29" s="1"/>
  <c r="W380" i="29"/>
  <c r="W468" i="29" s="1"/>
  <c r="Z193" i="14"/>
  <c r="Z40" i="29" s="1"/>
  <c r="Z194" i="14"/>
  <c r="U231" i="14"/>
  <c r="T260" i="14" s="1"/>
  <c r="U124" i="14"/>
  <c r="U119" i="14" s="1"/>
  <c r="T140" i="29" l="1"/>
  <c r="T146" i="29" s="1"/>
  <c r="T154" i="29"/>
  <c r="R421" i="29"/>
  <c r="R426" i="29"/>
  <c r="R418" i="29"/>
  <c r="Q428" i="29"/>
  <c r="Q430" i="29" s="1"/>
  <c r="R419" i="29"/>
  <c r="R526" i="29"/>
  <c r="R425" i="29"/>
  <c r="R422" i="29"/>
  <c r="R416" i="29"/>
  <c r="R420" i="29"/>
  <c r="R423" i="29"/>
  <c r="U138" i="29"/>
  <c r="U154" i="29" s="1"/>
  <c r="R417" i="29"/>
  <c r="G562" i="29"/>
  <c r="K310" i="29"/>
  <c r="K307" i="29"/>
  <c r="K314" i="29"/>
  <c r="K313" i="29"/>
  <c r="K306" i="29"/>
  <c r="K311" i="29"/>
  <c r="K309" i="29"/>
  <c r="R424" i="29"/>
  <c r="R427" i="29"/>
  <c r="K315" i="29"/>
  <c r="S179" i="29"/>
  <c r="S177" i="29"/>
  <c r="S173" i="29"/>
  <c r="S169" i="29"/>
  <c r="S170" i="29"/>
  <c r="S176" i="29"/>
  <c r="S171" i="29"/>
  <c r="S178" i="29"/>
  <c r="S174" i="29"/>
  <c r="S180" i="29"/>
  <c r="S175" i="29"/>
  <c r="S172" i="29"/>
  <c r="H519" i="29"/>
  <c r="H488" i="29"/>
  <c r="H501" i="29" s="1"/>
  <c r="H507" i="29" s="1"/>
  <c r="H520" i="29" s="1"/>
  <c r="T143" i="29"/>
  <c r="T152" i="29"/>
  <c r="T142" i="29"/>
  <c r="T144" i="29"/>
  <c r="T151" i="29"/>
  <c r="T141" i="29"/>
  <c r="T147" i="29"/>
  <c r="T145" i="29"/>
  <c r="T150" i="29"/>
  <c r="S149" i="29"/>
  <c r="S146" i="29"/>
  <c r="S150" i="29"/>
  <c r="S147" i="29"/>
  <c r="S145" i="29"/>
  <c r="S143" i="29"/>
  <c r="S148" i="29"/>
  <c r="S141" i="29"/>
  <c r="S142" i="29"/>
  <c r="S151" i="29"/>
  <c r="S152" i="29"/>
  <c r="S144" i="29"/>
  <c r="T165" i="29"/>
  <c r="T155" i="29"/>
  <c r="T161" i="29"/>
  <c r="T157" i="29"/>
  <c r="T159" i="29"/>
  <c r="T164" i="29"/>
  <c r="T158" i="29"/>
  <c r="T166" i="29"/>
  <c r="T156" i="29"/>
  <c r="T163" i="29"/>
  <c r="T160" i="29"/>
  <c r="T162" i="29"/>
  <c r="S162" i="29"/>
  <c r="S157" i="29"/>
  <c r="S155" i="29"/>
  <c r="S158" i="29"/>
  <c r="S160" i="29"/>
  <c r="S159" i="29"/>
  <c r="S165" i="29"/>
  <c r="S164" i="29"/>
  <c r="S166" i="29"/>
  <c r="S163" i="29"/>
  <c r="S156" i="29"/>
  <c r="S161" i="29"/>
  <c r="T180" i="29"/>
  <c r="T179" i="29"/>
  <c r="T174" i="29"/>
  <c r="T178" i="29"/>
  <c r="T171" i="29"/>
  <c r="T175" i="29"/>
  <c r="T170" i="29"/>
  <c r="T173" i="29"/>
  <c r="T169" i="29"/>
  <c r="T176" i="29"/>
  <c r="T172" i="29"/>
  <c r="T177" i="29"/>
  <c r="R181" i="29"/>
  <c r="R182" i="29" s="1"/>
  <c r="R429" i="29" s="1"/>
  <c r="U168" i="29"/>
  <c r="J434" i="29"/>
  <c r="S415" i="29"/>
  <c r="F553" i="29"/>
  <c r="F555" i="29" s="1"/>
  <c r="I521" i="29"/>
  <c r="E558" i="29"/>
  <c r="F558" i="29" s="1"/>
  <c r="F566" i="29" s="1"/>
  <c r="K308" i="29"/>
  <c r="J435" i="29"/>
  <c r="K300" i="29"/>
  <c r="K291" i="29"/>
  <c r="K290" i="29"/>
  <c r="M336" i="29"/>
  <c r="M335" i="29"/>
  <c r="M350" i="29"/>
  <c r="M349" i="29"/>
  <c r="M364" i="29"/>
  <c r="M363" i="29"/>
  <c r="M201" i="29"/>
  <c r="M200" i="29"/>
  <c r="K304" i="29"/>
  <c r="K305" i="29"/>
  <c r="L291" i="29"/>
  <c r="L290" i="29"/>
  <c r="AI183" i="29"/>
  <c r="L259" i="29"/>
  <c r="L260" i="29"/>
  <c r="M214" i="29"/>
  <c r="M215" i="29"/>
  <c r="L319" i="29"/>
  <c r="L318" i="29"/>
  <c r="L231" i="29"/>
  <c r="L232" i="29"/>
  <c r="M186" i="29"/>
  <c r="M187" i="29"/>
  <c r="L246" i="29"/>
  <c r="L245" i="29"/>
  <c r="L304" i="29"/>
  <c r="L305" i="29"/>
  <c r="K326" i="29"/>
  <c r="K319" i="29"/>
  <c r="K318" i="29"/>
  <c r="N432" i="29"/>
  <c r="M211" i="29"/>
  <c r="M210" i="29"/>
  <c r="M208" i="29"/>
  <c r="M206" i="29"/>
  <c r="M205" i="29"/>
  <c r="M202" i="29"/>
  <c r="M203" i="29"/>
  <c r="M204" i="29"/>
  <c r="M207" i="29"/>
  <c r="M209" i="29"/>
  <c r="M225" i="29"/>
  <c r="M220" i="29"/>
  <c r="M222" i="29"/>
  <c r="M216" i="29"/>
  <c r="M223" i="29"/>
  <c r="M217" i="29"/>
  <c r="M218" i="29"/>
  <c r="M221" i="29"/>
  <c r="M219" i="29"/>
  <c r="M224" i="29"/>
  <c r="P32" i="29"/>
  <c r="O183" i="29"/>
  <c r="M197" i="29"/>
  <c r="M193" i="29"/>
  <c r="M194" i="29"/>
  <c r="M195" i="29"/>
  <c r="M188" i="29"/>
  <c r="M191" i="29"/>
  <c r="M190" i="29"/>
  <c r="M196" i="29"/>
  <c r="M189" i="29"/>
  <c r="M192" i="29"/>
  <c r="L226" i="29"/>
  <c r="L227" i="29" s="1"/>
  <c r="N199" i="29"/>
  <c r="N185" i="29"/>
  <c r="N213" i="29"/>
  <c r="H448" i="29"/>
  <c r="T415" i="29"/>
  <c r="V31" i="29"/>
  <c r="V414" i="29" s="1"/>
  <c r="V516" i="29" s="1"/>
  <c r="L433" i="29"/>
  <c r="K433" i="29"/>
  <c r="K462" i="29"/>
  <c r="J461" i="29"/>
  <c r="J463" i="29" s="1"/>
  <c r="J527" i="29"/>
  <c r="I527" i="29"/>
  <c r="I547" i="29" s="1"/>
  <c r="I561" i="29" s="1"/>
  <c r="I461" i="29"/>
  <c r="I463" i="29" s="1"/>
  <c r="I447" i="29"/>
  <c r="I517" i="29" s="1"/>
  <c r="V390" i="29"/>
  <c r="V478" i="29"/>
  <c r="U477" i="29"/>
  <c r="U479" i="29" s="1"/>
  <c r="I535" i="29"/>
  <c r="I530" i="29"/>
  <c r="I532" i="29"/>
  <c r="I546" i="29" s="1"/>
  <c r="I560" i="29" s="1"/>
  <c r="K286" i="29"/>
  <c r="L375" i="29"/>
  <c r="L376" i="29" s="1"/>
  <c r="H23" i="29"/>
  <c r="W539" i="29"/>
  <c r="W549" i="29" s="1"/>
  <c r="W389" i="29"/>
  <c r="K271" i="29"/>
  <c r="K272" i="29" s="1"/>
  <c r="J330" i="29"/>
  <c r="J331" i="29" s="1"/>
  <c r="J285" i="29"/>
  <c r="L495" i="29"/>
  <c r="I285" i="29"/>
  <c r="I446" i="29" s="1"/>
  <c r="K293" i="29"/>
  <c r="K298" i="29"/>
  <c r="K301" i="29"/>
  <c r="K295" i="29"/>
  <c r="K297" i="29"/>
  <c r="G528" i="29"/>
  <c r="G520" i="29"/>
  <c r="G522" i="29" s="1"/>
  <c r="V563" i="29"/>
  <c r="K328" i="29"/>
  <c r="K292" i="29"/>
  <c r="K294" i="29"/>
  <c r="K299" i="29"/>
  <c r="K296" i="29"/>
  <c r="K321" i="29"/>
  <c r="K327" i="29"/>
  <c r="K320" i="29"/>
  <c r="K325" i="29"/>
  <c r="K323" i="29"/>
  <c r="K329" i="29"/>
  <c r="K324" i="29"/>
  <c r="K322" i="29"/>
  <c r="J444" i="29"/>
  <c r="J537" i="29" s="1"/>
  <c r="J440" i="29"/>
  <c r="J445" i="29"/>
  <c r="J538" i="29" s="1"/>
  <c r="K275" i="29"/>
  <c r="K451" i="29" s="1"/>
  <c r="M279" i="29"/>
  <c r="M455" i="29" s="1"/>
  <c r="M274" i="29"/>
  <c r="M450" i="29" s="1"/>
  <c r="M284" i="29"/>
  <c r="M460" i="29" s="1"/>
  <c r="L277" i="29"/>
  <c r="L453" i="29" s="1"/>
  <c r="L278" i="29"/>
  <c r="L454" i="29" s="1"/>
  <c r="L276" i="29"/>
  <c r="L452" i="29" s="1"/>
  <c r="K280" i="29"/>
  <c r="K456" i="29" s="1"/>
  <c r="L281" i="29"/>
  <c r="L457" i="29" s="1"/>
  <c r="L282" i="29"/>
  <c r="L458" i="29" s="1"/>
  <c r="L283" i="29"/>
  <c r="L459" i="29" s="1"/>
  <c r="M244" i="29"/>
  <c r="M230" i="29"/>
  <c r="M258" i="29"/>
  <c r="O33" i="29"/>
  <c r="N228" i="29"/>
  <c r="AI33" i="29"/>
  <c r="L264" i="29"/>
  <c r="L270" i="29"/>
  <c r="L262" i="29"/>
  <c r="L269" i="29"/>
  <c r="L263" i="29"/>
  <c r="L268" i="29"/>
  <c r="L267" i="29"/>
  <c r="L265" i="29"/>
  <c r="L261" i="29"/>
  <c r="L266" i="29"/>
  <c r="L241" i="29"/>
  <c r="L240" i="29"/>
  <c r="L242" i="29"/>
  <c r="L233" i="29"/>
  <c r="L238" i="29"/>
  <c r="L239" i="29"/>
  <c r="L234" i="29"/>
  <c r="L237" i="29"/>
  <c r="L236" i="29"/>
  <c r="L235" i="29"/>
  <c r="N85" i="14"/>
  <c r="O86" i="14" s="1"/>
  <c r="N84" i="14"/>
  <c r="L247" i="29"/>
  <c r="L251" i="29"/>
  <c r="L249" i="29"/>
  <c r="L250" i="29"/>
  <c r="L255" i="29"/>
  <c r="L253" i="29"/>
  <c r="L254" i="29"/>
  <c r="L256" i="29"/>
  <c r="L252" i="29"/>
  <c r="L248" i="29"/>
  <c r="J436" i="29"/>
  <c r="J441" i="29"/>
  <c r="J442" i="29"/>
  <c r="J535" i="29" s="1"/>
  <c r="J438" i="29"/>
  <c r="J529" i="29" s="1"/>
  <c r="J443" i="29"/>
  <c r="J536" i="29" s="1"/>
  <c r="J437" i="29"/>
  <c r="J439" i="29"/>
  <c r="Q514" i="29"/>
  <c r="Q486" i="29"/>
  <c r="Q484" i="29" s="1"/>
  <c r="S22" i="14"/>
  <c r="R12" i="29"/>
  <c r="R205" i="14"/>
  <c r="Q237" i="14" s="1"/>
  <c r="R113" i="14"/>
  <c r="R42" i="14"/>
  <c r="R72" i="14" s="1"/>
  <c r="R81" i="14" s="1"/>
  <c r="K494" i="29"/>
  <c r="K492" i="29"/>
  <c r="K493" i="29"/>
  <c r="N491" i="29"/>
  <c r="AI491" i="29" s="1"/>
  <c r="AI35" i="29"/>
  <c r="N273" i="29"/>
  <c r="N449" i="29" s="1"/>
  <c r="O35" i="29"/>
  <c r="L327" i="29"/>
  <c r="L326" i="29"/>
  <c r="L329" i="29"/>
  <c r="L320" i="29"/>
  <c r="L325" i="29"/>
  <c r="L323" i="29"/>
  <c r="L328" i="29"/>
  <c r="L322" i="29"/>
  <c r="L321" i="29"/>
  <c r="L324" i="29"/>
  <c r="L301" i="29"/>
  <c r="L293" i="29"/>
  <c r="L297" i="29"/>
  <c r="L296" i="29"/>
  <c r="L292" i="29"/>
  <c r="L295" i="29"/>
  <c r="L300" i="29"/>
  <c r="L298" i="29"/>
  <c r="L299" i="29"/>
  <c r="L294" i="29"/>
  <c r="N287" i="29"/>
  <c r="AI36" i="29"/>
  <c r="O36" i="29"/>
  <c r="N490" i="29"/>
  <c r="L311" i="29"/>
  <c r="L313" i="29"/>
  <c r="L308" i="29"/>
  <c r="L312" i="29"/>
  <c r="L307" i="29"/>
  <c r="L314" i="29"/>
  <c r="L306" i="29"/>
  <c r="L309" i="29"/>
  <c r="L315" i="29"/>
  <c r="L310" i="29"/>
  <c r="M303" i="29"/>
  <c r="M317" i="29"/>
  <c r="M289" i="29"/>
  <c r="P37" i="29"/>
  <c r="O332" i="29"/>
  <c r="N362" i="29"/>
  <c r="AI332" i="29"/>
  <c r="N334" i="29"/>
  <c r="N348" i="29"/>
  <c r="M356" i="29"/>
  <c r="M359" i="29"/>
  <c r="M358" i="29"/>
  <c r="M353" i="29"/>
  <c r="M354" i="29"/>
  <c r="M355" i="29"/>
  <c r="M360" i="29"/>
  <c r="M351" i="29"/>
  <c r="M352" i="29"/>
  <c r="M357" i="29"/>
  <c r="M337" i="29"/>
  <c r="M338" i="29"/>
  <c r="M341" i="29"/>
  <c r="M339" i="29"/>
  <c r="M343" i="29"/>
  <c r="M345" i="29"/>
  <c r="M342" i="29"/>
  <c r="M346" i="29"/>
  <c r="M344" i="29"/>
  <c r="M340" i="29"/>
  <c r="M368" i="29"/>
  <c r="M374" i="29"/>
  <c r="M370" i="29"/>
  <c r="M366" i="29"/>
  <c r="M365" i="29"/>
  <c r="M372" i="29"/>
  <c r="M369" i="29"/>
  <c r="M367" i="29"/>
  <c r="M373" i="29"/>
  <c r="M371" i="29"/>
  <c r="AB150" i="14"/>
  <c r="AC149" i="14"/>
  <c r="O165" i="14"/>
  <c r="N131" i="14"/>
  <c r="O82" i="14" s="1"/>
  <c r="N41" i="29"/>
  <c r="AI41" i="29" s="1"/>
  <c r="N391" i="29"/>
  <c r="AI391" i="29" s="1"/>
  <c r="N22" i="29"/>
  <c r="N500" i="29" s="1"/>
  <c r="M500" i="29"/>
  <c r="G552" i="29"/>
  <c r="I102" i="14"/>
  <c r="I104" i="14" s="1"/>
  <c r="I91" i="14"/>
  <c r="J92" i="14" s="1"/>
  <c r="J93" i="14" s="1"/>
  <c r="J94" i="14" s="1"/>
  <c r="K95" i="14" s="1"/>
  <c r="K99" i="14"/>
  <c r="K100" i="14" s="1"/>
  <c r="H126" i="14"/>
  <c r="H128" i="14" s="1"/>
  <c r="I127" i="14" s="1"/>
  <c r="H138" i="14"/>
  <c r="H139" i="14" s="1"/>
  <c r="I140" i="14" s="1"/>
  <c r="G141" i="14"/>
  <c r="G142" i="14" s="1"/>
  <c r="H140" i="14"/>
  <c r="H548" i="29"/>
  <c r="X156" i="14"/>
  <c r="X157" i="14" s="1"/>
  <c r="Y505" i="29"/>
  <c r="Y506" i="29" s="1"/>
  <c r="Y378" i="29"/>
  <c r="Y466" i="29" s="1"/>
  <c r="Z75" i="14"/>
  <c r="Z39" i="29"/>
  <c r="Y76" i="14"/>
  <c r="Y122" i="14" s="1"/>
  <c r="X79" i="14" s="1"/>
  <c r="X78" i="14" s="1"/>
  <c r="Y229" i="14"/>
  <c r="X258" i="14" s="1"/>
  <c r="AA189" i="14"/>
  <c r="AA190" i="14"/>
  <c r="W258" i="14"/>
  <c r="AH258" i="14" s="1"/>
  <c r="AI229" i="14"/>
  <c r="D84" i="52" s="1"/>
  <c r="X386" i="29"/>
  <c r="X474" i="29" s="1"/>
  <c r="AJ474" i="29" s="1"/>
  <c r="X381" i="29"/>
  <c r="X469" i="29" s="1"/>
  <c r="AJ469" i="29" s="1"/>
  <c r="X388" i="29"/>
  <c r="X476" i="29" s="1"/>
  <c r="AJ476" i="29" s="1"/>
  <c r="X382" i="29"/>
  <c r="X470" i="29" s="1"/>
  <c r="AJ470" i="29" s="1"/>
  <c r="X384" i="29"/>
  <c r="X472" i="29" s="1"/>
  <c r="AJ472" i="29" s="1"/>
  <c r="X380" i="29"/>
  <c r="X468" i="29" s="1"/>
  <c r="AJ468" i="29" s="1"/>
  <c r="X379" i="29"/>
  <c r="X467" i="29" s="1"/>
  <c r="AJ467" i="29" s="1"/>
  <c r="X383" i="29"/>
  <c r="X471" i="29" s="1"/>
  <c r="AJ471" i="29" s="1"/>
  <c r="X385" i="29"/>
  <c r="X473" i="29" s="1"/>
  <c r="AJ473" i="29" s="1"/>
  <c r="X387" i="29"/>
  <c r="X475" i="29" s="1"/>
  <c r="AJ475" i="29" s="1"/>
  <c r="AJ378" i="29"/>
  <c r="X129" i="14"/>
  <c r="AB197" i="14"/>
  <c r="AB198" i="14"/>
  <c r="AA193" i="14"/>
  <c r="AA40" i="29" s="1"/>
  <c r="AA194" i="14"/>
  <c r="X506" i="29"/>
  <c r="AJ506" i="29" s="1"/>
  <c r="AJ505" i="29"/>
  <c r="V231" i="14"/>
  <c r="U260" i="14" s="1"/>
  <c r="V124" i="14"/>
  <c r="V119" i="14" s="1"/>
  <c r="S426" i="29"/>
  <c r="T149" i="29" l="1"/>
  <c r="T148" i="29"/>
  <c r="S422" i="29"/>
  <c r="K444" i="29"/>
  <c r="K537" i="29" s="1"/>
  <c r="S424" i="29"/>
  <c r="U140" i="29"/>
  <c r="U144" i="29" s="1"/>
  <c r="H562" i="29"/>
  <c r="S418" i="29"/>
  <c r="S427" i="29"/>
  <c r="S423" i="29"/>
  <c r="S419" i="29"/>
  <c r="R428" i="29"/>
  <c r="R430" i="29" s="1"/>
  <c r="S416" i="29"/>
  <c r="H522" i="29"/>
  <c r="S417" i="29"/>
  <c r="K442" i="29"/>
  <c r="K535" i="29" s="1"/>
  <c r="S425" i="29"/>
  <c r="S421" i="29"/>
  <c r="S181" i="29"/>
  <c r="S182" i="29" s="1"/>
  <c r="S429" i="29" s="1"/>
  <c r="U146" i="29"/>
  <c r="U152" i="29"/>
  <c r="U149" i="29"/>
  <c r="U141" i="29"/>
  <c r="U143" i="29"/>
  <c r="U142" i="29"/>
  <c r="U151" i="29"/>
  <c r="U148" i="29"/>
  <c r="U147" i="29"/>
  <c r="U156" i="29"/>
  <c r="U155" i="29"/>
  <c r="U165" i="29"/>
  <c r="U162" i="29"/>
  <c r="U158" i="29"/>
  <c r="U163" i="29"/>
  <c r="U159" i="29"/>
  <c r="U160" i="29"/>
  <c r="U161" i="29"/>
  <c r="U164" i="29"/>
  <c r="U157" i="29"/>
  <c r="U166" i="29"/>
  <c r="U180" i="29"/>
  <c r="U170" i="29"/>
  <c r="U178" i="29"/>
  <c r="U174" i="29"/>
  <c r="U179" i="29"/>
  <c r="U173" i="29"/>
  <c r="U171" i="29"/>
  <c r="U177" i="29"/>
  <c r="U172" i="29"/>
  <c r="U175" i="29"/>
  <c r="U169" i="29"/>
  <c r="U176" i="29"/>
  <c r="AI490" i="29"/>
  <c r="S420" i="29"/>
  <c r="S526" i="29"/>
  <c r="T181" i="29"/>
  <c r="T182" i="29" s="1"/>
  <c r="J521" i="29"/>
  <c r="E566" i="29"/>
  <c r="T417" i="29"/>
  <c r="K434" i="29"/>
  <c r="K435" i="29"/>
  <c r="L435" i="29"/>
  <c r="L434" i="29"/>
  <c r="T416" i="29"/>
  <c r="N336" i="29"/>
  <c r="AI336" i="29" s="1"/>
  <c r="N335" i="29"/>
  <c r="AI335" i="29" s="1"/>
  <c r="N214" i="29"/>
  <c r="AI214" i="29" s="1"/>
  <c r="N215" i="29"/>
  <c r="AI215" i="29" s="1"/>
  <c r="N364" i="29"/>
  <c r="AI364" i="29" s="1"/>
  <c r="N363" i="29"/>
  <c r="AI363" i="29" s="1"/>
  <c r="N186" i="29"/>
  <c r="N187" i="29"/>
  <c r="N200" i="29"/>
  <c r="AI200" i="29" s="1"/>
  <c r="N201" i="29"/>
  <c r="AI201" i="29" s="1"/>
  <c r="M259" i="29"/>
  <c r="M260" i="29"/>
  <c r="M231" i="29"/>
  <c r="M232" i="29"/>
  <c r="M291" i="29"/>
  <c r="M290" i="29"/>
  <c r="M245" i="29"/>
  <c r="M246" i="29"/>
  <c r="M319" i="29"/>
  <c r="M318" i="29"/>
  <c r="N350" i="29"/>
  <c r="AI350" i="29" s="1"/>
  <c r="N349" i="29"/>
  <c r="AI349" i="29" s="1"/>
  <c r="M305" i="29"/>
  <c r="M304" i="29"/>
  <c r="V138" i="29"/>
  <c r="AI213" i="29"/>
  <c r="AI185" i="29"/>
  <c r="AI199" i="29"/>
  <c r="L462" i="29"/>
  <c r="O432" i="29"/>
  <c r="AI432" i="29"/>
  <c r="N224" i="29"/>
  <c r="AI224" i="29" s="1"/>
  <c r="N221" i="29"/>
  <c r="AI221" i="29" s="1"/>
  <c r="N217" i="29"/>
  <c r="AI217" i="29" s="1"/>
  <c r="N220" i="29"/>
  <c r="AI220" i="29" s="1"/>
  <c r="N218" i="29"/>
  <c r="AI218" i="29" s="1"/>
  <c r="N219" i="29"/>
  <c r="AI219" i="29" s="1"/>
  <c r="N222" i="29"/>
  <c r="AI222" i="29" s="1"/>
  <c r="N216" i="29"/>
  <c r="AI216" i="29" s="1"/>
  <c r="N223" i="29"/>
  <c r="AI223" i="29" s="1"/>
  <c r="N225" i="29"/>
  <c r="AI225" i="29" s="1"/>
  <c r="N194" i="29"/>
  <c r="AI194" i="29" s="1"/>
  <c r="N197" i="29"/>
  <c r="AI197" i="29" s="1"/>
  <c r="N193" i="29"/>
  <c r="AI193" i="29" s="1"/>
  <c r="N196" i="29"/>
  <c r="AI196" i="29" s="1"/>
  <c r="N190" i="29"/>
  <c r="AI190" i="29" s="1"/>
  <c r="N195" i="29"/>
  <c r="AI195" i="29" s="1"/>
  <c r="N192" i="29"/>
  <c r="AI192" i="29" s="1"/>
  <c r="N191" i="29"/>
  <c r="AI191" i="29" s="1"/>
  <c r="N189" i="29"/>
  <c r="AI189" i="29" s="1"/>
  <c r="N188" i="29"/>
  <c r="AI188" i="29" s="1"/>
  <c r="M226" i="29"/>
  <c r="M227" i="29" s="1"/>
  <c r="N203" i="29"/>
  <c r="AI203" i="29" s="1"/>
  <c r="N202" i="29"/>
  <c r="AI202" i="29" s="1"/>
  <c r="N208" i="29"/>
  <c r="AI208" i="29" s="1"/>
  <c r="N211" i="29"/>
  <c r="AI211" i="29" s="1"/>
  <c r="N207" i="29"/>
  <c r="AI207" i="29" s="1"/>
  <c r="N206" i="29"/>
  <c r="AI206" i="29" s="1"/>
  <c r="N210" i="29"/>
  <c r="AI210" i="29" s="1"/>
  <c r="N205" i="29"/>
  <c r="AI205" i="29" s="1"/>
  <c r="N204" i="29"/>
  <c r="AI204" i="29" s="1"/>
  <c r="N209" i="29"/>
  <c r="AI209" i="29" s="1"/>
  <c r="O185" i="29"/>
  <c r="O199" i="29"/>
  <c r="O213" i="29"/>
  <c r="Q32" i="29"/>
  <c r="P183" i="29"/>
  <c r="I448" i="29"/>
  <c r="W31" i="29"/>
  <c r="W414" i="29" s="1"/>
  <c r="W516" i="29" s="1"/>
  <c r="U415" i="29"/>
  <c r="M433" i="29"/>
  <c r="G540" i="29"/>
  <c r="K440" i="29"/>
  <c r="J447" i="29"/>
  <c r="J517" i="29" s="1"/>
  <c r="K461" i="29"/>
  <c r="K463" i="29" s="1"/>
  <c r="K527" i="29"/>
  <c r="J446" i="29"/>
  <c r="V477" i="29"/>
  <c r="V479" i="29" s="1"/>
  <c r="J532" i="29"/>
  <c r="J546" i="29" s="1"/>
  <c r="J560" i="29" s="1"/>
  <c r="W390" i="29"/>
  <c r="W478" i="29"/>
  <c r="W563" i="29"/>
  <c r="M375" i="29"/>
  <c r="M376" i="29" s="1"/>
  <c r="X389" i="29"/>
  <c r="K330" i="29"/>
  <c r="K331" i="29" s="1"/>
  <c r="L330" i="29"/>
  <c r="L331" i="29" s="1"/>
  <c r="L271" i="29"/>
  <c r="L272" i="29" s="1"/>
  <c r="K437" i="29"/>
  <c r="L286" i="29"/>
  <c r="M495" i="29"/>
  <c r="K285" i="29"/>
  <c r="K445" i="29"/>
  <c r="K538" i="29" s="1"/>
  <c r="K439" i="29"/>
  <c r="K436" i="29"/>
  <c r="K443" i="29"/>
  <c r="K536" i="29" s="1"/>
  <c r="K441" i="29"/>
  <c r="K438" i="29"/>
  <c r="K529" i="29" s="1"/>
  <c r="O490" i="29"/>
  <c r="L275" i="29"/>
  <c r="L451" i="29" s="1"/>
  <c r="L280" i="29"/>
  <c r="L456" i="29" s="1"/>
  <c r="M278" i="29"/>
  <c r="M454" i="29" s="1"/>
  <c r="M276" i="29"/>
  <c r="M452" i="29" s="1"/>
  <c r="M277" i="29"/>
  <c r="M453" i="29" s="1"/>
  <c r="M282" i="29"/>
  <c r="M458" i="29" s="1"/>
  <c r="M281" i="29"/>
  <c r="M457" i="29" s="1"/>
  <c r="M283" i="29"/>
  <c r="M459" i="29" s="1"/>
  <c r="N279" i="29"/>
  <c r="N455" i="29" s="1"/>
  <c r="N274" i="29"/>
  <c r="N450" i="29" s="1"/>
  <c r="N284" i="29"/>
  <c r="N460" i="29" s="1"/>
  <c r="N258" i="29"/>
  <c r="N244" i="29"/>
  <c r="N230" i="29"/>
  <c r="AI228" i="29"/>
  <c r="P33" i="29"/>
  <c r="O228" i="29"/>
  <c r="M265" i="29"/>
  <c r="M267" i="29"/>
  <c r="M269" i="29"/>
  <c r="M263" i="29"/>
  <c r="M262" i="29"/>
  <c r="M261" i="29"/>
  <c r="M270" i="29"/>
  <c r="M266" i="29"/>
  <c r="M264" i="29"/>
  <c r="M268" i="29"/>
  <c r="M234" i="29"/>
  <c r="M233" i="29"/>
  <c r="M242" i="29"/>
  <c r="M239" i="29"/>
  <c r="M241" i="29"/>
  <c r="M236" i="29"/>
  <c r="M238" i="29"/>
  <c r="M237" i="29"/>
  <c r="M235" i="29"/>
  <c r="M240" i="29"/>
  <c r="O84" i="14"/>
  <c r="O85" i="14"/>
  <c r="P86" i="14" s="1"/>
  <c r="M252" i="29"/>
  <c r="M248" i="29"/>
  <c r="M256" i="29"/>
  <c r="M254" i="29"/>
  <c r="M247" i="29"/>
  <c r="M253" i="29"/>
  <c r="M251" i="29"/>
  <c r="M250" i="29"/>
  <c r="M255" i="29"/>
  <c r="M249" i="29"/>
  <c r="J547" i="29"/>
  <c r="J561" i="29" s="1"/>
  <c r="J530" i="29"/>
  <c r="R514" i="29"/>
  <c r="R486" i="29"/>
  <c r="R484" i="29" s="1"/>
  <c r="T22" i="14"/>
  <c r="S205" i="14"/>
  <c r="R237" i="14" s="1"/>
  <c r="S113" i="14"/>
  <c r="S12" i="29"/>
  <c r="S42" i="14"/>
  <c r="S72" i="14" s="1"/>
  <c r="S81" i="14" s="1"/>
  <c r="L445" i="29"/>
  <c r="L441" i="29"/>
  <c r="L444" i="29"/>
  <c r="L494" i="29"/>
  <c r="L492" i="29"/>
  <c r="L439" i="29"/>
  <c r="P35" i="29"/>
  <c r="O273" i="29"/>
  <c r="O449" i="29" s="1"/>
  <c r="O491" i="29"/>
  <c r="L493" i="29"/>
  <c r="AI273" i="29"/>
  <c r="AI449" i="29" s="1"/>
  <c r="L438" i="29"/>
  <c r="L529" i="29" s="1"/>
  <c r="L440" i="29"/>
  <c r="L442" i="29"/>
  <c r="L535" i="29" s="1"/>
  <c r="L443" i="29"/>
  <c r="L536" i="29" s="1"/>
  <c r="L436" i="29"/>
  <c r="P36" i="29"/>
  <c r="O287" i="29"/>
  <c r="L437" i="29"/>
  <c r="N317" i="29"/>
  <c r="N289" i="29"/>
  <c r="AI287" i="29"/>
  <c r="N303" i="29"/>
  <c r="M294" i="29"/>
  <c r="M295" i="29"/>
  <c r="M296" i="29"/>
  <c r="M300" i="29"/>
  <c r="M292" i="29"/>
  <c r="M293" i="29"/>
  <c r="M298" i="29"/>
  <c r="M299" i="29"/>
  <c r="M301" i="29"/>
  <c r="M297" i="29"/>
  <c r="M329" i="29"/>
  <c r="M320" i="29"/>
  <c r="M324" i="29"/>
  <c r="M327" i="29"/>
  <c r="M326" i="29"/>
  <c r="M322" i="29"/>
  <c r="M323" i="29"/>
  <c r="M328" i="29"/>
  <c r="M321" i="29"/>
  <c r="M325" i="29"/>
  <c r="M307" i="29"/>
  <c r="M314" i="29"/>
  <c r="M309" i="29"/>
  <c r="M311" i="29"/>
  <c r="M310" i="29"/>
  <c r="M315" i="29"/>
  <c r="M313" i="29"/>
  <c r="M312" i="29"/>
  <c r="M308" i="29"/>
  <c r="M306" i="29"/>
  <c r="G553" i="29"/>
  <c r="N352" i="29"/>
  <c r="AI352" i="29" s="1"/>
  <c r="AI348" i="29"/>
  <c r="N351" i="29"/>
  <c r="AI351" i="29" s="1"/>
  <c r="N357" i="29"/>
  <c r="AI357" i="29" s="1"/>
  <c r="N353" i="29"/>
  <c r="AI353" i="29" s="1"/>
  <c r="N359" i="29"/>
  <c r="AI359" i="29" s="1"/>
  <c r="N358" i="29"/>
  <c r="AI358" i="29" s="1"/>
  <c r="N355" i="29"/>
  <c r="AI355" i="29" s="1"/>
  <c r="N356" i="29"/>
  <c r="AI356" i="29" s="1"/>
  <c r="N354" i="29"/>
  <c r="AI354" i="29" s="1"/>
  <c r="N360" i="29"/>
  <c r="AI360" i="29" s="1"/>
  <c r="N342" i="29"/>
  <c r="AI342" i="29" s="1"/>
  <c r="N343" i="29"/>
  <c r="AI343" i="29" s="1"/>
  <c r="N346" i="29"/>
  <c r="AI346" i="29" s="1"/>
  <c r="N344" i="29"/>
  <c r="AI344" i="29" s="1"/>
  <c r="N338" i="29"/>
  <c r="AI338" i="29" s="1"/>
  <c r="N345" i="29"/>
  <c r="AI345" i="29" s="1"/>
  <c r="N337" i="29"/>
  <c r="AI337" i="29" s="1"/>
  <c r="AI334" i="29"/>
  <c r="N339" i="29"/>
  <c r="N340" i="29"/>
  <c r="AI340" i="29" s="1"/>
  <c r="N341" i="29"/>
  <c r="AI341" i="29" s="1"/>
  <c r="AI362" i="29"/>
  <c r="N374" i="29"/>
  <c r="AI374" i="29" s="1"/>
  <c r="N371" i="29"/>
  <c r="AI371" i="29" s="1"/>
  <c r="N367" i="29"/>
  <c r="AI367" i="29" s="1"/>
  <c r="N373" i="29"/>
  <c r="AI373" i="29" s="1"/>
  <c r="N366" i="29"/>
  <c r="AI366" i="29" s="1"/>
  <c r="N370" i="29"/>
  <c r="AI370" i="29" s="1"/>
  <c r="N369" i="29"/>
  <c r="AI369" i="29" s="1"/>
  <c r="N365" i="29"/>
  <c r="AI365" i="29" s="1"/>
  <c r="N368" i="29"/>
  <c r="AI368" i="29" s="1"/>
  <c r="N372" i="29"/>
  <c r="AI372" i="29" s="1"/>
  <c r="O334" i="29"/>
  <c r="O362" i="29"/>
  <c r="O348" i="29"/>
  <c r="P332" i="29"/>
  <c r="Q37" i="29"/>
  <c r="AC150" i="14"/>
  <c r="AD149" i="14"/>
  <c r="AI22" i="29"/>
  <c r="AI500" i="29"/>
  <c r="O22" i="29"/>
  <c r="O500" i="29" s="1"/>
  <c r="O391" i="29"/>
  <c r="O41" i="29"/>
  <c r="O131" i="14"/>
  <c r="P82" i="14" s="1"/>
  <c r="P165" i="14"/>
  <c r="I103" i="14"/>
  <c r="J101" i="14" s="1"/>
  <c r="H141" i="14"/>
  <c r="H142" i="14" s="1"/>
  <c r="J90" i="14"/>
  <c r="J91" i="14" s="1"/>
  <c r="K92" i="14" s="1"/>
  <c r="K96" i="14"/>
  <c r="K97" i="14" s="1"/>
  <c r="L98" i="14" s="1"/>
  <c r="H552" i="29"/>
  <c r="H528" i="29"/>
  <c r="I83" i="14"/>
  <c r="I228" i="14" s="1"/>
  <c r="H257" i="14" s="1"/>
  <c r="H261" i="14" s="1"/>
  <c r="I17" i="29"/>
  <c r="Y129" i="14"/>
  <c r="AJ384" i="29"/>
  <c r="AB189" i="14"/>
  <c r="AB190" i="14"/>
  <c r="AJ382" i="29"/>
  <c r="AA75" i="14"/>
  <c r="AA39" i="29"/>
  <c r="AJ388" i="29"/>
  <c r="AJ387" i="29"/>
  <c r="AJ381" i="29"/>
  <c r="Y156" i="14"/>
  <c r="Y157" i="14" s="1"/>
  <c r="Z505" i="29"/>
  <c r="Z506" i="29" s="1"/>
  <c r="Z378" i="29"/>
  <c r="Z466" i="29" s="1"/>
  <c r="AJ385" i="29"/>
  <c r="AJ386" i="29"/>
  <c r="Z76" i="14"/>
  <c r="Z122" i="14" s="1"/>
  <c r="Y79" i="14" s="1"/>
  <c r="Y78" i="14" s="1"/>
  <c r="Z229" i="14"/>
  <c r="Y258" i="14" s="1"/>
  <c r="AJ383" i="29"/>
  <c r="Y388" i="29"/>
  <c r="Y476" i="29" s="1"/>
  <c r="Y382" i="29"/>
  <c r="Y470" i="29" s="1"/>
  <c r="Y381" i="29"/>
  <c r="Y469" i="29" s="1"/>
  <c r="Y384" i="29"/>
  <c r="Y472" i="29" s="1"/>
  <c r="Y386" i="29"/>
  <c r="Y474" i="29" s="1"/>
  <c r="Y385" i="29"/>
  <c r="Y473" i="29" s="1"/>
  <c r="Y387" i="29"/>
  <c r="Y475" i="29" s="1"/>
  <c r="Y380" i="29"/>
  <c r="Y468" i="29" s="1"/>
  <c r="Y383" i="29"/>
  <c r="Y471" i="29" s="1"/>
  <c r="Y379" i="29"/>
  <c r="Y467" i="29" s="1"/>
  <c r="W124" i="14"/>
  <c r="W119" i="14" s="1"/>
  <c r="W231" i="14"/>
  <c r="V260" i="14" s="1"/>
  <c r="AJ379" i="29"/>
  <c r="AB193" i="14"/>
  <c r="AB40" i="29" s="1"/>
  <c r="AB194" i="14"/>
  <c r="AC197" i="14"/>
  <c r="AC198" i="14"/>
  <c r="AJ380" i="29"/>
  <c r="T418" i="29"/>
  <c r="T421" i="29"/>
  <c r="T423" i="29"/>
  <c r="T425" i="29"/>
  <c r="T424" i="29"/>
  <c r="T419" i="29"/>
  <c r="T427" i="29"/>
  <c r="T526" i="29"/>
  <c r="T420" i="29"/>
  <c r="T422" i="29"/>
  <c r="T426" i="29"/>
  <c r="G558" i="29"/>
  <c r="H262" i="14" l="1"/>
  <c r="I543" i="29"/>
  <c r="I544" i="29" s="1"/>
  <c r="U150" i="29"/>
  <c r="U145" i="29"/>
  <c r="U181" i="29" s="1"/>
  <c r="U182" i="29" s="1"/>
  <c r="S428" i="29"/>
  <c r="S430" i="29" s="1"/>
  <c r="W138" i="29"/>
  <c r="W140" i="29" s="1"/>
  <c r="I18" i="29"/>
  <c r="I496" i="29" s="1"/>
  <c r="I20" i="29"/>
  <c r="I498" i="29" s="1"/>
  <c r="I534" i="29" s="1"/>
  <c r="I19" i="29"/>
  <c r="I497" i="29" s="1"/>
  <c r="I533" i="29" s="1"/>
  <c r="V154" i="29"/>
  <c r="V168" i="29"/>
  <c r="V140" i="29"/>
  <c r="L521" i="29"/>
  <c r="K521" i="29"/>
  <c r="M435" i="29"/>
  <c r="U417" i="29"/>
  <c r="M434" i="29"/>
  <c r="U416" i="29"/>
  <c r="AI187" i="29"/>
  <c r="AI186" i="29"/>
  <c r="N245" i="29"/>
  <c r="N246" i="29"/>
  <c r="AI246" i="29" s="1"/>
  <c r="O186" i="29"/>
  <c r="O187" i="29"/>
  <c r="O336" i="29"/>
  <c r="O335" i="29"/>
  <c r="N305" i="29"/>
  <c r="AI305" i="29" s="1"/>
  <c r="N304" i="29"/>
  <c r="AI304" i="29" s="1"/>
  <c r="AI245" i="29"/>
  <c r="O349" i="29"/>
  <c r="O350" i="29"/>
  <c r="O364" i="29"/>
  <c r="O363" i="29"/>
  <c r="N260" i="29"/>
  <c r="AI260" i="29" s="1"/>
  <c r="N259" i="29"/>
  <c r="AI259" i="29" s="1"/>
  <c r="N291" i="29"/>
  <c r="AI291" i="29" s="1"/>
  <c r="N290" i="29"/>
  <c r="AI290" i="29" s="1"/>
  <c r="N319" i="29"/>
  <c r="AI319" i="29" s="1"/>
  <c r="N318" i="29"/>
  <c r="AI318" i="29" s="1"/>
  <c r="O215" i="29"/>
  <c r="O214" i="29"/>
  <c r="N232" i="29"/>
  <c r="AI232" i="29" s="1"/>
  <c r="N231" i="29"/>
  <c r="AI231" i="29" s="1"/>
  <c r="O200" i="29"/>
  <c r="O201" i="29"/>
  <c r="AI258" i="29"/>
  <c r="P432" i="29"/>
  <c r="AI226" i="29"/>
  <c r="AI227" i="29" s="1"/>
  <c r="O218" i="29"/>
  <c r="O224" i="29"/>
  <c r="O220" i="29"/>
  <c r="O217" i="29"/>
  <c r="O225" i="29"/>
  <c r="O221" i="29"/>
  <c r="O219" i="29"/>
  <c r="O216" i="29"/>
  <c r="O222" i="29"/>
  <c r="O223" i="29"/>
  <c r="O207" i="29"/>
  <c r="O202" i="29"/>
  <c r="O210" i="29"/>
  <c r="O209" i="29"/>
  <c r="O204" i="29"/>
  <c r="O206" i="29"/>
  <c r="O211" i="29"/>
  <c r="O203" i="29"/>
  <c r="O205" i="29"/>
  <c r="O208" i="29"/>
  <c r="P199" i="29"/>
  <c r="P185" i="29"/>
  <c r="P213" i="29"/>
  <c r="O192" i="29"/>
  <c r="O197" i="29"/>
  <c r="O195" i="29"/>
  <c r="O189" i="29"/>
  <c r="O196" i="29"/>
  <c r="O190" i="29"/>
  <c r="O193" i="29"/>
  <c r="O191" i="29"/>
  <c r="O194" i="29"/>
  <c r="O188" i="29"/>
  <c r="R32" i="29"/>
  <c r="Q183" i="29"/>
  <c r="N226" i="29"/>
  <c r="N227" i="29" s="1"/>
  <c r="J448" i="29"/>
  <c r="X31" i="29"/>
  <c r="X414" i="29" s="1"/>
  <c r="X516" i="29" s="1"/>
  <c r="N433" i="29"/>
  <c r="K447" i="29"/>
  <c r="K517" i="29" s="1"/>
  <c r="K446" i="29"/>
  <c r="M462" i="29"/>
  <c r="L461" i="29"/>
  <c r="L463" i="29" s="1"/>
  <c r="L527" i="29"/>
  <c r="L547" i="29" s="1"/>
  <c r="L538" i="29"/>
  <c r="L537" i="29"/>
  <c r="X390" i="29"/>
  <c r="X477" i="29" s="1"/>
  <c r="X478" i="29"/>
  <c r="AJ478" i="29" s="1"/>
  <c r="L532" i="29"/>
  <c r="L546" i="29" s="1"/>
  <c r="W477" i="29"/>
  <c r="W479" i="29" s="1"/>
  <c r="K532" i="29"/>
  <c r="K546" i="29" s="1"/>
  <c r="K560" i="29" s="1"/>
  <c r="L447" i="29"/>
  <c r="L517" i="29" s="1"/>
  <c r="N375" i="29"/>
  <c r="N376" i="29" s="1"/>
  <c r="T429" i="29"/>
  <c r="T428" i="29"/>
  <c r="Y389" i="29"/>
  <c r="M271" i="29"/>
  <c r="M272" i="29" s="1"/>
  <c r="M286" i="29"/>
  <c r="M330" i="29"/>
  <c r="M331" i="29" s="1"/>
  <c r="AI339" i="29"/>
  <c r="AI375" i="29" s="1"/>
  <c r="AI376" i="29" s="1"/>
  <c r="K530" i="29"/>
  <c r="L285" i="29"/>
  <c r="L446" i="29" s="1"/>
  <c r="K547" i="29"/>
  <c r="K561" i="29" s="1"/>
  <c r="AI244" i="29"/>
  <c r="AI230" i="29"/>
  <c r="P490" i="29"/>
  <c r="M275" i="29"/>
  <c r="M451" i="29" s="1"/>
  <c r="M280" i="29"/>
  <c r="M456" i="29" s="1"/>
  <c r="M439" i="29"/>
  <c r="N282" i="29"/>
  <c r="N281" i="29"/>
  <c r="N283" i="29"/>
  <c r="O274" i="29"/>
  <c r="O450" i="29" s="1"/>
  <c r="O284" i="29"/>
  <c r="O460" i="29" s="1"/>
  <c r="O279" i="29"/>
  <c r="O455" i="29" s="1"/>
  <c r="N278" i="29"/>
  <c r="N454" i="29" s="1"/>
  <c r="N277" i="29"/>
  <c r="N453" i="29" s="1"/>
  <c r="N276" i="29"/>
  <c r="N452" i="29" s="1"/>
  <c r="P84" i="14"/>
  <c r="P85" i="14"/>
  <c r="Q86" i="14" s="1"/>
  <c r="O244" i="29"/>
  <c r="O230" i="29"/>
  <c r="O258" i="29"/>
  <c r="Q33" i="29"/>
  <c r="P228" i="29"/>
  <c r="N233" i="29"/>
  <c r="N240" i="29"/>
  <c r="N236" i="29"/>
  <c r="N238" i="29"/>
  <c r="N237" i="29"/>
  <c r="N235" i="29"/>
  <c r="N242" i="29"/>
  <c r="N239" i="29"/>
  <c r="N241" i="29"/>
  <c r="N234" i="29"/>
  <c r="N251" i="29"/>
  <c r="AI251" i="29" s="1"/>
  <c r="N253" i="29"/>
  <c r="AI253" i="29" s="1"/>
  <c r="N255" i="29"/>
  <c r="AI255" i="29" s="1"/>
  <c r="N250" i="29"/>
  <c r="AI250" i="29" s="1"/>
  <c r="N249" i="29"/>
  <c r="N256" i="29"/>
  <c r="AI256" i="29" s="1"/>
  <c r="N252" i="29"/>
  <c r="AI252" i="29" s="1"/>
  <c r="N248" i="29"/>
  <c r="AI248" i="29" s="1"/>
  <c r="N247" i="29"/>
  <c r="AI247" i="29" s="1"/>
  <c r="N254" i="29"/>
  <c r="N262" i="29"/>
  <c r="AI262" i="29" s="1"/>
  <c r="N261" i="29"/>
  <c r="AI261" i="29" s="1"/>
  <c r="N270" i="29"/>
  <c r="AI270" i="29" s="1"/>
  <c r="N266" i="29"/>
  <c r="AI266" i="29" s="1"/>
  <c r="N264" i="29"/>
  <c r="AI264" i="29" s="1"/>
  <c r="N268" i="29"/>
  <c r="AI268" i="29" s="1"/>
  <c r="N269" i="29"/>
  <c r="AI269" i="29" s="1"/>
  <c r="N263" i="29"/>
  <c r="AI263" i="29" s="1"/>
  <c r="N265" i="29"/>
  <c r="AI265" i="29" s="1"/>
  <c r="N267" i="29"/>
  <c r="AI267" i="29" s="1"/>
  <c r="S514" i="29"/>
  <c r="S486" i="29"/>
  <c r="S484" i="29" s="1"/>
  <c r="U22" i="14"/>
  <c r="T205" i="14"/>
  <c r="S237" i="14" s="1"/>
  <c r="T113" i="14"/>
  <c r="T12" i="29"/>
  <c r="T42" i="14"/>
  <c r="T72" i="14" s="1"/>
  <c r="T81" i="14" s="1"/>
  <c r="M436" i="29"/>
  <c r="M437" i="29"/>
  <c r="L530" i="29"/>
  <c r="M443" i="29"/>
  <c r="M536" i="29" s="1"/>
  <c r="M494" i="29"/>
  <c r="M492" i="29"/>
  <c r="M493" i="29"/>
  <c r="AI279" i="29"/>
  <c r="AI455" i="29" s="1"/>
  <c r="AI274" i="29"/>
  <c r="AI450" i="29" s="1"/>
  <c r="N495" i="29"/>
  <c r="AI284" i="29"/>
  <c r="AI460" i="29" s="1"/>
  <c r="P491" i="29"/>
  <c r="P273" i="29"/>
  <c r="P449" i="29" s="1"/>
  <c r="Q35" i="29"/>
  <c r="M444" i="29"/>
  <c r="M537" i="29" s="1"/>
  <c r="M441" i="29"/>
  <c r="M442" i="29"/>
  <c r="M535" i="29" s="1"/>
  <c r="M445" i="29"/>
  <c r="M538" i="29" s="1"/>
  <c r="M440" i="29"/>
  <c r="M438" i="29"/>
  <c r="M529" i="29" s="1"/>
  <c r="N323" i="29"/>
  <c r="AI323" i="29" s="1"/>
  <c r="N326" i="29"/>
  <c r="AI326" i="29" s="1"/>
  <c r="N325" i="29"/>
  <c r="AI325" i="29" s="1"/>
  <c r="N322" i="29"/>
  <c r="AI322" i="29" s="1"/>
  <c r="N328" i="29"/>
  <c r="AI328" i="29" s="1"/>
  <c r="N320" i="29"/>
  <c r="AI320" i="29" s="1"/>
  <c r="N327" i="29"/>
  <c r="AI327" i="29" s="1"/>
  <c r="N329" i="29"/>
  <c r="N321" i="29"/>
  <c r="AI321" i="29" s="1"/>
  <c r="AI317" i="29"/>
  <c r="N324" i="29"/>
  <c r="O289" i="29"/>
  <c r="O317" i="29"/>
  <c r="O303" i="29"/>
  <c r="N309" i="29"/>
  <c r="AI309" i="29" s="1"/>
  <c r="N313" i="29"/>
  <c r="AI313" i="29" s="1"/>
  <c r="N314" i="29"/>
  <c r="AI314" i="29" s="1"/>
  <c r="N307" i="29"/>
  <c r="AI307" i="29" s="1"/>
  <c r="N312" i="29"/>
  <c r="AI312" i="29" s="1"/>
  <c r="N311" i="29"/>
  <c r="AI311" i="29" s="1"/>
  <c r="AI303" i="29"/>
  <c r="N306" i="29"/>
  <c r="AI306" i="29" s="1"/>
  <c r="N315" i="29"/>
  <c r="AI315" i="29" s="1"/>
  <c r="N308" i="29"/>
  <c r="AI308" i="29" s="1"/>
  <c r="N310" i="29"/>
  <c r="AI310" i="29" s="1"/>
  <c r="Q36" i="29"/>
  <c r="P287" i="29"/>
  <c r="N293" i="29"/>
  <c r="AI293" i="29" s="1"/>
  <c r="N297" i="29"/>
  <c r="AI289" i="29"/>
  <c r="N300" i="29"/>
  <c r="AI300" i="29" s="1"/>
  <c r="N292" i="29"/>
  <c r="AI292" i="29" s="1"/>
  <c r="N294" i="29"/>
  <c r="N299" i="29"/>
  <c r="AI299" i="29" s="1"/>
  <c r="N295" i="29"/>
  <c r="AI295" i="29" s="1"/>
  <c r="N301" i="29"/>
  <c r="AI301" i="29" s="1"/>
  <c r="N298" i="29"/>
  <c r="AI298" i="29" s="1"/>
  <c r="N296" i="29"/>
  <c r="AI296" i="29" s="1"/>
  <c r="O374" i="29"/>
  <c r="O371" i="29"/>
  <c r="O370" i="29"/>
  <c r="O369" i="29"/>
  <c r="O372" i="29"/>
  <c r="O368" i="29"/>
  <c r="O373" i="29"/>
  <c r="O366" i="29"/>
  <c r="O367" i="29"/>
  <c r="O365" i="29"/>
  <c r="O342" i="29"/>
  <c r="O340" i="29"/>
  <c r="O343" i="29"/>
  <c r="O337" i="29"/>
  <c r="O341" i="29"/>
  <c r="O346" i="29"/>
  <c r="O344" i="29"/>
  <c r="O345" i="29"/>
  <c r="O338" i="29"/>
  <c r="O339" i="29"/>
  <c r="O355" i="29"/>
  <c r="O356" i="29"/>
  <c r="O357" i="29"/>
  <c r="O351" i="29"/>
  <c r="O360" i="29"/>
  <c r="O358" i="29"/>
  <c r="O353" i="29"/>
  <c r="O359" i="29"/>
  <c r="O352" i="29"/>
  <c r="O354" i="29"/>
  <c r="Q332" i="29"/>
  <c r="R37" i="29"/>
  <c r="P362" i="29"/>
  <c r="P348" i="29"/>
  <c r="P334" i="29"/>
  <c r="AD150" i="14"/>
  <c r="AE149" i="14"/>
  <c r="P131" i="14"/>
  <c r="Q82" i="14" s="1"/>
  <c r="Q165" i="14"/>
  <c r="P391" i="29"/>
  <c r="P41" i="29"/>
  <c r="P22" i="29"/>
  <c r="P500" i="29" s="1"/>
  <c r="Z129" i="14"/>
  <c r="Y539" i="29"/>
  <c r="Y549" i="29" s="1"/>
  <c r="J87" i="14"/>
  <c r="J102" i="14" s="1"/>
  <c r="L99" i="14"/>
  <c r="L100" i="14" s="1"/>
  <c r="H553" i="29"/>
  <c r="H540" i="29"/>
  <c r="I105" i="14"/>
  <c r="I107" i="14" s="1"/>
  <c r="J106" i="14" s="1"/>
  <c r="I117" i="14"/>
  <c r="I111" i="14" s="1"/>
  <c r="K93" i="14"/>
  <c r="X539" i="29"/>
  <c r="AC193" i="14"/>
  <c r="AC40" i="29" s="1"/>
  <c r="AC194" i="14"/>
  <c r="AA505" i="29"/>
  <c r="AA506" i="29" s="1"/>
  <c r="AA378" i="29"/>
  <c r="AA466" i="29" s="1"/>
  <c r="X124" i="14"/>
  <c r="X119" i="14" s="1"/>
  <c r="X231" i="14"/>
  <c r="AA229" i="14"/>
  <c r="Z258" i="14" s="1"/>
  <c r="AA76" i="14"/>
  <c r="AA122" i="14" s="1"/>
  <c r="Z79" i="14" s="1"/>
  <c r="Z78" i="14" s="1"/>
  <c r="AD197" i="14"/>
  <c r="AD198" i="14"/>
  <c r="Z156" i="14"/>
  <c r="Z157" i="14" s="1"/>
  <c r="Z388" i="29"/>
  <c r="Z476" i="29" s="1"/>
  <c r="Z382" i="29"/>
  <c r="Z470" i="29" s="1"/>
  <c r="Z381" i="29"/>
  <c r="Z469" i="29" s="1"/>
  <c r="Z386" i="29"/>
  <c r="Z474" i="29" s="1"/>
  <c r="Z384" i="29"/>
  <c r="Z472" i="29" s="1"/>
  <c r="Z387" i="29"/>
  <c r="Z475" i="29" s="1"/>
  <c r="Z379" i="29"/>
  <c r="Z467" i="29" s="1"/>
  <c r="Z383" i="29"/>
  <c r="Z471" i="29" s="1"/>
  <c r="Z385" i="29"/>
  <c r="Z473" i="29" s="1"/>
  <c r="Z380" i="29"/>
  <c r="Z468" i="29" s="1"/>
  <c r="AC189" i="14"/>
  <c r="AC190" i="14"/>
  <c r="AB75" i="14"/>
  <c r="AB39" i="29"/>
  <c r="U419" i="29"/>
  <c r="U424" i="29"/>
  <c r="U425" i="29"/>
  <c r="U427" i="29"/>
  <c r="U526" i="29"/>
  <c r="U420" i="29"/>
  <c r="U422" i="29"/>
  <c r="U423" i="29"/>
  <c r="U426" i="29"/>
  <c r="U418" i="29"/>
  <c r="U421" i="29"/>
  <c r="G555" i="29"/>
  <c r="G566" i="29"/>
  <c r="W154" i="29" l="1"/>
  <c r="W164" i="29" s="1"/>
  <c r="W168" i="29"/>
  <c r="W171" i="29" s="1"/>
  <c r="V146" i="29"/>
  <c r="V152" i="29"/>
  <c r="V142" i="29"/>
  <c r="V144" i="29"/>
  <c r="V147" i="29"/>
  <c r="V149" i="29"/>
  <c r="V424" i="29" s="1"/>
  <c r="V143" i="29"/>
  <c r="V141" i="29"/>
  <c r="V151" i="29"/>
  <c r="V145" i="29"/>
  <c r="V148" i="29"/>
  <c r="V150" i="29"/>
  <c r="V180" i="29"/>
  <c r="V173" i="29"/>
  <c r="V169" i="29"/>
  <c r="V174" i="29"/>
  <c r="V171" i="29"/>
  <c r="V179" i="29"/>
  <c r="V177" i="29"/>
  <c r="V176" i="29"/>
  <c r="V178" i="29"/>
  <c r="V170" i="29"/>
  <c r="V416" i="29" s="1"/>
  <c r="V172" i="29"/>
  <c r="V175" i="29"/>
  <c r="V163" i="29"/>
  <c r="V158" i="29"/>
  <c r="V156" i="29"/>
  <c r="V162" i="29"/>
  <c r="V164" i="29"/>
  <c r="V155" i="29"/>
  <c r="V165" i="29"/>
  <c r="V159" i="29"/>
  <c r="V161" i="29"/>
  <c r="V166" i="29"/>
  <c r="V157" i="29"/>
  <c r="V160" i="29"/>
  <c r="I519" i="29"/>
  <c r="I488" i="29"/>
  <c r="I501" i="29" s="1"/>
  <c r="I507" i="29" s="1"/>
  <c r="I520" i="29" s="1"/>
  <c r="W151" i="29"/>
  <c r="W147" i="29"/>
  <c r="W148" i="29"/>
  <c r="W144" i="29"/>
  <c r="W143" i="29"/>
  <c r="W150" i="29"/>
  <c r="W146" i="29"/>
  <c r="W152" i="29"/>
  <c r="W145" i="29"/>
  <c r="W141" i="29"/>
  <c r="W142" i="29"/>
  <c r="W149" i="29"/>
  <c r="M521" i="29"/>
  <c r="X138" i="29"/>
  <c r="AJ138" i="29" s="1"/>
  <c r="AJ31" i="29"/>
  <c r="AJ414" i="29" s="1"/>
  <c r="N434" i="29"/>
  <c r="N435" i="29"/>
  <c r="AI435" i="29" s="1"/>
  <c r="V415" i="29"/>
  <c r="P200" i="29"/>
  <c r="P201" i="29"/>
  <c r="O305" i="29"/>
  <c r="O304" i="29"/>
  <c r="O318" i="29"/>
  <c r="O319" i="29"/>
  <c r="P364" i="29"/>
  <c r="P363" i="29"/>
  <c r="O291" i="29"/>
  <c r="O290" i="29"/>
  <c r="O231" i="29"/>
  <c r="O232" i="29"/>
  <c r="P349" i="29"/>
  <c r="P350" i="29"/>
  <c r="O259" i="29"/>
  <c r="O260" i="29"/>
  <c r="O245" i="29"/>
  <c r="O246" i="29"/>
  <c r="P214" i="29"/>
  <c r="P215" i="29"/>
  <c r="P336" i="29"/>
  <c r="P335" i="29"/>
  <c r="P187" i="29"/>
  <c r="P186" i="29"/>
  <c r="Q432" i="29"/>
  <c r="T430" i="29"/>
  <c r="P195" i="29"/>
  <c r="P191" i="29"/>
  <c r="P188" i="29"/>
  <c r="P197" i="29"/>
  <c r="P190" i="29"/>
  <c r="P189" i="29"/>
  <c r="P192" i="29"/>
  <c r="P194" i="29"/>
  <c r="P193" i="29"/>
  <c r="P196" i="29"/>
  <c r="Q213" i="29"/>
  <c r="Q199" i="29"/>
  <c r="Q185" i="29"/>
  <c r="O226" i="29"/>
  <c r="O227" i="29" s="1"/>
  <c r="P208" i="29"/>
  <c r="P209" i="29"/>
  <c r="P202" i="29"/>
  <c r="P211" i="29"/>
  <c r="P206" i="29"/>
  <c r="P204" i="29"/>
  <c r="P203" i="29"/>
  <c r="P210" i="29"/>
  <c r="P205" i="29"/>
  <c r="P207" i="29"/>
  <c r="S32" i="29"/>
  <c r="R183" i="29"/>
  <c r="P225" i="29"/>
  <c r="P222" i="29"/>
  <c r="P219" i="29"/>
  <c r="P221" i="29"/>
  <c r="P217" i="29"/>
  <c r="P218" i="29"/>
  <c r="P224" i="29"/>
  <c r="P220" i="29"/>
  <c r="P223" i="29"/>
  <c r="P216" i="29"/>
  <c r="L448" i="29"/>
  <c r="K448" i="29"/>
  <c r="Y31" i="29"/>
  <c r="Y414" i="29" s="1"/>
  <c r="Y516" i="29" s="1"/>
  <c r="O433" i="29"/>
  <c r="AI433" i="29"/>
  <c r="L560" i="29"/>
  <c r="AI281" i="29"/>
  <c r="AI457" i="29" s="1"/>
  <c r="N457" i="29"/>
  <c r="N462" i="29" s="1"/>
  <c r="AI282" i="29"/>
  <c r="AI458" i="29" s="1"/>
  <c r="N458" i="29"/>
  <c r="M461" i="29"/>
  <c r="M463" i="29" s="1"/>
  <c r="M527" i="29"/>
  <c r="M547" i="29" s="1"/>
  <c r="AI283" i="29"/>
  <c r="AI459" i="29" s="1"/>
  <c r="N459" i="29"/>
  <c r="AI389" i="29"/>
  <c r="AI390" i="29" s="1"/>
  <c r="AI242" i="29"/>
  <c r="M530" i="29"/>
  <c r="M532" i="29"/>
  <c r="M546" i="29" s="1"/>
  <c r="AJ477" i="29"/>
  <c r="X479" i="29"/>
  <c r="AJ479" i="29" s="1"/>
  <c r="AI237" i="29"/>
  <c r="M447" i="29"/>
  <c r="M517" i="29" s="1"/>
  <c r="Y390" i="29"/>
  <c r="Y478" i="29"/>
  <c r="AI236" i="29"/>
  <c r="AI495" i="29"/>
  <c r="AI234" i="29"/>
  <c r="AI240" i="29"/>
  <c r="AI241" i="29"/>
  <c r="AI233" i="29"/>
  <c r="AI239" i="29"/>
  <c r="O375" i="29"/>
  <c r="O376" i="29" s="1"/>
  <c r="U429" i="29"/>
  <c r="U428" i="29"/>
  <c r="I23" i="29"/>
  <c r="Z389" i="29"/>
  <c r="AI235" i="29"/>
  <c r="N271" i="29"/>
  <c r="N272" i="29" s="1"/>
  <c r="AI294" i="29"/>
  <c r="N330" i="29"/>
  <c r="N331" i="29" s="1"/>
  <c r="M285" i="29"/>
  <c r="M446" i="29" s="1"/>
  <c r="AI329" i="29"/>
  <c r="O495" i="29"/>
  <c r="N286" i="29"/>
  <c r="AI324" i="29"/>
  <c r="AI254" i="29"/>
  <c r="AI238" i="29"/>
  <c r="AI297" i="29"/>
  <c r="AI249" i="29"/>
  <c r="Q490" i="29"/>
  <c r="N275" i="29"/>
  <c r="N451" i="29" s="1"/>
  <c r="P274" i="29"/>
  <c r="P450" i="29" s="1"/>
  <c r="P284" i="29"/>
  <c r="P460" i="29" s="1"/>
  <c r="P279" i="29"/>
  <c r="P455" i="29" s="1"/>
  <c r="O276" i="29"/>
  <c r="O452" i="29" s="1"/>
  <c r="O277" i="29"/>
  <c r="O453" i="29" s="1"/>
  <c r="O278" i="29"/>
  <c r="O454" i="29" s="1"/>
  <c r="N280" i="29"/>
  <c r="O283" i="29"/>
  <c r="O459" i="29" s="1"/>
  <c r="O282" i="29"/>
  <c r="O458" i="29" s="1"/>
  <c r="O281" i="29"/>
  <c r="O457" i="29" s="1"/>
  <c r="P244" i="29"/>
  <c r="P258" i="29"/>
  <c r="P230" i="29"/>
  <c r="R33" i="29"/>
  <c r="Q228" i="29"/>
  <c r="O264" i="29"/>
  <c r="O261" i="29"/>
  <c r="O266" i="29"/>
  <c r="O263" i="29"/>
  <c r="O268" i="29"/>
  <c r="O269" i="29"/>
  <c r="O267" i="29"/>
  <c r="O265" i="29"/>
  <c r="O262" i="29"/>
  <c r="O270" i="29"/>
  <c r="O238" i="29"/>
  <c r="O237" i="29"/>
  <c r="O236" i="29"/>
  <c r="O235" i="29"/>
  <c r="O239" i="29"/>
  <c r="O242" i="29"/>
  <c r="O234" i="29"/>
  <c r="O241" i="29"/>
  <c r="O233" i="29"/>
  <c r="O240" i="29"/>
  <c r="Q85" i="14"/>
  <c r="R86" i="14" s="1"/>
  <c r="Q84" i="14"/>
  <c r="O249" i="29"/>
  <c r="O253" i="29"/>
  <c r="O255" i="29"/>
  <c r="O250" i="29"/>
  <c r="O248" i="29"/>
  <c r="O256" i="29"/>
  <c r="O254" i="29"/>
  <c r="O252" i="29"/>
  <c r="O247" i="29"/>
  <c r="O251" i="29"/>
  <c r="L561" i="29"/>
  <c r="V22" i="14"/>
  <c r="U205" i="14"/>
  <c r="T237" i="14" s="1"/>
  <c r="U113" i="14"/>
  <c r="U12" i="29"/>
  <c r="U42" i="14"/>
  <c r="U72" i="14" s="1"/>
  <c r="U81" i="14" s="1"/>
  <c r="T486" i="29"/>
  <c r="T484" i="29" s="1"/>
  <c r="T514" i="29"/>
  <c r="N494" i="29"/>
  <c r="AI494" i="29" s="1"/>
  <c r="AI278" i="29"/>
  <c r="AI454" i="29" s="1"/>
  <c r="R35" i="29"/>
  <c r="Q491" i="29"/>
  <c r="Q273" i="29"/>
  <c r="Q449" i="29" s="1"/>
  <c r="AI276" i="29"/>
  <c r="N492" i="29"/>
  <c r="AI492" i="29" s="1"/>
  <c r="AI277" i="29"/>
  <c r="AI453" i="29" s="1"/>
  <c r="N493" i="29"/>
  <c r="AI493" i="29" s="1"/>
  <c r="N438" i="29"/>
  <c r="AI438" i="29" s="1"/>
  <c r="N437" i="29"/>
  <c r="N440" i="29"/>
  <c r="AI440" i="29" s="1"/>
  <c r="N441" i="29"/>
  <c r="N445" i="29"/>
  <c r="AI445" i="29" s="1"/>
  <c r="N443" i="29"/>
  <c r="AI443" i="29" s="1"/>
  <c r="N442" i="29"/>
  <c r="N444" i="29"/>
  <c r="P303" i="29"/>
  <c r="P317" i="29"/>
  <c r="P289" i="29"/>
  <c r="O314" i="29"/>
  <c r="O313" i="29"/>
  <c r="O312" i="29"/>
  <c r="O311" i="29"/>
  <c r="O315" i="29"/>
  <c r="O310" i="29"/>
  <c r="O307" i="29"/>
  <c r="O309" i="29"/>
  <c r="O308" i="29"/>
  <c r="O306" i="29"/>
  <c r="N436" i="29"/>
  <c r="R36" i="29"/>
  <c r="Q287" i="29"/>
  <c r="O324" i="29"/>
  <c r="O327" i="29"/>
  <c r="O322" i="29"/>
  <c r="O321" i="29"/>
  <c r="O326" i="29"/>
  <c r="O320" i="29"/>
  <c r="O325" i="29"/>
  <c r="O328" i="29"/>
  <c r="O323" i="29"/>
  <c r="O329" i="29"/>
  <c r="N439" i="29"/>
  <c r="O300" i="29"/>
  <c r="O297" i="29"/>
  <c r="O292" i="29"/>
  <c r="O298" i="29"/>
  <c r="O296" i="29"/>
  <c r="O294" i="29"/>
  <c r="O301" i="29"/>
  <c r="O299" i="29"/>
  <c r="O293" i="29"/>
  <c r="O295" i="29"/>
  <c r="P344" i="29"/>
  <c r="P342" i="29"/>
  <c r="P343" i="29"/>
  <c r="P345" i="29"/>
  <c r="P338" i="29"/>
  <c r="P339" i="29"/>
  <c r="P341" i="29"/>
  <c r="P340" i="29"/>
  <c r="P337" i="29"/>
  <c r="P346" i="29"/>
  <c r="P354" i="29"/>
  <c r="P359" i="29"/>
  <c r="P352" i="29"/>
  <c r="P358" i="29"/>
  <c r="P353" i="29"/>
  <c r="P360" i="29"/>
  <c r="P351" i="29"/>
  <c r="P357" i="29"/>
  <c r="P356" i="29"/>
  <c r="P355" i="29"/>
  <c r="P365" i="29"/>
  <c r="P373" i="29"/>
  <c r="P371" i="29"/>
  <c r="P368" i="29"/>
  <c r="P374" i="29"/>
  <c r="P369" i="29"/>
  <c r="P366" i="29"/>
  <c r="P370" i="29"/>
  <c r="P372" i="29"/>
  <c r="P367" i="29"/>
  <c r="R332" i="29"/>
  <c r="S37" i="29"/>
  <c r="Q362" i="29"/>
  <c r="Q334" i="29"/>
  <c r="Q348" i="29"/>
  <c r="AF149" i="14"/>
  <c r="AE150" i="14"/>
  <c r="Q131" i="14"/>
  <c r="R82" i="14" s="1"/>
  <c r="R165" i="14"/>
  <c r="Q391" i="29"/>
  <c r="Q22" i="29"/>
  <c r="Q500" i="29" s="1"/>
  <c r="Q41" i="29"/>
  <c r="J88" i="14"/>
  <c r="K89" i="14" s="1"/>
  <c r="K90" i="14" s="1"/>
  <c r="H558" i="29"/>
  <c r="H566" i="29" s="1"/>
  <c r="J104" i="14"/>
  <c r="J103" i="14"/>
  <c r="K101" i="14" s="1"/>
  <c r="I548" i="29"/>
  <c r="I562" i="29" s="1"/>
  <c r="K94" i="14"/>
  <c r="L95" i="14" s="1"/>
  <c r="I126" i="14"/>
  <c r="I128" i="14" s="1"/>
  <c r="J127" i="14" s="1"/>
  <c r="I138" i="14"/>
  <c r="I139" i="14" s="1"/>
  <c r="Z539" i="29"/>
  <c r="Z549" i="29" s="1"/>
  <c r="AA156" i="14"/>
  <c r="AA157" i="14" s="1"/>
  <c r="AA129" i="14"/>
  <c r="AC75" i="14"/>
  <c r="AC39" i="29"/>
  <c r="AE197" i="14"/>
  <c r="AE198" i="14"/>
  <c r="X549" i="29"/>
  <c r="AJ539" i="29"/>
  <c r="AB505" i="29"/>
  <c r="AB506" i="29" s="1"/>
  <c r="AB378" i="29"/>
  <c r="AB466" i="29" s="1"/>
  <c r="Y124" i="14"/>
  <c r="Y119" i="14" s="1"/>
  <c r="Y231" i="14"/>
  <c r="X260" i="14" s="1"/>
  <c r="AB229" i="14"/>
  <c r="AA258" i="14" s="1"/>
  <c r="AB76" i="14"/>
  <c r="AB122" i="14" s="1"/>
  <c r="AA79" i="14" s="1"/>
  <c r="AA78" i="14" s="1"/>
  <c r="W260" i="14"/>
  <c r="AH260" i="14" s="1"/>
  <c r="AI231" i="14"/>
  <c r="AD194" i="14"/>
  <c r="AD193" i="14"/>
  <c r="AD40" i="29" s="1"/>
  <c r="AD189" i="14"/>
  <c r="AD190" i="14"/>
  <c r="AA381" i="29"/>
  <c r="AA469" i="29" s="1"/>
  <c r="AA382" i="29"/>
  <c r="AA470" i="29" s="1"/>
  <c r="AA384" i="29"/>
  <c r="AA472" i="29" s="1"/>
  <c r="AA388" i="29"/>
  <c r="AA476" i="29" s="1"/>
  <c r="AA386" i="29"/>
  <c r="AA474" i="29" s="1"/>
  <c r="AA380" i="29"/>
  <c r="AA468" i="29" s="1"/>
  <c r="AA387" i="29"/>
  <c r="AA475" i="29" s="1"/>
  <c r="AA379" i="29"/>
  <c r="AA467" i="29" s="1"/>
  <c r="AA383" i="29"/>
  <c r="AA471" i="29" s="1"/>
  <c r="AA385" i="29"/>
  <c r="AA473" i="29" s="1"/>
  <c r="V526" i="29"/>
  <c r="V423" i="29"/>
  <c r="H555" i="29"/>
  <c r="W163" i="29" l="1"/>
  <c r="W156" i="29"/>
  <c r="W415" i="29"/>
  <c r="W173" i="29"/>
  <c r="V418" i="29"/>
  <c r="W157" i="29"/>
  <c r="W418" i="29" s="1"/>
  <c r="W155" i="29"/>
  <c r="W174" i="29"/>
  <c r="W176" i="29"/>
  <c r="W178" i="29"/>
  <c r="W179" i="29"/>
  <c r="W159" i="29"/>
  <c r="W165" i="29"/>
  <c r="W158" i="29"/>
  <c r="W161" i="29"/>
  <c r="W162" i="29"/>
  <c r="W160" i="29"/>
  <c r="W166" i="29"/>
  <c r="V420" i="29"/>
  <c r="V427" i="29"/>
  <c r="V426" i="29"/>
  <c r="V419" i="29"/>
  <c r="W169" i="29"/>
  <c r="W172" i="29"/>
  <c r="W177" i="29"/>
  <c r="W424" i="29" s="1"/>
  <c r="V422" i="29"/>
  <c r="W180" i="29"/>
  <c r="W175" i="29"/>
  <c r="W170" i="29"/>
  <c r="W416" i="29" s="1"/>
  <c r="V421" i="29"/>
  <c r="V417" i="29"/>
  <c r="I522" i="29"/>
  <c r="V425" i="29"/>
  <c r="X140" i="29"/>
  <c r="AJ140" i="29" s="1"/>
  <c r="X168" i="29"/>
  <c r="AJ168" i="29" s="1"/>
  <c r="X154" i="29"/>
  <c r="AJ154" i="29" s="1"/>
  <c r="V181" i="29"/>
  <c r="V182" i="29" s="1"/>
  <c r="V429" i="29" s="1"/>
  <c r="Y138" i="29"/>
  <c r="O434" i="29"/>
  <c r="AI434" i="29"/>
  <c r="N521" i="29"/>
  <c r="AI521" i="29" s="1"/>
  <c r="N532" i="29"/>
  <c r="O435" i="29"/>
  <c r="Q336" i="29"/>
  <c r="Q335" i="29"/>
  <c r="Q214" i="29"/>
  <c r="Q215" i="29"/>
  <c r="P231" i="29"/>
  <c r="P232" i="29"/>
  <c r="P259" i="29"/>
  <c r="P260" i="29"/>
  <c r="Q364" i="29"/>
  <c r="Q363" i="29"/>
  <c r="P290" i="29"/>
  <c r="P291" i="29"/>
  <c r="P246" i="29"/>
  <c r="P245" i="29"/>
  <c r="P318" i="29"/>
  <c r="P319" i="29"/>
  <c r="P305" i="29"/>
  <c r="P304" i="29"/>
  <c r="Q187" i="29"/>
  <c r="Q186" i="29"/>
  <c r="Q350" i="29"/>
  <c r="Q349" i="29"/>
  <c r="Q200" i="29"/>
  <c r="Q201" i="29"/>
  <c r="R432" i="29"/>
  <c r="U430" i="29"/>
  <c r="Q202" i="29"/>
  <c r="Q209" i="29"/>
  <c r="Q203" i="29"/>
  <c r="Q204" i="29"/>
  <c r="Q211" i="29"/>
  <c r="Q207" i="29"/>
  <c r="Q208" i="29"/>
  <c r="Q205" i="29"/>
  <c r="Q206" i="29"/>
  <c r="Q210" i="29"/>
  <c r="R185" i="29"/>
  <c r="R199" i="29"/>
  <c r="R213" i="29"/>
  <c r="Q218" i="29"/>
  <c r="Q221" i="29"/>
  <c r="Q224" i="29"/>
  <c r="Q216" i="29"/>
  <c r="Q222" i="29"/>
  <c r="Q223" i="29"/>
  <c r="Q217" i="29"/>
  <c r="Q220" i="29"/>
  <c r="Q225" i="29"/>
  <c r="Q219" i="29"/>
  <c r="AI437" i="29"/>
  <c r="P226" i="29"/>
  <c r="P227" i="29" s="1"/>
  <c r="T32" i="29"/>
  <c r="S183" i="29"/>
  <c r="Q195" i="29"/>
  <c r="Q196" i="29"/>
  <c r="Q191" i="29"/>
  <c r="Q193" i="29"/>
  <c r="Q192" i="29"/>
  <c r="Q189" i="29"/>
  <c r="Q194" i="29"/>
  <c r="Q190" i="29"/>
  <c r="Q197" i="29"/>
  <c r="Q188" i="29"/>
  <c r="M448" i="29"/>
  <c r="Z31" i="29"/>
  <c r="Z414" i="29" s="1"/>
  <c r="Z516" i="29" s="1"/>
  <c r="P433" i="29"/>
  <c r="M560" i="29"/>
  <c r="O462" i="29"/>
  <c r="AI436" i="29"/>
  <c r="AI280" i="29"/>
  <c r="AI456" i="29" s="1"/>
  <c r="N456" i="29"/>
  <c r="N527" i="29" s="1"/>
  <c r="AI527" i="29" s="1"/>
  <c r="C206" i="52" s="1"/>
  <c r="AI286" i="29"/>
  <c r="AI452" i="29"/>
  <c r="AI462" i="29" s="1"/>
  <c r="N447" i="29"/>
  <c r="N517" i="29" s="1"/>
  <c r="Y477" i="29"/>
  <c r="Y479" i="29" s="1"/>
  <c r="Z390" i="29"/>
  <c r="Z478" i="29"/>
  <c r="P375" i="29"/>
  <c r="P376" i="29" s="1"/>
  <c r="AA389" i="29"/>
  <c r="O271" i="29"/>
  <c r="O272" i="29" s="1"/>
  <c r="AI330" i="29"/>
  <c r="AI331" i="29" s="1"/>
  <c r="O330" i="29"/>
  <c r="O331" i="29" s="1"/>
  <c r="AI271" i="29"/>
  <c r="AI272" i="29" s="1"/>
  <c r="O286" i="29"/>
  <c r="N285" i="29"/>
  <c r="N446" i="29" s="1"/>
  <c r="AI446" i="29" s="1"/>
  <c r="P495" i="29"/>
  <c r="AI441" i="29"/>
  <c r="O280" i="29"/>
  <c r="O456" i="29" s="1"/>
  <c r="P278" i="29"/>
  <c r="P454" i="29" s="1"/>
  <c r="P277" i="29"/>
  <c r="P453" i="29" s="1"/>
  <c r="P276" i="29"/>
  <c r="P452" i="29" s="1"/>
  <c r="Q274" i="29"/>
  <c r="Q450" i="29" s="1"/>
  <c r="Q284" i="29"/>
  <c r="Q460" i="29" s="1"/>
  <c r="Q279" i="29"/>
  <c r="Q455" i="29" s="1"/>
  <c r="P281" i="29"/>
  <c r="P457" i="29" s="1"/>
  <c r="P282" i="29"/>
  <c r="P458" i="29" s="1"/>
  <c r="P283" i="29"/>
  <c r="P459" i="29" s="1"/>
  <c r="O275" i="29"/>
  <c r="O451" i="29" s="1"/>
  <c r="Q258" i="29"/>
  <c r="Q244" i="29"/>
  <c r="Q230" i="29"/>
  <c r="S33" i="29"/>
  <c r="R228" i="29"/>
  <c r="R84" i="14"/>
  <c r="R85" i="14"/>
  <c r="S86" i="14" s="1"/>
  <c r="P234" i="29"/>
  <c r="P233" i="29"/>
  <c r="P241" i="29"/>
  <c r="P240" i="29"/>
  <c r="P239" i="29"/>
  <c r="P242" i="29"/>
  <c r="P238" i="29"/>
  <c r="P237" i="29"/>
  <c r="P236" i="29"/>
  <c r="P235" i="29"/>
  <c r="P270" i="29"/>
  <c r="P266" i="29"/>
  <c r="P262" i="29"/>
  <c r="P264" i="29"/>
  <c r="P263" i="29"/>
  <c r="P269" i="29"/>
  <c r="P268" i="29"/>
  <c r="P267" i="29"/>
  <c r="P265" i="29"/>
  <c r="P261" i="29"/>
  <c r="P249" i="29"/>
  <c r="P250" i="29"/>
  <c r="P255" i="29"/>
  <c r="P247" i="29"/>
  <c r="P248" i="29"/>
  <c r="P256" i="29"/>
  <c r="P254" i="29"/>
  <c r="P252" i="29"/>
  <c r="P251" i="29"/>
  <c r="P253" i="29"/>
  <c r="M561" i="29"/>
  <c r="O441" i="29"/>
  <c r="U486" i="29"/>
  <c r="U484" i="29" s="1"/>
  <c r="U514" i="29"/>
  <c r="W22" i="14"/>
  <c r="V205" i="14"/>
  <c r="U237" i="14" s="1"/>
  <c r="V12" i="29"/>
  <c r="V113" i="14"/>
  <c r="V42" i="14"/>
  <c r="V72" i="14" s="1"/>
  <c r="V81" i="14" s="1"/>
  <c r="O443" i="29"/>
  <c r="O436" i="29"/>
  <c r="O438" i="29"/>
  <c r="O529" i="29" s="1"/>
  <c r="N529" i="29"/>
  <c r="AI529" i="29" s="1"/>
  <c r="C207" i="52" s="1"/>
  <c r="N538" i="29"/>
  <c r="AI538" i="29" s="1"/>
  <c r="O493" i="29"/>
  <c r="O492" i="29"/>
  <c r="AI275" i="29"/>
  <c r="O494" i="29"/>
  <c r="R273" i="29"/>
  <c r="R449" i="29" s="1"/>
  <c r="S35" i="29"/>
  <c r="R491" i="29"/>
  <c r="O440" i="29"/>
  <c r="O442" i="29"/>
  <c r="O535" i="29" s="1"/>
  <c r="O437" i="29"/>
  <c r="N536" i="29"/>
  <c r="AI536" i="29" s="1"/>
  <c r="O439" i="29"/>
  <c r="O445" i="29"/>
  <c r="O538" i="29" s="1"/>
  <c r="O444" i="29"/>
  <c r="O537" i="29" s="1"/>
  <c r="N535" i="29"/>
  <c r="AI535" i="29" s="1"/>
  <c r="AI442" i="29"/>
  <c r="Q289" i="29"/>
  <c r="Q317" i="29"/>
  <c r="Q303" i="29"/>
  <c r="S36" i="29"/>
  <c r="R490" i="29"/>
  <c r="R287" i="29"/>
  <c r="N530" i="29"/>
  <c r="AI530" i="29" s="1"/>
  <c r="AI439" i="29"/>
  <c r="P297" i="29"/>
  <c r="P295" i="29"/>
  <c r="P299" i="29"/>
  <c r="P296" i="29"/>
  <c r="P300" i="29"/>
  <c r="P294" i="29"/>
  <c r="P292" i="29"/>
  <c r="P298" i="29"/>
  <c r="P301" i="29"/>
  <c r="P293" i="29"/>
  <c r="P329" i="29"/>
  <c r="P320" i="29"/>
  <c r="P325" i="29"/>
  <c r="P322" i="29"/>
  <c r="P321" i="29"/>
  <c r="P328" i="29"/>
  <c r="P323" i="29"/>
  <c r="P324" i="29"/>
  <c r="P326" i="29"/>
  <c r="P327" i="29"/>
  <c r="P315" i="29"/>
  <c r="P306" i="29"/>
  <c r="P313" i="29"/>
  <c r="P308" i="29"/>
  <c r="P312" i="29"/>
  <c r="P314" i="29"/>
  <c r="P309" i="29"/>
  <c r="P311" i="29"/>
  <c r="P310" i="29"/>
  <c r="P307" i="29"/>
  <c r="AI444" i="29"/>
  <c r="N537" i="29"/>
  <c r="AI537" i="29" s="1"/>
  <c r="Q355" i="29"/>
  <c r="Q351" i="29"/>
  <c r="Q360" i="29"/>
  <c r="Q356" i="29"/>
  <c r="Q357" i="29"/>
  <c r="Q352" i="29"/>
  <c r="Q353" i="29"/>
  <c r="Q354" i="29"/>
  <c r="Q359" i="29"/>
  <c r="Q358" i="29"/>
  <c r="Q343" i="29"/>
  <c r="Q345" i="29"/>
  <c r="Q342" i="29"/>
  <c r="Q340" i="29"/>
  <c r="Q338" i="29"/>
  <c r="Q337" i="29"/>
  <c r="Q341" i="29"/>
  <c r="Q344" i="29"/>
  <c r="Q346" i="29"/>
  <c r="Q339" i="29"/>
  <c r="Q370" i="29"/>
  <c r="Q373" i="29"/>
  <c r="Q367" i="29"/>
  <c r="Q368" i="29"/>
  <c r="Q374" i="29"/>
  <c r="Q369" i="29"/>
  <c r="Q366" i="29"/>
  <c r="Q372" i="29"/>
  <c r="Q371" i="29"/>
  <c r="Q365" i="29"/>
  <c r="S332" i="29"/>
  <c r="T37" i="29"/>
  <c r="R334" i="29"/>
  <c r="R348" i="29"/>
  <c r="R362" i="29"/>
  <c r="AF150" i="14"/>
  <c r="AG149" i="14"/>
  <c r="S165" i="14"/>
  <c r="R131" i="14"/>
  <c r="S82" i="14" s="1"/>
  <c r="R41" i="29"/>
  <c r="R391" i="29"/>
  <c r="R22" i="29"/>
  <c r="R500" i="29" s="1"/>
  <c r="K91" i="14"/>
  <c r="L92" i="14" s="1"/>
  <c r="K87" i="14"/>
  <c r="L96" i="14"/>
  <c r="L97" i="14" s="1"/>
  <c r="M98" i="14" s="1"/>
  <c r="M99" i="14" s="1"/>
  <c r="I552" i="29"/>
  <c r="I528" i="29"/>
  <c r="J140" i="14"/>
  <c r="I141" i="14"/>
  <c r="I142" i="14" s="1"/>
  <c r="J83" i="14"/>
  <c r="J228" i="14" s="1"/>
  <c r="I257" i="14" s="1"/>
  <c r="I261" i="14" s="1"/>
  <c r="J17" i="29"/>
  <c r="AA539" i="29"/>
  <c r="AA549" i="29" s="1"/>
  <c r="AE193" i="14"/>
  <c r="AE40" i="29" s="1"/>
  <c r="AE194" i="14"/>
  <c r="AB129" i="14"/>
  <c r="AJ549" i="29"/>
  <c r="D214" i="52" s="1"/>
  <c r="Z210" i="52" s="1"/>
  <c r="X563" i="29"/>
  <c r="Z124" i="14"/>
  <c r="Z119" i="14" s="1"/>
  <c r="Z231" i="14"/>
  <c r="Y260" i="14" s="1"/>
  <c r="AE189" i="14"/>
  <c r="AE190" i="14"/>
  <c r="AF197" i="14"/>
  <c r="AF198" i="14"/>
  <c r="AB156" i="14"/>
  <c r="AB157" i="14" s="1"/>
  <c r="AD75" i="14"/>
  <c r="AD39" i="29"/>
  <c r="AC505" i="29"/>
  <c r="AC506" i="29" s="1"/>
  <c r="AC378" i="29"/>
  <c r="AC466" i="29" s="1"/>
  <c r="AC229" i="14"/>
  <c r="AB258" i="14" s="1"/>
  <c r="AC76" i="14"/>
  <c r="AC122" i="14" s="1"/>
  <c r="AB79" i="14" s="1"/>
  <c r="AB78" i="14" s="1"/>
  <c r="AB384" i="29"/>
  <c r="AB472" i="29" s="1"/>
  <c r="AB381" i="29"/>
  <c r="AB469" i="29" s="1"/>
  <c r="AB386" i="29"/>
  <c r="AB474" i="29" s="1"/>
  <c r="AB388" i="29"/>
  <c r="AB476" i="29" s="1"/>
  <c r="AB382" i="29"/>
  <c r="AB470" i="29" s="1"/>
  <c r="AB385" i="29"/>
  <c r="AB473" i="29" s="1"/>
  <c r="AB380" i="29"/>
  <c r="AB468" i="29" s="1"/>
  <c r="AB379" i="29"/>
  <c r="AB467" i="29" s="1"/>
  <c r="AB383" i="29"/>
  <c r="AB471" i="29" s="1"/>
  <c r="AB387" i="29"/>
  <c r="AB475" i="29" s="1"/>
  <c r="W425" i="29"/>
  <c r="W526" i="29"/>
  <c r="W420" i="29"/>
  <c r="I262" i="14" l="1"/>
  <c r="J543" i="29"/>
  <c r="J544" i="29" s="1"/>
  <c r="W417" i="29"/>
  <c r="W422" i="29"/>
  <c r="W421" i="29"/>
  <c r="W426" i="29"/>
  <c r="W419" i="29"/>
  <c r="W423" i="29"/>
  <c r="W427" i="29"/>
  <c r="W181" i="29"/>
  <c r="W182" i="29" s="1"/>
  <c r="X415" i="29"/>
  <c r="V428" i="29"/>
  <c r="V430" i="29" s="1"/>
  <c r="J19" i="29"/>
  <c r="J497" i="29" s="1"/>
  <c r="J533" i="29" s="1"/>
  <c r="J20" i="29"/>
  <c r="J498" i="29" s="1"/>
  <c r="J534" i="29" s="1"/>
  <c r="J18" i="29"/>
  <c r="J496" i="29" s="1"/>
  <c r="Y154" i="29"/>
  <c r="Y140" i="29"/>
  <c r="Y168" i="29"/>
  <c r="X155" i="29"/>
  <c r="AJ155" i="29" s="1"/>
  <c r="X160" i="29"/>
  <c r="AJ160" i="29" s="1"/>
  <c r="X157" i="29"/>
  <c r="AJ157" i="29" s="1"/>
  <c r="X161" i="29"/>
  <c r="AJ161" i="29" s="1"/>
  <c r="X159" i="29"/>
  <c r="AJ159" i="29" s="1"/>
  <c r="X165" i="29"/>
  <c r="AJ165" i="29" s="1"/>
  <c r="X158" i="29"/>
  <c r="AJ158" i="29" s="1"/>
  <c r="X166" i="29"/>
  <c r="AJ166" i="29" s="1"/>
  <c r="X162" i="29"/>
  <c r="AJ162" i="29" s="1"/>
  <c r="X163" i="29"/>
  <c r="AJ163" i="29" s="1"/>
  <c r="X164" i="29"/>
  <c r="AJ164" i="29" s="1"/>
  <c r="X156" i="29"/>
  <c r="AJ156" i="29" s="1"/>
  <c r="X173" i="29"/>
  <c r="AJ173" i="29" s="1"/>
  <c r="X177" i="29"/>
  <c r="AJ177" i="29" s="1"/>
  <c r="X172" i="29"/>
  <c r="AJ172" i="29" s="1"/>
  <c r="X180" i="29"/>
  <c r="AJ180" i="29" s="1"/>
  <c r="X178" i="29"/>
  <c r="AJ178" i="29" s="1"/>
  <c r="X170" i="29"/>
  <c r="AJ170" i="29" s="1"/>
  <c r="X179" i="29"/>
  <c r="AJ179" i="29" s="1"/>
  <c r="X171" i="29"/>
  <c r="AJ171" i="29" s="1"/>
  <c r="X176" i="29"/>
  <c r="AJ176" i="29" s="1"/>
  <c r="X169" i="29"/>
  <c r="AJ169" i="29" s="1"/>
  <c r="X174" i="29"/>
  <c r="AJ174" i="29" s="1"/>
  <c r="X175" i="29"/>
  <c r="AJ175" i="29" s="1"/>
  <c r="X149" i="29"/>
  <c r="AJ149" i="29" s="1"/>
  <c r="X145" i="29"/>
  <c r="AJ145" i="29" s="1"/>
  <c r="X152" i="29"/>
  <c r="AJ152" i="29" s="1"/>
  <c r="X151" i="29"/>
  <c r="X144" i="29"/>
  <c r="AJ144" i="29" s="1"/>
  <c r="X143" i="29"/>
  <c r="AJ143" i="29" s="1"/>
  <c r="X150" i="29"/>
  <c r="X146" i="29"/>
  <c r="X142" i="29"/>
  <c r="AJ142" i="29" s="1"/>
  <c r="X141" i="29"/>
  <c r="AJ141" i="29" s="1"/>
  <c r="X147" i="29"/>
  <c r="AJ147" i="29" s="1"/>
  <c r="X148" i="29"/>
  <c r="AJ148" i="29" s="1"/>
  <c r="O521" i="29"/>
  <c r="Z138" i="29"/>
  <c r="P434" i="29"/>
  <c r="P435" i="29"/>
  <c r="R336" i="29"/>
  <c r="R335" i="29"/>
  <c r="Q290" i="29"/>
  <c r="Q291" i="29"/>
  <c r="Q245" i="29"/>
  <c r="Q246" i="29"/>
  <c r="Q259" i="29"/>
  <c r="Q260" i="29"/>
  <c r="R214" i="29"/>
  <c r="R215" i="29"/>
  <c r="R364" i="29"/>
  <c r="R363" i="29"/>
  <c r="Q305" i="29"/>
  <c r="Q304" i="29"/>
  <c r="R201" i="29"/>
  <c r="R200" i="29"/>
  <c r="Q232" i="29"/>
  <c r="Q231" i="29"/>
  <c r="R350" i="29"/>
  <c r="R349" i="29"/>
  <c r="Q319" i="29"/>
  <c r="Q318" i="29"/>
  <c r="R186" i="29"/>
  <c r="R187" i="29"/>
  <c r="AJ415" i="29"/>
  <c r="S432" i="29"/>
  <c r="Q226" i="29"/>
  <c r="Q227" i="29" s="1"/>
  <c r="S199" i="29"/>
  <c r="S213" i="29"/>
  <c r="S185" i="29"/>
  <c r="R216" i="29"/>
  <c r="R220" i="29"/>
  <c r="R224" i="29"/>
  <c r="R217" i="29"/>
  <c r="R221" i="29"/>
  <c r="R219" i="29"/>
  <c r="R218" i="29"/>
  <c r="R223" i="29"/>
  <c r="R222" i="29"/>
  <c r="R225" i="29"/>
  <c r="U32" i="29"/>
  <c r="T183" i="29"/>
  <c r="R206" i="29"/>
  <c r="R207" i="29"/>
  <c r="R208" i="29"/>
  <c r="R204" i="29"/>
  <c r="R202" i="29"/>
  <c r="R210" i="29"/>
  <c r="R209" i="29"/>
  <c r="R203" i="29"/>
  <c r="R205" i="29"/>
  <c r="R211" i="29"/>
  <c r="R190" i="29"/>
  <c r="R196" i="29"/>
  <c r="R194" i="29"/>
  <c r="R197" i="29"/>
  <c r="R192" i="29"/>
  <c r="R189" i="29"/>
  <c r="R191" i="29"/>
  <c r="R188" i="29"/>
  <c r="R195" i="29"/>
  <c r="R193" i="29"/>
  <c r="N448" i="29"/>
  <c r="AA31" i="29"/>
  <c r="AA414" i="29" s="1"/>
  <c r="AA516" i="29" s="1"/>
  <c r="Q433" i="29"/>
  <c r="P462" i="29"/>
  <c r="N461" i="29"/>
  <c r="N463" i="29" s="1"/>
  <c r="O527" i="29"/>
  <c r="O547" i="29" s="1"/>
  <c r="O461" i="29"/>
  <c r="O463" i="29" s="1"/>
  <c r="AI285" i="29"/>
  <c r="AI451" i="29"/>
  <c r="AI461" i="29" s="1"/>
  <c r="AI463" i="29" s="1"/>
  <c r="O536" i="29"/>
  <c r="AA390" i="29"/>
  <c r="AA478" i="29"/>
  <c r="O530" i="29"/>
  <c r="O532" i="29"/>
  <c r="O546" i="29" s="1"/>
  <c r="Q375" i="29"/>
  <c r="Q376" i="29" s="1"/>
  <c r="O447" i="29"/>
  <c r="O517" i="29" s="1"/>
  <c r="Z477" i="29"/>
  <c r="Z479" i="29" s="1"/>
  <c r="W429" i="29"/>
  <c r="AB389" i="29"/>
  <c r="P271" i="29"/>
  <c r="P272" i="29" s="1"/>
  <c r="P330" i="29"/>
  <c r="P331" i="29" s="1"/>
  <c r="P286" i="29"/>
  <c r="O285" i="29"/>
  <c r="O446" i="29" s="1"/>
  <c r="Q495" i="29"/>
  <c r="AI447" i="29"/>
  <c r="AI517" i="29" s="1"/>
  <c r="P275" i="29"/>
  <c r="P451" i="29" s="1"/>
  <c r="S490" i="29"/>
  <c r="P280" i="29"/>
  <c r="P456" i="29" s="1"/>
  <c r="R284" i="29"/>
  <c r="R460" i="29" s="1"/>
  <c r="R279" i="29"/>
  <c r="R455" i="29" s="1"/>
  <c r="R274" i="29"/>
  <c r="R450" i="29" s="1"/>
  <c r="Q282" i="29"/>
  <c r="Q458" i="29" s="1"/>
  <c r="Q283" i="29"/>
  <c r="Q459" i="29" s="1"/>
  <c r="Q281" i="29"/>
  <c r="Q457" i="29" s="1"/>
  <c r="Q276" i="29"/>
  <c r="Q452" i="29" s="1"/>
  <c r="Q277" i="29"/>
  <c r="Q453" i="29" s="1"/>
  <c r="Q278" i="29"/>
  <c r="Q454" i="29" s="1"/>
  <c r="S84" i="14"/>
  <c r="S85" i="14"/>
  <c r="T86" i="14" s="1"/>
  <c r="R258" i="29"/>
  <c r="R244" i="29"/>
  <c r="R230" i="29"/>
  <c r="T33" i="29"/>
  <c r="S228" i="29"/>
  <c r="Q234" i="29"/>
  <c r="Q233" i="29"/>
  <c r="Q240" i="29"/>
  <c r="Q239" i="29"/>
  <c r="Q242" i="29"/>
  <c r="Q241" i="29"/>
  <c r="Q238" i="29"/>
  <c r="Q236" i="29"/>
  <c r="Q237" i="29"/>
  <c r="Q235" i="29"/>
  <c r="Q254" i="29"/>
  <c r="Q252" i="29"/>
  <c r="Q248" i="29"/>
  <c r="Q256" i="29"/>
  <c r="Q247" i="29"/>
  <c r="Q251" i="29"/>
  <c r="Q253" i="29"/>
  <c r="Q250" i="29"/>
  <c r="Q255" i="29"/>
  <c r="Q249" i="29"/>
  <c r="Q262" i="29"/>
  <c r="Q268" i="29"/>
  <c r="Q263" i="29"/>
  <c r="Q269" i="29"/>
  <c r="Q265" i="29"/>
  <c r="Q267" i="29"/>
  <c r="Q261" i="29"/>
  <c r="Q270" i="29"/>
  <c r="Q266" i="29"/>
  <c r="Q264" i="29"/>
  <c r="V486" i="29"/>
  <c r="V484" i="29" s="1"/>
  <c r="V514" i="29"/>
  <c r="X22" i="14"/>
  <c r="W12" i="29"/>
  <c r="W113" i="14"/>
  <c r="W205" i="14"/>
  <c r="V237" i="14" s="1"/>
  <c r="W42" i="14"/>
  <c r="W72" i="14" s="1"/>
  <c r="W81" i="14" s="1"/>
  <c r="P445" i="29"/>
  <c r="P442" i="29"/>
  <c r="P437" i="29"/>
  <c r="C208" i="52"/>
  <c r="N547" i="29"/>
  <c r="P444" i="29"/>
  <c r="P537" i="29" s="1"/>
  <c r="P492" i="29"/>
  <c r="P494" i="29"/>
  <c r="T35" i="29"/>
  <c r="S273" i="29"/>
  <c r="S449" i="29" s="1"/>
  <c r="S491" i="29"/>
  <c r="P493" i="29"/>
  <c r="P441" i="29"/>
  <c r="P436" i="29"/>
  <c r="P443" i="29"/>
  <c r="P440" i="29"/>
  <c r="P439" i="29"/>
  <c r="P438" i="29"/>
  <c r="P529" i="29" s="1"/>
  <c r="Q309" i="29"/>
  <c r="Q314" i="29"/>
  <c r="Q311" i="29"/>
  <c r="Q306" i="29"/>
  <c r="Q307" i="29"/>
  <c r="Q308" i="29"/>
  <c r="Q312" i="29"/>
  <c r="Q310" i="29"/>
  <c r="Q315" i="29"/>
  <c r="Q313" i="29"/>
  <c r="AI532" i="29"/>
  <c r="C204" i="52" s="1"/>
  <c r="N546" i="29"/>
  <c r="Q328" i="29"/>
  <c r="Q322" i="29"/>
  <c r="Q329" i="29"/>
  <c r="Q323" i="29"/>
  <c r="Q326" i="29"/>
  <c r="Q327" i="29"/>
  <c r="Q320" i="29"/>
  <c r="Q324" i="29"/>
  <c r="Q321" i="29"/>
  <c r="Q325" i="29"/>
  <c r="R317" i="29"/>
  <c r="R289" i="29"/>
  <c r="R303" i="29"/>
  <c r="Q296" i="29"/>
  <c r="Q300" i="29"/>
  <c r="Q294" i="29"/>
  <c r="Q293" i="29"/>
  <c r="Q297" i="29"/>
  <c r="Q295" i="29"/>
  <c r="Q292" i="29"/>
  <c r="Q301" i="29"/>
  <c r="Q298" i="29"/>
  <c r="Q299" i="29"/>
  <c r="S287" i="29"/>
  <c r="T36" i="29"/>
  <c r="R357" i="29"/>
  <c r="R359" i="29"/>
  <c r="R355" i="29"/>
  <c r="R356" i="29"/>
  <c r="R353" i="29"/>
  <c r="R354" i="29"/>
  <c r="R351" i="29"/>
  <c r="R358" i="29"/>
  <c r="R352" i="29"/>
  <c r="R360" i="29"/>
  <c r="R345" i="29"/>
  <c r="R340" i="29"/>
  <c r="R342" i="29"/>
  <c r="R346" i="29"/>
  <c r="R338" i="29"/>
  <c r="R339" i="29"/>
  <c r="R343" i="29"/>
  <c r="R344" i="29"/>
  <c r="R337" i="29"/>
  <c r="R341" i="29"/>
  <c r="R371" i="29"/>
  <c r="R374" i="29"/>
  <c r="R370" i="29"/>
  <c r="R369" i="29"/>
  <c r="R367" i="29"/>
  <c r="R368" i="29"/>
  <c r="R372" i="29"/>
  <c r="R366" i="29"/>
  <c r="R365" i="29"/>
  <c r="R373" i="29"/>
  <c r="U37" i="29"/>
  <c r="T332" i="29"/>
  <c r="S334" i="29"/>
  <c r="S348" i="29"/>
  <c r="S362" i="29"/>
  <c r="AH149" i="14"/>
  <c r="AH150" i="14" s="1"/>
  <c r="AG150" i="14"/>
  <c r="S391" i="29"/>
  <c r="S41" i="29"/>
  <c r="S22" i="29"/>
  <c r="S500" i="29" s="1"/>
  <c r="T165" i="14"/>
  <c r="S131" i="14"/>
  <c r="T82" i="14" s="1"/>
  <c r="I540" i="29"/>
  <c r="J117" i="14"/>
  <c r="J111" i="14" s="1"/>
  <c r="J105" i="14"/>
  <c r="J107" i="14" s="1"/>
  <c r="K106" i="14" s="1"/>
  <c r="M100" i="14"/>
  <c r="L93" i="14"/>
  <c r="L94" i="14" s="1"/>
  <c r="M95" i="14" s="1"/>
  <c r="M96" i="14" s="1"/>
  <c r="K102" i="14"/>
  <c r="K88" i="14"/>
  <c r="L89" i="14" s="1"/>
  <c r="AC156" i="14"/>
  <c r="AC157" i="14" s="1"/>
  <c r="AG197" i="14"/>
  <c r="AG198" i="14"/>
  <c r="AC129" i="14"/>
  <c r="AF189" i="14"/>
  <c r="AF190" i="14"/>
  <c r="AA231" i="14"/>
  <c r="Z260" i="14" s="1"/>
  <c r="AA124" i="14"/>
  <c r="AA119" i="14" s="1"/>
  <c r="AE75" i="14"/>
  <c r="AE39" i="29"/>
  <c r="Y563" i="29"/>
  <c r="Z563" i="29" s="1"/>
  <c r="AA563" i="29" s="1"/>
  <c r="AJ563" i="29"/>
  <c r="AF193" i="14"/>
  <c r="AF40" i="29" s="1"/>
  <c r="AF194" i="14"/>
  <c r="AC386" i="29"/>
  <c r="AC474" i="29" s="1"/>
  <c r="AC384" i="29"/>
  <c r="AC472" i="29" s="1"/>
  <c r="AC382" i="29"/>
  <c r="AC470" i="29" s="1"/>
  <c r="AC381" i="29"/>
  <c r="AC469" i="29" s="1"/>
  <c r="AC388" i="29"/>
  <c r="AC476" i="29" s="1"/>
  <c r="AC383" i="29"/>
  <c r="AC471" i="29" s="1"/>
  <c r="AC387" i="29"/>
  <c r="AC475" i="29" s="1"/>
  <c r="AC380" i="29"/>
  <c r="AC468" i="29" s="1"/>
  <c r="AC379" i="29"/>
  <c r="AC467" i="29" s="1"/>
  <c r="AC385" i="29"/>
  <c r="AC473" i="29" s="1"/>
  <c r="AD505" i="29"/>
  <c r="AD506" i="29" s="1"/>
  <c r="AD378" i="29"/>
  <c r="AD466" i="29" s="1"/>
  <c r="AB539" i="29"/>
  <c r="AB549" i="29" s="1"/>
  <c r="AD76" i="14"/>
  <c r="AD122" i="14" s="1"/>
  <c r="AC79" i="14" s="1"/>
  <c r="AC78" i="14" s="1"/>
  <c r="AD229" i="14"/>
  <c r="AC258" i="14" s="1"/>
  <c r="AJ516" i="29"/>
  <c r="X420" i="29" l="1"/>
  <c r="AJ420" i="29" s="1"/>
  <c r="W428" i="29"/>
  <c r="W430" i="29" s="1"/>
  <c r="X425" i="29"/>
  <c r="AJ425" i="29" s="1"/>
  <c r="X427" i="29"/>
  <c r="AJ427" i="29" s="1"/>
  <c r="X419" i="29"/>
  <c r="AJ419" i="29" s="1"/>
  <c r="X417" i="29"/>
  <c r="AJ417" i="29" s="1"/>
  <c r="AJ150" i="29"/>
  <c r="X421" i="29"/>
  <c r="AJ421" i="29" s="1"/>
  <c r="AJ146" i="29"/>
  <c r="X526" i="29"/>
  <c r="AJ526" i="29" s="1"/>
  <c r="Y415" i="29"/>
  <c r="X426" i="29"/>
  <c r="AJ426" i="29" s="1"/>
  <c r="X422" i="29"/>
  <c r="AJ422" i="29" s="1"/>
  <c r="X424" i="29"/>
  <c r="AJ424" i="29" s="1"/>
  <c r="X423" i="29"/>
  <c r="AJ423" i="29" s="1"/>
  <c r="J519" i="29"/>
  <c r="J488" i="29"/>
  <c r="J501" i="29" s="1"/>
  <c r="J507" i="29" s="1"/>
  <c r="J520" i="29" s="1"/>
  <c r="X416" i="29"/>
  <c r="AJ416" i="29" s="1"/>
  <c r="AJ151" i="29"/>
  <c r="X418" i="29"/>
  <c r="AJ418" i="29" s="1"/>
  <c r="X181" i="29"/>
  <c r="X182" i="29" s="1"/>
  <c r="X429" i="29" s="1"/>
  <c r="Y180" i="29"/>
  <c r="Y172" i="29"/>
  <c r="Y179" i="29"/>
  <c r="Y177" i="29"/>
  <c r="Y173" i="29"/>
  <c r="Y174" i="29"/>
  <c r="Y178" i="29"/>
  <c r="Y170" i="29"/>
  <c r="Y175" i="29"/>
  <c r="Y171" i="29"/>
  <c r="Y169" i="29"/>
  <c r="Y176" i="29"/>
  <c r="Z168" i="29"/>
  <c r="Z154" i="29"/>
  <c r="Z140" i="29"/>
  <c r="Y141" i="29"/>
  <c r="Y149" i="29"/>
  <c r="Y145" i="29"/>
  <c r="Y144" i="29"/>
  <c r="Y148" i="29"/>
  <c r="Y152" i="29"/>
  <c r="Y151" i="29"/>
  <c r="Y147" i="29"/>
  <c r="Y146" i="29"/>
  <c r="Y150" i="29"/>
  <c r="Y143" i="29"/>
  <c r="Y142" i="29"/>
  <c r="Y159" i="29"/>
  <c r="Y160" i="29"/>
  <c r="Y155" i="29"/>
  <c r="Y165" i="29"/>
  <c r="Y158" i="29"/>
  <c r="Y161" i="29"/>
  <c r="Y156" i="29"/>
  <c r="Y162" i="29"/>
  <c r="Y163" i="29"/>
  <c r="Y157" i="29"/>
  <c r="Y166" i="29"/>
  <c r="Y164" i="29"/>
  <c r="AA138" i="29"/>
  <c r="Q435" i="29"/>
  <c r="P521" i="29"/>
  <c r="Q434" i="29"/>
  <c r="S201" i="29"/>
  <c r="S200" i="29"/>
  <c r="S363" i="29"/>
  <c r="S364" i="29"/>
  <c r="R291" i="29"/>
  <c r="R290" i="29"/>
  <c r="S335" i="29"/>
  <c r="S336" i="29"/>
  <c r="R231" i="29"/>
  <c r="R232" i="29"/>
  <c r="S214" i="29"/>
  <c r="S215" i="29"/>
  <c r="S350" i="29"/>
  <c r="S349" i="29"/>
  <c r="R319" i="29"/>
  <c r="R318" i="29"/>
  <c r="R245" i="29"/>
  <c r="R246" i="29"/>
  <c r="R259" i="29"/>
  <c r="R260" i="29"/>
  <c r="R305" i="29"/>
  <c r="R304" i="29"/>
  <c r="S187" i="29"/>
  <c r="S186" i="29"/>
  <c r="T432" i="29"/>
  <c r="V32" i="29"/>
  <c r="U183" i="29"/>
  <c r="R226" i="29"/>
  <c r="R227" i="29" s="1"/>
  <c r="S194" i="29"/>
  <c r="S197" i="29"/>
  <c r="S196" i="29"/>
  <c r="S188" i="29"/>
  <c r="S193" i="29"/>
  <c r="S192" i="29"/>
  <c r="S189" i="29"/>
  <c r="S195" i="29"/>
  <c r="S191" i="29"/>
  <c r="S190" i="29"/>
  <c r="S218" i="29"/>
  <c r="S222" i="29"/>
  <c r="S225" i="29"/>
  <c r="S216" i="29"/>
  <c r="S223" i="29"/>
  <c r="S224" i="29"/>
  <c r="S221" i="29"/>
  <c r="S219" i="29"/>
  <c r="S220" i="29"/>
  <c r="S217" i="29"/>
  <c r="T199" i="29"/>
  <c r="T185" i="29"/>
  <c r="T213" i="29"/>
  <c r="S208" i="29"/>
  <c r="S209" i="29"/>
  <c r="S202" i="29"/>
  <c r="S204" i="29"/>
  <c r="S207" i="29"/>
  <c r="S210" i="29"/>
  <c r="S203" i="29"/>
  <c r="S206" i="29"/>
  <c r="S205" i="29"/>
  <c r="S211" i="29"/>
  <c r="O448" i="29"/>
  <c r="AI448" i="29"/>
  <c r="AB31" i="29"/>
  <c r="AB414" i="29" s="1"/>
  <c r="AB516" i="29" s="1"/>
  <c r="R433" i="29"/>
  <c r="Q462" i="29"/>
  <c r="P527" i="29"/>
  <c r="P547" i="29" s="1"/>
  <c r="P461" i="29"/>
  <c r="P463" i="29" s="1"/>
  <c r="P535" i="29"/>
  <c r="P538" i="29"/>
  <c r="P532" i="29"/>
  <c r="P546" i="29" s="1"/>
  <c r="P447" i="29"/>
  <c r="P517" i="29" s="1"/>
  <c r="P536" i="29"/>
  <c r="AB390" i="29"/>
  <c r="AB478" i="29"/>
  <c r="AA477" i="29"/>
  <c r="AA479" i="29" s="1"/>
  <c r="R375" i="29"/>
  <c r="R376" i="29" s="1"/>
  <c r="AC389" i="29"/>
  <c r="J23" i="29"/>
  <c r="Q271" i="29"/>
  <c r="Q272" i="29" s="1"/>
  <c r="Q330" i="29"/>
  <c r="Q331" i="29" s="1"/>
  <c r="Q286" i="29"/>
  <c r="P285" i="29"/>
  <c r="P446" i="29" s="1"/>
  <c r="R495" i="29"/>
  <c r="Q275" i="29"/>
  <c r="Q451" i="29" s="1"/>
  <c r="R278" i="29"/>
  <c r="R454" i="29" s="1"/>
  <c r="R276" i="29"/>
  <c r="R452" i="29" s="1"/>
  <c r="R277" i="29"/>
  <c r="R453" i="29" s="1"/>
  <c r="R282" i="29"/>
  <c r="R458" i="29" s="1"/>
  <c r="R283" i="29"/>
  <c r="R459" i="29" s="1"/>
  <c r="R281" i="29"/>
  <c r="R457" i="29" s="1"/>
  <c r="S279" i="29"/>
  <c r="S455" i="29" s="1"/>
  <c r="S284" i="29"/>
  <c r="S460" i="29" s="1"/>
  <c r="S274" i="29"/>
  <c r="S450" i="29" s="1"/>
  <c r="Q280" i="29"/>
  <c r="Q456" i="29" s="1"/>
  <c r="S258" i="29"/>
  <c r="S244" i="29"/>
  <c r="S230" i="29"/>
  <c r="U33" i="29"/>
  <c r="T228" i="29"/>
  <c r="T85" i="14"/>
  <c r="U86" i="14" s="1"/>
  <c r="T84" i="14"/>
  <c r="R238" i="29"/>
  <c r="R237" i="29"/>
  <c r="R236" i="29"/>
  <c r="R235" i="29"/>
  <c r="R239" i="29"/>
  <c r="R242" i="29"/>
  <c r="R233" i="29"/>
  <c r="R234" i="29"/>
  <c r="R241" i="29"/>
  <c r="R240" i="29"/>
  <c r="R248" i="29"/>
  <c r="R256" i="29"/>
  <c r="R252" i="29"/>
  <c r="R254" i="29"/>
  <c r="R247" i="29"/>
  <c r="R251" i="29"/>
  <c r="R253" i="29"/>
  <c r="R255" i="29"/>
  <c r="R249" i="29"/>
  <c r="R250" i="29"/>
  <c r="R267" i="29"/>
  <c r="R265" i="29"/>
  <c r="R261" i="29"/>
  <c r="R270" i="29"/>
  <c r="R266" i="29"/>
  <c r="R264" i="29"/>
  <c r="R262" i="29"/>
  <c r="R269" i="29"/>
  <c r="R268" i="29"/>
  <c r="R263" i="29"/>
  <c r="Q439" i="29"/>
  <c r="Q438" i="29"/>
  <c r="Q529" i="29" s="1"/>
  <c r="Q440" i="29"/>
  <c r="W486" i="29"/>
  <c r="W484" i="29" s="1"/>
  <c r="W514" i="29"/>
  <c r="Y22" i="14"/>
  <c r="X12" i="29"/>
  <c r="X113" i="14"/>
  <c r="X205" i="14"/>
  <c r="X42" i="14"/>
  <c r="X72" i="14" s="1"/>
  <c r="X81" i="14" s="1"/>
  <c r="Q442" i="29"/>
  <c r="N561" i="29"/>
  <c r="AI547" i="29"/>
  <c r="Q492" i="29"/>
  <c r="Q443" i="29"/>
  <c r="Q536" i="29" s="1"/>
  <c r="Q437" i="29"/>
  <c r="Q494" i="29"/>
  <c r="Q493" i="29"/>
  <c r="U35" i="29"/>
  <c r="T491" i="29"/>
  <c r="T273" i="29"/>
  <c r="T449" i="29" s="1"/>
  <c r="Q445" i="29"/>
  <c r="Q538" i="29" s="1"/>
  <c r="Q441" i="29"/>
  <c r="Q436" i="29"/>
  <c r="Q444" i="29"/>
  <c r="P530" i="29"/>
  <c r="R326" i="29"/>
  <c r="R325" i="29"/>
  <c r="R327" i="29"/>
  <c r="R328" i="29"/>
  <c r="R329" i="29"/>
  <c r="R321" i="29"/>
  <c r="R323" i="29"/>
  <c r="R320" i="29"/>
  <c r="R322" i="29"/>
  <c r="R324" i="29"/>
  <c r="T287" i="29"/>
  <c r="U36" i="29"/>
  <c r="S289" i="29"/>
  <c r="S317" i="29"/>
  <c r="S303" i="29"/>
  <c r="R314" i="29"/>
  <c r="R309" i="29"/>
  <c r="R315" i="29"/>
  <c r="R308" i="29"/>
  <c r="R312" i="29"/>
  <c r="R306" i="29"/>
  <c r="R310" i="29"/>
  <c r="R307" i="29"/>
  <c r="R311" i="29"/>
  <c r="R313" i="29"/>
  <c r="T490" i="29"/>
  <c r="R294" i="29"/>
  <c r="R301" i="29"/>
  <c r="R298" i="29"/>
  <c r="R299" i="29"/>
  <c r="R292" i="29"/>
  <c r="R297" i="29"/>
  <c r="R295" i="29"/>
  <c r="R300" i="29"/>
  <c r="R293" i="29"/>
  <c r="R296" i="29"/>
  <c r="AI546" i="29"/>
  <c r="N560" i="29"/>
  <c r="S357" i="29"/>
  <c r="S356" i="29"/>
  <c r="S352" i="29"/>
  <c r="S359" i="29"/>
  <c r="S360" i="29"/>
  <c r="S351" i="29"/>
  <c r="S353" i="29"/>
  <c r="S358" i="29"/>
  <c r="S354" i="29"/>
  <c r="S355" i="29"/>
  <c r="S343" i="29"/>
  <c r="S337" i="29"/>
  <c r="S341" i="29"/>
  <c r="S338" i="29"/>
  <c r="S345" i="29"/>
  <c r="S340" i="29"/>
  <c r="S342" i="29"/>
  <c r="S344" i="29"/>
  <c r="S346" i="29"/>
  <c r="S339" i="29"/>
  <c r="S372" i="29"/>
  <c r="S371" i="29"/>
  <c r="S368" i="29"/>
  <c r="S367" i="29"/>
  <c r="S366" i="29"/>
  <c r="S370" i="29"/>
  <c r="S373" i="29"/>
  <c r="S374" i="29"/>
  <c r="S365" i="29"/>
  <c r="S369" i="29"/>
  <c r="T348" i="29"/>
  <c r="T362" i="29"/>
  <c r="T334" i="29"/>
  <c r="U332" i="29"/>
  <c r="V37" i="29"/>
  <c r="T391" i="29"/>
  <c r="T22" i="29"/>
  <c r="T500" i="29" s="1"/>
  <c r="T41" i="29"/>
  <c r="U165" i="14"/>
  <c r="T131" i="14"/>
  <c r="U82" i="14" s="1"/>
  <c r="L90" i="14"/>
  <c r="L87" i="14" s="1"/>
  <c r="L102" i="14" s="1"/>
  <c r="L104" i="14" s="1"/>
  <c r="J126" i="14"/>
  <c r="J128" i="14" s="1"/>
  <c r="K127" i="14" s="1"/>
  <c r="J138" i="14"/>
  <c r="J139" i="14" s="1"/>
  <c r="K104" i="14"/>
  <c r="K103" i="14"/>
  <c r="L101" i="14" s="1"/>
  <c r="J548" i="29"/>
  <c r="J562" i="29" s="1"/>
  <c r="M97" i="14"/>
  <c r="N98" i="14" s="1"/>
  <c r="N99" i="14" s="1"/>
  <c r="N100" i="14" s="1"/>
  <c r="I553" i="29"/>
  <c r="I555" i="29" s="1"/>
  <c r="I558" i="29"/>
  <c r="AD156" i="14"/>
  <c r="AD157" i="14" s="1"/>
  <c r="AC539" i="29"/>
  <c r="AC549" i="29" s="1"/>
  <c r="AE505" i="29"/>
  <c r="AE506" i="29" s="1"/>
  <c r="AE378" i="29"/>
  <c r="AE466" i="29" s="1"/>
  <c r="AD129" i="14"/>
  <c r="AE76" i="14"/>
  <c r="AE122" i="14" s="1"/>
  <c r="AD79" i="14" s="1"/>
  <c r="AD78" i="14" s="1"/>
  <c r="AE229" i="14"/>
  <c r="AD258" i="14" s="1"/>
  <c r="AH198" i="14"/>
  <c r="AH197" i="14"/>
  <c r="AB231" i="14"/>
  <c r="AA260" i="14" s="1"/>
  <c r="AB124" i="14"/>
  <c r="AB119" i="14" s="1"/>
  <c r="AD384" i="29"/>
  <c r="AD472" i="29" s="1"/>
  <c r="AD386" i="29"/>
  <c r="AD474" i="29" s="1"/>
  <c r="AD388" i="29"/>
  <c r="AD476" i="29" s="1"/>
  <c r="AD381" i="29"/>
  <c r="AD469" i="29" s="1"/>
  <c r="AD382" i="29"/>
  <c r="AD470" i="29" s="1"/>
  <c r="AD385" i="29"/>
  <c r="AD473" i="29" s="1"/>
  <c r="AD380" i="29"/>
  <c r="AD468" i="29" s="1"/>
  <c r="AD379" i="29"/>
  <c r="AD467" i="29" s="1"/>
  <c r="AD383" i="29"/>
  <c r="AD471" i="29" s="1"/>
  <c r="AD387" i="29"/>
  <c r="AD475" i="29" s="1"/>
  <c r="AG189" i="14"/>
  <c r="AG190" i="14"/>
  <c r="AF75" i="14"/>
  <c r="AF39" i="29"/>
  <c r="AG193" i="14"/>
  <c r="AG40" i="29" s="1"/>
  <c r="AG194" i="14"/>
  <c r="AB563" i="29"/>
  <c r="Y419" i="29" l="1"/>
  <c r="Y424" i="29"/>
  <c r="Y423" i="29"/>
  <c r="AJ181" i="29"/>
  <c r="AJ182" i="29" s="1"/>
  <c r="Y427" i="29"/>
  <c r="Z415" i="29"/>
  <c r="Y420" i="29"/>
  <c r="Y417" i="29"/>
  <c r="Y416" i="29"/>
  <c r="Y418" i="29"/>
  <c r="Y425" i="29"/>
  <c r="Y422" i="29"/>
  <c r="J522" i="29"/>
  <c r="Y426" i="29"/>
  <c r="Y421" i="29"/>
  <c r="Q521" i="29"/>
  <c r="Y526" i="29"/>
  <c r="X428" i="29"/>
  <c r="AJ428" i="29" s="1"/>
  <c r="AA154" i="29"/>
  <c r="AA140" i="29"/>
  <c r="AA168" i="29"/>
  <c r="Y181" i="29"/>
  <c r="Y182" i="29" s="1"/>
  <c r="Y429" i="29" s="1"/>
  <c r="Z150" i="29"/>
  <c r="Z143" i="29"/>
  <c r="Z152" i="29"/>
  <c r="Z142" i="29"/>
  <c r="Z145" i="29"/>
  <c r="Z144" i="29"/>
  <c r="Z151" i="29"/>
  <c r="Z149" i="29"/>
  <c r="Z146" i="29"/>
  <c r="Z141" i="29"/>
  <c r="Z147" i="29"/>
  <c r="Z148" i="29"/>
  <c r="Z164" i="29"/>
  <c r="Z160" i="29"/>
  <c r="Z166" i="29"/>
  <c r="Z157" i="29"/>
  <c r="Z162" i="29"/>
  <c r="Z165" i="29"/>
  <c r="Z163" i="29"/>
  <c r="Z156" i="29"/>
  <c r="Z158" i="29"/>
  <c r="Z155" i="29"/>
  <c r="Z159" i="29"/>
  <c r="Z161" i="29"/>
  <c r="Z179" i="29"/>
  <c r="Z174" i="29"/>
  <c r="Z178" i="29"/>
  <c r="Z173" i="29"/>
  <c r="Z169" i="29"/>
  <c r="Z177" i="29"/>
  <c r="Z170" i="29"/>
  <c r="Z171" i="29"/>
  <c r="Z180" i="29"/>
  <c r="Z176" i="29"/>
  <c r="Z172" i="29"/>
  <c r="Z175" i="29"/>
  <c r="R435" i="29"/>
  <c r="R434" i="29"/>
  <c r="S246" i="29"/>
  <c r="S245" i="29"/>
  <c r="T215" i="29"/>
  <c r="T214" i="29"/>
  <c r="AB138" i="29"/>
  <c r="T187" i="29"/>
  <c r="T186" i="29"/>
  <c r="T350" i="29"/>
  <c r="T349" i="29"/>
  <c r="S291" i="29"/>
  <c r="S290" i="29"/>
  <c r="T200" i="29"/>
  <c r="T201" i="29"/>
  <c r="S260" i="29"/>
  <c r="S259" i="29"/>
  <c r="T335" i="29"/>
  <c r="T336" i="29"/>
  <c r="S304" i="29"/>
  <c r="S305" i="29"/>
  <c r="T363" i="29"/>
  <c r="T364" i="29"/>
  <c r="S319" i="29"/>
  <c r="S318" i="29"/>
  <c r="S232" i="29"/>
  <c r="S231" i="29"/>
  <c r="U432" i="29"/>
  <c r="S226" i="29"/>
  <c r="S227" i="29" s="1"/>
  <c r="T224" i="29"/>
  <c r="T217" i="29"/>
  <c r="T218" i="29"/>
  <c r="T223" i="29"/>
  <c r="T221" i="29"/>
  <c r="T216" i="29"/>
  <c r="T225" i="29"/>
  <c r="T219" i="29"/>
  <c r="T222" i="29"/>
  <c r="T220" i="29"/>
  <c r="T189" i="29"/>
  <c r="T194" i="29"/>
  <c r="T191" i="29"/>
  <c r="T190" i="29"/>
  <c r="T197" i="29"/>
  <c r="T193" i="29"/>
  <c r="T188" i="29"/>
  <c r="T192" i="29"/>
  <c r="T195" i="29"/>
  <c r="T196" i="29"/>
  <c r="T211" i="29"/>
  <c r="T205" i="29"/>
  <c r="T203" i="29"/>
  <c r="T204" i="29"/>
  <c r="T207" i="29"/>
  <c r="T208" i="29"/>
  <c r="T209" i="29"/>
  <c r="T202" i="29"/>
  <c r="T206" i="29"/>
  <c r="T210" i="29"/>
  <c r="U185" i="29"/>
  <c r="U213" i="29"/>
  <c r="U199" i="29"/>
  <c r="W32" i="29"/>
  <c r="V183" i="29"/>
  <c r="P448" i="29"/>
  <c r="AC31" i="29"/>
  <c r="AC414" i="29" s="1"/>
  <c r="AC516" i="29" s="1"/>
  <c r="S433" i="29"/>
  <c r="R462" i="29"/>
  <c r="AJ429" i="29"/>
  <c r="Q527" i="29"/>
  <c r="Q547" i="29" s="1"/>
  <c r="Q461" i="29"/>
  <c r="Q463" i="29" s="1"/>
  <c r="Q537" i="29"/>
  <c r="Q535" i="29"/>
  <c r="AC390" i="29"/>
  <c r="AC478" i="29"/>
  <c r="AB477" i="29"/>
  <c r="AB479" i="29" s="1"/>
  <c r="Q447" i="29"/>
  <c r="Q517" i="29" s="1"/>
  <c r="Q530" i="29"/>
  <c r="Q532" i="29"/>
  <c r="Q546" i="29" s="1"/>
  <c r="S375" i="29"/>
  <c r="S376" i="29" s="1"/>
  <c r="R286" i="29"/>
  <c r="AD389" i="29"/>
  <c r="R330" i="29"/>
  <c r="R331" i="29" s="1"/>
  <c r="R271" i="29"/>
  <c r="R272" i="29" s="1"/>
  <c r="S495" i="29"/>
  <c r="Q285" i="29"/>
  <c r="Q446" i="29" s="1"/>
  <c r="U490" i="29"/>
  <c r="R280" i="29"/>
  <c r="R456" i="29" s="1"/>
  <c r="R275" i="29"/>
  <c r="R451" i="29" s="1"/>
  <c r="S282" i="29"/>
  <c r="S458" i="29" s="1"/>
  <c r="S283" i="29"/>
  <c r="S459" i="29" s="1"/>
  <c r="S281" i="29"/>
  <c r="S457" i="29" s="1"/>
  <c r="T279" i="29"/>
  <c r="T455" i="29" s="1"/>
  <c r="T274" i="29"/>
  <c r="T450" i="29" s="1"/>
  <c r="T284" i="29"/>
  <c r="T460" i="29" s="1"/>
  <c r="S277" i="29"/>
  <c r="S453" i="29" s="1"/>
  <c r="S278" i="29"/>
  <c r="S454" i="29" s="1"/>
  <c r="S276" i="29"/>
  <c r="S452" i="29" s="1"/>
  <c r="U85" i="14"/>
  <c r="V86" i="14" s="1"/>
  <c r="U84" i="14"/>
  <c r="T258" i="29"/>
  <c r="T244" i="29"/>
  <c r="T230" i="29"/>
  <c r="V33" i="29"/>
  <c r="U228" i="29"/>
  <c r="S242" i="29"/>
  <c r="S233" i="29"/>
  <c r="S241" i="29"/>
  <c r="S235" i="29"/>
  <c r="S234" i="29"/>
  <c r="S238" i="29"/>
  <c r="S240" i="29"/>
  <c r="S236" i="29"/>
  <c r="S237" i="29"/>
  <c r="S239" i="29"/>
  <c r="S255" i="29"/>
  <c r="S252" i="29"/>
  <c r="S248" i="29"/>
  <c r="S247" i="29"/>
  <c r="S256" i="29"/>
  <c r="S254" i="29"/>
  <c r="S251" i="29"/>
  <c r="S253" i="29"/>
  <c r="S249" i="29"/>
  <c r="S250" i="29"/>
  <c r="S266" i="29"/>
  <c r="S264" i="29"/>
  <c r="S262" i="29"/>
  <c r="S267" i="29"/>
  <c r="S261" i="29"/>
  <c r="S269" i="29"/>
  <c r="S263" i="29"/>
  <c r="S268" i="29"/>
  <c r="S265" i="29"/>
  <c r="S270" i="29"/>
  <c r="X514" i="29"/>
  <c r="X486" i="29"/>
  <c r="X484" i="29" s="1"/>
  <c r="AJ12" i="29"/>
  <c r="W237" i="14"/>
  <c r="AH237" i="14" s="1"/>
  <c r="AI205" i="14"/>
  <c r="C73" i="52" s="1"/>
  <c r="AA4" i="52" s="1"/>
  <c r="AA5" i="52" s="1"/>
  <c r="Z22" i="14"/>
  <c r="Y113" i="14"/>
  <c r="Y12" i="29"/>
  <c r="Y205" i="14"/>
  <c r="X237" i="14" s="1"/>
  <c r="Y42" i="14"/>
  <c r="Y72" i="14" s="1"/>
  <c r="Y81" i="14" s="1"/>
  <c r="R439" i="29"/>
  <c r="AI561" i="29"/>
  <c r="O561" i="29"/>
  <c r="P561" i="29" s="1"/>
  <c r="R442" i="29"/>
  <c r="R535" i="29" s="1"/>
  <c r="R440" i="29"/>
  <c r="R444" i="29"/>
  <c r="U491" i="29"/>
  <c r="V35" i="29"/>
  <c r="U273" i="29"/>
  <c r="U449" i="29" s="1"/>
  <c r="R492" i="29"/>
  <c r="R493" i="29"/>
  <c r="R494" i="29"/>
  <c r="R443" i="29"/>
  <c r="R536" i="29" s="1"/>
  <c r="R445" i="29"/>
  <c r="R441" i="29"/>
  <c r="R438" i="29"/>
  <c r="R529" i="29" s="1"/>
  <c r="R436" i="29"/>
  <c r="S306" i="29"/>
  <c r="S307" i="29"/>
  <c r="S313" i="29"/>
  <c r="S314" i="29"/>
  <c r="S315" i="29"/>
  <c r="S308" i="29"/>
  <c r="S312" i="29"/>
  <c r="S309" i="29"/>
  <c r="S311" i="29"/>
  <c r="S310" i="29"/>
  <c r="AI560" i="29"/>
  <c r="O560" i="29"/>
  <c r="P560" i="29" s="1"/>
  <c r="S322" i="29"/>
  <c r="S321" i="29"/>
  <c r="S320" i="29"/>
  <c r="S326" i="29"/>
  <c r="S325" i="29"/>
  <c r="S323" i="29"/>
  <c r="S329" i="29"/>
  <c r="S328" i="29"/>
  <c r="S324" i="29"/>
  <c r="S327" i="29"/>
  <c r="S294" i="29"/>
  <c r="S298" i="29"/>
  <c r="S297" i="29"/>
  <c r="S299" i="29"/>
  <c r="S301" i="29"/>
  <c r="S293" i="29"/>
  <c r="S295" i="29"/>
  <c r="S300" i="29"/>
  <c r="S292" i="29"/>
  <c r="S296" i="29"/>
  <c r="R437" i="29"/>
  <c r="V36" i="29"/>
  <c r="U287" i="29"/>
  <c r="T289" i="29"/>
  <c r="T303" i="29"/>
  <c r="T317" i="29"/>
  <c r="W37" i="29"/>
  <c r="V332" i="29"/>
  <c r="U334" i="29"/>
  <c r="U362" i="29"/>
  <c r="U348" i="29"/>
  <c r="T344" i="29"/>
  <c r="T340" i="29"/>
  <c r="T346" i="29"/>
  <c r="T345" i="29"/>
  <c r="T338" i="29"/>
  <c r="T341" i="29"/>
  <c r="T342" i="29"/>
  <c r="T343" i="29"/>
  <c r="T339" i="29"/>
  <c r="T337" i="29"/>
  <c r="T370" i="29"/>
  <c r="T372" i="29"/>
  <c r="T366" i="29"/>
  <c r="T371" i="29"/>
  <c r="T367" i="29"/>
  <c r="T373" i="29"/>
  <c r="T365" i="29"/>
  <c r="T374" i="29"/>
  <c r="T368" i="29"/>
  <c r="T369" i="29"/>
  <c r="T357" i="29"/>
  <c r="T353" i="29"/>
  <c r="T356" i="29"/>
  <c r="T352" i="29"/>
  <c r="T358" i="29"/>
  <c r="T354" i="29"/>
  <c r="T359" i="29"/>
  <c r="T355" i="29"/>
  <c r="T351" i="29"/>
  <c r="T360" i="29"/>
  <c r="U41" i="29"/>
  <c r="U22" i="29"/>
  <c r="U500" i="29" s="1"/>
  <c r="U391" i="29"/>
  <c r="U131" i="14"/>
  <c r="V82" i="14" s="1"/>
  <c r="V165" i="14"/>
  <c r="AE129" i="14"/>
  <c r="L91" i="14"/>
  <c r="M92" i="14" s="1"/>
  <c r="M93" i="14" s="1"/>
  <c r="M94" i="14" s="1"/>
  <c r="N95" i="14" s="1"/>
  <c r="N96" i="14" s="1"/>
  <c r="L88" i="14"/>
  <c r="M89" i="14" s="1"/>
  <c r="L103" i="14"/>
  <c r="M101" i="14" s="1"/>
  <c r="AC563" i="29"/>
  <c r="I566" i="29"/>
  <c r="J552" i="29"/>
  <c r="J528" i="29"/>
  <c r="L83" i="14"/>
  <c r="L228" i="14" s="1"/>
  <c r="K257" i="14" s="1"/>
  <c r="K261" i="14" s="1"/>
  <c r="L543" i="29" s="1"/>
  <c r="L544" i="29" s="1"/>
  <c r="L17" i="29"/>
  <c r="K83" i="14"/>
  <c r="K228" i="14" s="1"/>
  <c r="J257" i="14" s="1"/>
  <c r="J261" i="14" s="1"/>
  <c r="K17" i="29"/>
  <c r="K140" i="14"/>
  <c r="J141" i="14"/>
  <c r="J142" i="14" s="1"/>
  <c r="AG75" i="14"/>
  <c r="AG39" i="29"/>
  <c r="AE384" i="29"/>
  <c r="AE472" i="29" s="1"/>
  <c r="AE388" i="29"/>
  <c r="AE476" i="29" s="1"/>
  <c r="AE382" i="29"/>
  <c r="AE470" i="29" s="1"/>
  <c r="AE386" i="29"/>
  <c r="AE474" i="29" s="1"/>
  <c r="AE381" i="29"/>
  <c r="AE469" i="29" s="1"/>
  <c r="AE385" i="29"/>
  <c r="AE473" i="29" s="1"/>
  <c r="AE383" i="29"/>
  <c r="AE471" i="29" s="1"/>
  <c r="AE379" i="29"/>
  <c r="AE467" i="29" s="1"/>
  <c r="AE380" i="29"/>
  <c r="AE468" i="29" s="1"/>
  <c r="AE387" i="29"/>
  <c r="AE475" i="29" s="1"/>
  <c r="AF505" i="29"/>
  <c r="AF506" i="29" s="1"/>
  <c r="AF378" i="29"/>
  <c r="AF466" i="29" s="1"/>
  <c r="AC231" i="14"/>
  <c r="AB260" i="14" s="1"/>
  <c r="AC124" i="14"/>
  <c r="AC119" i="14" s="1"/>
  <c r="AH190" i="14"/>
  <c r="AH189" i="14"/>
  <c r="AF76" i="14"/>
  <c r="AF122" i="14" s="1"/>
  <c r="AE79" i="14" s="1"/>
  <c r="AE78" i="14" s="1"/>
  <c r="AF229" i="14"/>
  <c r="AE258" i="14" s="1"/>
  <c r="AH193" i="14"/>
  <c r="AH40" i="29" s="1"/>
  <c r="AH194" i="14"/>
  <c r="AD539" i="29"/>
  <c r="AD549" i="29" s="1"/>
  <c r="AE156" i="14"/>
  <c r="AE157" i="14" s="1"/>
  <c r="J262" i="14" l="1"/>
  <c r="K543" i="29"/>
  <c r="K544" i="29" s="1"/>
  <c r="Z420" i="29"/>
  <c r="Z426" i="29"/>
  <c r="Z419" i="29"/>
  <c r="Z417" i="29"/>
  <c r="AA415" i="29"/>
  <c r="Z418" i="29"/>
  <c r="Z416" i="29"/>
  <c r="X430" i="29"/>
  <c r="Z427" i="29"/>
  <c r="Z425" i="29"/>
  <c r="Z422" i="29"/>
  <c r="Z424" i="29"/>
  <c r="R521" i="29"/>
  <c r="K19" i="29"/>
  <c r="K497" i="29" s="1"/>
  <c r="K533" i="29" s="1"/>
  <c r="K18" i="29"/>
  <c r="K496" i="29" s="1"/>
  <c r="K20" i="29"/>
  <c r="K498" i="29" s="1"/>
  <c r="K534" i="29" s="1"/>
  <c r="L20" i="29"/>
  <c r="L498" i="29" s="1"/>
  <c r="L534" i="29" s="1"/>
  <c r="L19" i="29"/>
  <c r="L497" i="29" s="1"/>
  <c r="L533" i="29" s="1"/>
  <c r="L18" i="29"/>
  <c r="L496" i="29" s="1"/>
  <c r="Z423" i="29"/>
  <c r="Z421" i="29"/>
  <c r="AA179" i="29"/>
  <c r="AA177" i="29"/>
  <c r="AA173" i="29"/>
  <c r="AA169" i="29"/>
  <c r="AA170" i="29"/>
  <c r="AA176" i="29"/>
  <c r="AA171" i="29"/>
  <c r="AA174" i="29"/>
  <c r="AA180" i="29"/>
  <c r="AA175" i="29"/>
  <c r="AA178" i="29"/>
  <c r="AA172" i="29"/>
  <c r="Z526" i="29"/>
  <c r="AA151" i="29"/>
  <c r="AA149" i="29"/>
  <c r="AA142" i="29"/>
  <c r="AA141" i="29"/>
  <c r="AA145" i="29"/>
  <c r="AA150" i="29"/>
  <c r="AA146" i="29"/>
  <c r="AA144" i="29"/>
  <c r="AA147" i="29"/>
  <c r="AA148" i="29"/>
  <c r="AA152" i="29"/>
  <c r="AA143" i="29"/>
  <c r="AB168" i="29"/>
  <c r="AB140" i="29"/>
  <c r="AB154" i="29"/>
  <c r="Z181" i="29"/>
  <c r="Z182" i="29" s="1"/>
  <c r="Z429" i="29" s="1"/>
  <c r="AA164" i="29"/>
  <c r="AA155" i="29"/>
  <c r="AA166" i="29"/>
  <c r="AA158" i="29"/>
  <c r="AA157" i="29"/>
  <c r="AA163" i="29"/>
  <c r="AA156" i="29"/>
  <c r="AA165" i="29"/>
  <c r="AA161" i="29"/>
  <c r="AA160" i="29"/>
  <c r="AA162" i="29"/>
  <c r="AA159" i="29"/>
  <c r="Y428" i="29"/>
  <c r="Y430" i="29" s="1"/>
  <c r="AC138" i="29"/>
  <c r="S434" i="29"/>
  <c r="S435" i="29"/>
  <c r="T304" i="29"/>
  <c r="T305" i="29"/>
  <c r="U201" i="29"/>
  <c r="U200" i="29"/>
  <c r="T231" i="29"/>
  <c r="T232" i="29"/>
  <c r="U215" i="29"/>
  <c r="U214" i="29"/>
  <c r="U350" i="29"/>
  <c r="U349" i="29"/>
  <c r="T245" i="29"/>
  <c r="T246" i="29"/>
  <c r="U186" i="29"/>
  <c r="U187" i="29"/>
  <c r="T259" i="29"/>
  <c r="T260" i="29"/>
  <c r="U336" i="29"/>
  <c r="U335" i="29"/>
  <c r="U364" i="29"/>
  <c r="U363" i="29"/>
  <c r="T291" i="29"/>
  <c r="T290" i="29"/>
  <c r="T319" i="29"/>
  <c r="T318" i="29"/>
  <c r="V432" i="29"/>
  <c r="V213" i="29"/>
  <c r="V199" i="29"/>
  <c r="V185" i="29"/>
  <c r="T226" i="29"/>
  <c r="T227" i="29" s="1"/>
  <c r="AJ430" i="29"/>
  <c r="X32" i="29"/>
  <c r="W183" i="29"/>
  <c r="U209" i="29"/>
  <c r="U207" i="29"/>
  <c r="U210" i="29"/>
  <c r="U202" i="29"/>
  <c r="U211" i="29"/>
  <c r="U204" i="29"/>
  <c r="U208" i="29"/>
  <c r="U206" i="29"/>
  <c r="U205" i="29"/>
  <c r="U203" i="29"/>
  <c r="U216" i="29"/>
  <c r="U224" i="29"/>
  <c r="U220" i="29"/>
  <c r="U219" i="29"/>
  <c r="U218" i="29"/>
  <c r="U225" i="29"/>
  <c r="U221" i="29"/>
  <c r="U222" i="29"/>
  <c r="U223" i="29"/>
  <c r="U217" i="29"/>
  <c r="U188" i="29"/>
  <c r="U194" i="29"/>
  <c r="U196" i="29"/>
  <c r="U193" i="29"/>
  <c r="U195" i="29"/>
  <c r="U192" i="29"/>
  <c r="U197" i="29"/>
  <c r="U191" i="29"/>
  <c r="U189" i="29"/>
  <c r="U190" i="29"/>
  <c r="Q448" i="29"/>
  <c r="AD31" i="29"/>
  <c r="AD414" i="29" s="1"/>
  <c r="AD516" i="29" s="1"/>
  <c r="T433" i="29"/>
  <c r="S462" i="29"/>
  <c r="R527" i="29"/>
  <c r="R547" i="29" s="1"/>
  <c r="R461" i="29"/>
  <c r="R463" i="29" s="1"/>
  <c r="R538" i="29"/>
  <c r="R537" i="29"/>
  <c r="R532" i="29"/>
  <c r="R546" i="29" s="1"/>
  <c r="AC477" i="29"/>
  <c r="AC479" i="29" s="1"/>
  <c r="AD390" i="29"/>
  <c r="AD478" i="29"/>
  <c r="T375" i="29"/>
  <c r="T376" i="29" s="1"/>
  <c r="AE389" i="29"/>
  <c r="S271" i="29"/>
  <c r="S272" i="29" s="1"/>
  <c r="S330" i="29"/>
  <c r="S331" i="29" s="1"/>
  <c r="S286" i="29"/>
  <c r="R285" i="29"/>
  <c r="R446" i="29" s="1"/>
  <c r="T495" i="29"/>
  <c r="AJ514" i="29"/>
  <c r="Q560" i="29"/>
  <c r="V490" i="29"/>
  <c r="S275" i="29"/>
  <c r="S451" i="29" s="1"/>
  <c r="T282" i="29"/>
  <c r="T458" i="29" s="1"/>
  <c r="T283" i="29"/>
  <c r="T459" i="29" s="1"/>
  <c r="T281" i="29"/>
  <c r="T457" i="29" s="1"/>
  <c r="U279" i="29"/>
  <c r="U455" i="29" s="1"/>
  <c r="U274" i="29"/>
  <c r="U450" i="29" s="1"/>
  <c r="U284" i="29"/>
  <c r="U460" i="29" s="1"/>
  <c r="T277" i="29"/>
  <c r="T453" i="29" s="1"/>
  <c r="T276" i="29"/>
  <c r="T452" i="29" s="1"/>
  <c r="T278" i="29"/>
  <c r="T454" i="29" s="1"/>
  <c r="S280" i="29"/>
  <c r="S456" i="29" s="1"/>
  <c r="U258" i="29"/>
  <c r="U244" i="29"/>
  <c r="U230" i="29"/>
  <c r="W33" i="29"/>
  <c r="V228" i="29"/>
  <c r="V85" i="14"/>
  <c r="W86" i="14" s="1"/>
  <c r="V84" i="14"/>
  <c r="T240" i="29"/>
  <c r="T242" i="29"/>
  <c r="T233" i="29"/>
  <c r="T239" i="29"/>
  <c r="T236" i="29"/>
  <c r="T241" i="29"/>
  <c r="T238" i="29"/>
  <c r="T237" i="29"/>
  <c r="T235" i="29"/>
  <c r="T234" i="29"/>
  <c r="T248" i="29"/>
  <c r="T254" i="29"/>
  <c r="T256" i="29"/>
  <c r="T252" i="29"/>
  <c r="T247" i="29"/>
  <c r="T251" i="29"/>
  <c r="T253" i="29"/>
  <c r="T250" i="29"/>
  <c r="T255" i="29"/>
  <c r="T249" i="29"/>
  <c r="T266" i="29"/>
  <c r="T264" i="29"/>
  <c r="T262" i="29"/>
  <c r="T261" i="29"/>
  <c r="T263" i="29"/>
  <c r="T270" i="29"/>
  <c r="T267" i="29"/>
  <c r="T265" i="29"/>
  <c r="T269" i="29"/>
  <c r="T268" i="29"/>
  <c r="K262" i="14"/>
  <c r="AD563" i="29"/>
  <c r="AA22" i="14"/>
  <c r="Z205" i="14"/>
  <c r="Y237" i="14" s="1"/>
  <c r="Z113" i="14"/>
  <c r="Z12" i="29"/>
  <c r="Z42" i="14"/>
  <c r="Z72" i="14" s="1"/>
  <c r="Z81" i="14" s="1"/>
  <c r="Y514" i="29"/>
  <c r="Y486" i="29"/>
  <c r="Y484" i="29" s="1"/>
  <c r="C85" i="52"/>
  <c r="AJ484" i="29"/>
  <c r="AJ486" i="29"/>
  <c r="R530" i="29"/>
  <c r="S439" i="29"/>
  <c r="Q561" i="29"/>
  <c r="S437" i="29"/>
  <c r="S438" i="29"/>
  <c r="S445" i="29"/>
  <c r="S538" i="29" s="1"/>
  <c r="S494" i="29"/>
  <c r="S492" i="29"/>
  <c r="S444" i="29"/>
  <c r="S537" i="29" s="1"/>
  <c r="S493" i="29"/>
  <c r="V273" i="29"/>
  <c r="V449" i="29" s="1"/>
  <c r="W35" i="29"/>
  <c r="V491" i="29"/>
  <c r="S443" i="29"/>
  <c r="S536" i="29" s="1"/>
  <c r="S442" i="29"/>
  <c r="S535" i="29" s="1"/>
  <c r="S440" i="29"/>
  <c r="S436" i="29"/>
  <c r="S441" i="29"/>
  <c r="T321" i="29"/>
  <c r="T328" i="29"/>
  <c r="T329" i="29"/>
  <c r="T327" i="29"/>
  <c r="T324" i="29"/>
  <c r="T323" i="29"/>
  <c r="T322" i="29"/>
  <c r="T320" i="29"/>
  <c r="T326" i="29"/>
  <c r="T325" i="29"/>
  <c r="T309" i="29"/>
  <c r="T306" i="29"/>
  <c r="T310" i="29"/>
  <c r="T313" i="29"/>
  <c r="T315" i="29"/>
  <c r="T314" i="29"/>
  <c r="T312" i="29"/>
  <c r="T307" i="29"/>
  <c r="T311" i="29"/>
  <c r="T308" i="29"/>
  <c r="T294" i="29"/>
  <c r="T300" i="29"/>
  <c r="T296" i="29"/>
  <c r="T299" i="29"/>
  <c r="T295" i="29"/>
  <c r="T292" i="29"/>
  <c r="T298" i="29"/>
  <c r="T297" i="29"/>
  <c r="T293" i="29"/>
  <c r="T301" i="29"/>
  <c r="U289" i="29"/>
  <c r="U303" i="29"/>
  <c r="U317" i="29"/>
  <c r="V287" i="29"/>
  <c r="W36" i="29"/>
  <c r="U353" i="29"/>
  <c r="U354" i="29"/>
  <c r="U356" i="29"/>
  <c r="U351" i="29"/>
  <c r="U358" i="29"/>
  <c r="U360" i="29"/>
  <c r="U357" i="29"/>
  <c r="U352" i="29"/>
  <c r="U359" i="29"/>
  <c r="U355" i="29"/>
  <c r="U372" i="29"/>
  <c r="U369" i="29"/>
  <c r="U365" i="29"/>
  <c r="U373" i="29"/>
  <c r="U370" i="29"/>
  <c r="U367" i="29"/>
  <c r="U374" i="29"/>
  <c r="U371" i="29"/>
  <c r="U366" i="29"/>
  <c r="U368" i="29"/>
  <c r="U345" i="29"/>
  <c r="U343" i="29"/>
  <c r="U346" i="29"/>
  <c r="U338" i="29"/>
  <c r="U344" i="29"/>
  <c r="U340" i="29"/>
  <c r="U339" i="29"/>
  <c r="U342" i="29"/>
  <c r="U337" i="29"/>
  <c r="U341" i="29"/>
  <c r="V362" i="29"/>
  <c r="V348" i="29"/>
  <c r="V334" i="29"/>
  <c r="X37" i="29"/>
  <c r="W332" i="29"/>
  <c r="W165" i="14"/>
  <c r="V131" i="14"/>
  <c r="W82" i="14" s="1"/>
  <c r="V22" i="29"/>
  <c r="V41" i="29"/>
  <c r="V391" i="29"/>
  <c r="AF129" i="14"/>
  <c r="M90" i="14"/>
  <c r="M91" i="14" s="1"/>
  <c r="N92" i="14" s="1"/>
  <c r="N93" i="14" s="1"/>
  <c r="N97" i="14"/>
  <c r="O98" i="14" s="1"/>
  <c r="O99" i="14" s="1"/>
  <c r="O100" i="14" s="1"/>
  <c r="K105" i="14"/>
  <c r="K107" i="14" s="1"/>
  <c r="L106" i="14" s="1"/>
  <c r="K117" i="14"/>
  <c r="K111" i="14" s="1"/>
  <c r="L117" i="14"/>
  <c r="L111" i="14" s="1"/>
  <c r="L105" i="14"/>
  <c r="J540" i="29"/>
  <c r="AG505" i="29"/>
  <c r="AG506" i="29" s="1"/>
  <c r="AG378" i="29"/>
  <c r="AG466" i="29" s="1"/>
  <c r="AH75" i="14"/>
  <c r="AH39" i="29"/>
  <c r="AF386" i="29"/>
  <c r="AF474" i="29" s="1"/>
  <c r="AF381" i="29"/>
  <c r="AF469" i="29" s="1"/>
  <c r="AF384" i="29"/>
  <c r="AF472" i="29" s="1"/>
  <c r="AF388" i="29"/>
  <c r="AF476" i="29" s="1"/>
  <c r="AF382" i="29"/>
  <c r="AF470" i="29" s="1"/>
  <c r="AF380" i="29"/>
  <c r="AF468" i="29" s="1"/>
  <c r="AF383" i="29"/>
  <c r="AF471" i="29" s="1"/>
  <c r="AF379" i="29"/>
  <c r="AF467" i="29" s="1"/>
  <c r="AF385" i="29"/>
  <c r="AF473" i="29" s="1"/>
  <c r="AF387" i="29"/>
  <c r="AF475" i="29" s="1"/>
  <c r="AG76" i="14"/>
  <c r="AG122" i="14" s="1"/>
  <c r="AF79" i="14" s="1"/>
  <c r="AF78" i="14" s="1"/>
  <c r="AG229" i="14"/>
  <c r="AF258" i="14" s="1"/>
  <c r="AF156" i="14"/>
  <c r="AF157" i="14" s="1"/>
  <c r="AD231" i="14"/>
  <c r="AC260" i="14" s="1"/>
  <c r="AD124" i="14"/>
  <c r="AD119" i="14" s="1"/>
  <c r="AK40" i="29"/>
  <c r="AE539" i="29"/>
  <c r="AE549" i="29" s="1"/>
  <c r="AA420" i="29" l="1"/>
  <c r="AA526" i="29"/>
  <c r="AA426" i="29"/>
  <c r="AA421" i="29"/>
  <c r="AA427" i="29"/>
  <c r="AA418" i="29"/>
  <c r="AA419" i="29"/>
  <c r="AD138" i="29"/>
  <c r="AD154" i="29" s="1"/>
  <c r="AA416" i="29"/>
  <c r="AB415" i="29"/>
  <c r="AA417" i="29"/>
  <c r="AA425" i="29"/>
  <c r="AA423" i="29"/>
  <c r="AA422" i="29"/>
  <c r="AA424" i="29"/>
  <c r="Z428" i="29"/>
  <c r="Z430" i="29" s="1"/>
  <c r="K519" i="29"/>
  <c r="K488" i="29"/>
  <c r="K501" i="29" s="1"/>
  <c r="K507" i="29" s="1"/>
  <c r="K520" i="29" s="1"/>
  <c r="AC168" i="29"/>
  <c r="AC140" i="29"/>
  <c r="AC154" i="29"/>
  <c r="AA181" i="29"/>
  <c r="AA182" i="29" s="1"/>
  <c r="AA429" i="29" s="1"/>
  <c r="AB162" i="29"/>
  <c r="AB155" i="29"/>
  <c r="AB164" i="29"/>
  <c r="AB160" i="29"/>
  <c r="AB158" i="29"/>
  <c r="AB163" i="29"/>
  <c r="AB156" i="29"/>
  <c r="AB166" i="29"/>
  <c r="AB157" i="29"/>
  <c r="AB161" i="29"/>
  <c r="AB159" i="29"/>
  <c r="AB165" i="29"/>
  <c r="AB151" i="29"/>
  <c r="AB146" i="29"/>
  <c r="AB145" i="29"/>
  <c r="AB152" i="29"/>
  <c r="AB142" i="29"/>
  <c r="AB141" i="29"/>
  <c r="AB148" i="29"/>
  <c r="AB150" i="29"/>
  <c r="AB143" i="29"/>
  <c r="AB147" i="29"/>
  <c r="AB144" i="29"/>
  <c r="AB149" i="29"/>
  <c r="AB180" i="29"/>
  <c r="AB171" i="29"/>
  <c r="AB170" i="29"/>
  <c r="AB179" i="29"/>
  <c r="AB175" i="29"/>
  <c r="AB174" i="29"/>
  <c r="AB178" i="29"/>
  <c r="AB177" i="29"/>
  <c r="AB173" i="29"/>
  <c r="AB169" i="29"/>
  <c r="AB176" i="29"/>
  <c r="AB172" i="29"/>
  <c r="L519" i="29"/>
  <c r="L488" i="29"/>
  <c r="L501" i="29" s="1"/>
  <c r="L507" i="29" s="1"/>
  <c r="L520" i="29" s="1"/>
  <c r="S521" i="29"/>
  <c r="T462" i="29"/>
  <c r="T434" i="29"/>
  <c r="T435" i="29"/>
  <c r="V201" i="29"/>
  <c r="V200" i="29"/>
  <c r="V186" i="29"/>
  <c r="V187" i="29"/>
  <c r="V214" i="29"/>
  <c r="V215" i="29"/>
  <c r="V350" i="29"/>
  <c r="V349" i="29"/>
  <c r="V364" i="29"/>
  <c r="V363" i="29"/>
  <c r="U319" i="29"/>
  <c r="U318" i="29"/>
  <c r="V336" i="29"/>
  <c r="V335" i="29"/>
  <c r="U231" i="29"/>
  <c r="U232" i="29"/>
  <c r="U305" i="29"/>
  <c r="U304" i="29"/>
  <c r="U291" i="29"/>
  <c r="U290" i="29"/>
  <c r="U246" i="29"/>
  <c r="U245" i="29"/>
  <c r="U259" i="29"/>
  <c r="U260" i="29"/>
  <c r="U226" i="29"/>
  <c r="U227" i="29" s="1"/>
  <c r="W432" i="29"/>
  <c r="Y32" i="29"/>
  <c r="X183" i="29"/>
  <c r="V192" i="29"/>
  <c r="V193" i="29"/>
  <c r="V194" i="29"/>
  <c r="V189" i="29"/>
  <c r="V190" i="29"/>
  <c r="V196" i="29"/>
  <c r="V191" i="29"/>
  <c r="V197" i="29"/>
  <c r="V188" i="29"/>
  <c r="V195" i="29"/>
  <c r="AJ32" i="29"/>
  <c r="V209" i="29"/>
  <c r="V203" i="29"/>
  <c r="V204" i="29"/>
  <c r="V211" i="29"/>
  <c r="V206" i="29"/>
  <c r="V208" i="29"/>
  <c r="V205" i="29"/>
  <c r="V210" i="29"/>
  <c r="V207" i="29"/>
  <c r="V202" i="29"/>
  <c r="W199" i="29"/>
  <c r="W185" i="29"/>
  <c r="W213" i="29"/>
  <c r="V216" i="29"/>
  <c r="V225" i="29"/>
  <c r="V218" i="29"/>
  <c r="V221" i="29"/>
  <c r="V222" i="29"/>
  <c r="V217" i="29"/>
  <c r="V224" i="29"/>
  <c r="V220" i="29"/>
  <c r="V219" i="29"/>
  <c r="V223" i="29"/>
  <c r="AE31" i="29"/>
  <c r="AE414" i="29" s="1"/>
  <c r="AE516" i="29" s="1"/>
  <c r="U433" i="29"/>
  <c r="S461" i="29"/>
  <c r="S463" i="29" s="1"/>
  <c r="S527" i="29"/>
  <c r="S529" i="29"/>
  <c r="R560" i="29"/>
  <c r="R447" i="29"/>
  <c r="R517" i="29" s="1"/>
  <c r="S447" i="29"/>
  <c r="S517" i="29" s="1"/>
  <c r="AD477" i="29"/>
  <c r="AD479" i="29" s="1"/>
  <c r="AE390" i="29"/>
  <c r="AE478" i="29"/>
  <c r="U375" i="29"/>
  <c r="U376" i="29" s="1"/>
  <c r="S532" i="29"/>
  <c r="S546" i="29" s="1"/>
  <c r="AF389" i="29"/>
  <c r="K23" i="29"/>
  <c r="L23" i="29"/>
  <c r="T271" i="29"/>
  <c r="T272" i="29" s="1"/>
  <c r="T330" i="29"/>
  <c r="T331" i="29" s="1"/>
  <c r="T286" i="29"/>
  <c r="S285" i="29"/>
  <c r="S446" i="29" s="1"/>
  <c r="U495" i="29"/>
  <c r="V279" i="29"/>
  <c r="V455" i="29" s="1"/>
  <c r="V274" i="29"/>
  <c r="V450" i="29" s="1"/>
  <c r="V284" i="29"/>
  <c r="V460" i="29" s="1"/>
  <c r="T275" i="29"/>
  <c r="T451" i="29" s="1"/>
  <c r="T280" i="29"/>
  <c r="T456" i="29" s="1"/>
  <c r="U277" i="29"/>
  <c r="U453" i="29" s="1"/>
  <c r="U276" i="29"/>
  <c r="U452" i="29" s="1"/>
  <c r="U278" i="29"/>
  <c r="U454" i="29" s="1"/>
  <c r="U283" i="29"/>
  <c r="U459" i="29" s="1"/>
  <c r="U282" i="29"/>
  <c r="U458" i="29" s="1"/>
  <c r="U281" i="29"/>
  <c r="U457" i="29" s="1"/>
  <c r="W84" i="14"/>
  <c r="W85" i="14"/>
  <c r="X86" i="14" s="1"/>
  <c r="V258" i="29"/>
  <c r="V244" i="29"/>
  <c r="V230" i="29"/>
  <c r="X33" i="29"/>
  <c r="W228" i="29"/>
  <c r="U237" i="29"/>
  <c r="U235" i="29"/>
  <c r="U240" i="29"/>
  <c r="U239" i="29"/>
  <c r="U242" i="29"/>
  <c r="U234" i="29"/>
  <c r="U241" i="29"/>
  <c r="U233" i="29"/>
  <c r="U236" i="29"/>
  <c r="U238" i="29"/>
  <c r="U253" i="29"/>
  <c r="U251" i="29"/>
  <c r="U249" i="29"/>
  <c r="U250" i="29"/>
  <c r="U255" i="29"/>
  <c r="U254" i="29"/>
  <c r="U252" i="29"/>
  <c r="U256" i="29"/>
  <c r="U248" i="29"/>
  <c r="U247" i="29"/>
  <c r="U263" i="29"/>
  <c r="U267" i="29"/>
  <c r="U265" i="29"/>
  <c r="U261" i="29"/>
  <c r="U270" i="29"/>
  <c r="U266" i="29"/>
  <c r="U264" i="29"/>
  <c r="U262" i="29"/>
  <c r="U268" i="29"/>
  <c r="U269" i="29"/>
  <c r="AE563" i="29"/>
  <c r="Z514" i="29"/>
  <c r="Z486" i="29"/>
  <c r="Z484" i="29" s="1"/>
  <c r="AB22" i="14"/>
  <c r="AA205" i="14"/>
  <c r="Z237" i="14" s="1"/>
  <c r="AA113" i="14"/>
  <c r="AA12" i="29"/>
  <c r="AA42" i="14"/>
  <c r="AA72" i="14" s="1"/>
  <c r="AA81" i="14" s="1"/>
  <c r="T444" i="29"/>
  <c r="T537" i="29" s="1"/>
  <c r="S530" i="29"/>
  <c r="R561" i="29"/>
  <c r="T494" i="29"/>
  <c r="T437" i="29"/>
  <c r="T438" i="29"/>
  <c r="T440" i="29"/>
  <c r="T492" i="29"/>
  <c r="W273" i="29"/>
  <c r="W449" i="29" s="1"/>
  <c r="X35" i="29"/>
  <c r="W491" i="29"/>
  <c r="T493" i="29"/>
  <c r="T436" i="29"/>
  <c r="T445" i="29"/>
  <c r="T441" i="29"/>
  <c r="T442" i="29"/>
  <c r="T535" i="29" s="1"/>
  <c r="T443" i="29"/>
  <c r="T439" i="29"/>
  <c r="U294" i="29"/>
  <c r="U300" i="29"/>
  <c r="U297" i="29"/>
  <c r="U295" i="29"/>
  <c r="U299" i="29"/>
  <c r="U301" i="29"/>
  <c r="U298" i="29"/>
  <c r="U293" i="29"/>
  <c r="U292" i="29"/>
  <c r="U296" i="29"/>
  <c r="W490" i="29"/>
  <c r="X36" i="29"/>
  <c r="W287" i="29"/>
  <c r="V289" i="29"/>
  <c r="V317" i="29"/>
  <c r="V303" i="29"/>
  <c r="U321" i="29"/>
  <c r="U323" i="29"/>
  <c r="U327" i="29"/>
  <c r="U324" i="29"/>
  <c r="U326" i="29"/>
  <c r="U320" i="29"/>
  <c r="U328" i="29"/>
  <c r="U329" i="29"/>
  <c r="U325" i="29"/>
  <c r="U322" i="29"/>
  <c r="U315" i="29"/>
  <c r="U310" i="29"/>
  <c r="U308" i="29"/>
  <c r="U312" i="29"/>
  <c r="U307" i="29"/>
  <c r="U314" i="29"/>
  <c r="U309" i="29"/>
  <c r="U306" i="29"/>
  <c r="U311" i="29"/>
  <c r="U313" i="29"/>
  <c r="W362" i="29"/>
  <c r="W348" i="29"/>
  <c r="W334" i="29"/>
  <c r="V345" i="29"/>
  <c r="V343" i="29"/>
  <c r="V341" i="29"/>
  <c r="V337" i="29"/>
  <c r="V344" i="29"/>
  <c r="V338" i="29"/>
  <c r="V346" i="29"/>
  <c r="V340" i="29"/>
  <c r="V339" i="29"/>
  <c r="V342" i="29"/>
  <c r="AJ37" i="29"/>
  <c r="X332" i="29"/>
  <c r="Y37" i="29"/>
  <c r="V353" i="29"/>
  <c r="V352" i="29"/>
  <c r="V360" i="29"/>
  <c r="V351" i="29"/>
  <c r="V355" i="29"/>
  <c r="V358" i="29"/>
  <c r="V354" i="29"/>
  <c r="V359" i="29"/>
  <c r="V356" i="29"/>
  <c r="V357" i="29"/>
  <c r="V365" i="29"/>
  <c r="V366" i="29"/>
  <c r="V374" i="29"/>
  <c r="V371" i="29"/>
  <c r="V368" i="29"/>
  <c r="V369" i="29"/>
  <c r="V372" i="29"/>
  <c r="V373" i="29"/>
  <c r="V367" i="29"/>
  <c r="V370" i="29"/>
  <c r="V500" i="29"/>
  <c r="W391" i="29"/>
  <c r="W41" i="29"/>
  <c r="W22" i="29"/>
  <c r="W500" i="29" s="1"/>
  <c r="W131" i="14"/>
  <c r="X82" i="14" s="1"/>
  <c r="X165" i="14"/>
  <c r="M87" i="14"/>
  <c r="N94" i="14"/>
  <c r="O95" i="14" s="1"/>
  <c r="O96" i="14" s="1"/>
  <c r="O97" i="14" s="1"/>
  <c r="P98" i="14" s="1"/>
  <c r="P99" i="14" s="1"/>
  <c r="P100" i="14" s="1"/>
  <c r="AF539" i="29"/>
  <c r="AF549" i="29" s="1"/>
  <c r="L107" i="14"/>
  <c r="M106" i="14" s="1"/>
  <c r="L548" i="29"/>
  <c r="K126" i="14"/>
  <c r="K128" i="14" s="1"/>
  <c r="L127" i="14" s="1"/>
  <c r="K138" i="14"/>
  <c r="K139" i="14" s="1"/>
  <c r="J553" i="29"/>
  <c r="J555" i="29" s="1"/>
  <c r="J558" i="29"/>
  <c r="J566" i="29" s="1"/>
  <c r="L138" i="14"/>
  <c r="L139" i="14" s="1"/>
  <c r="L126" i="14"/>
  <c r="K548" i="29"/>
  <c r="K562" i="29" s="1"/>
  <c r="AG156" i="14"/>
  <c r="AG157" i="14" s="1"/>
  <c r="AG129" i="14"/>
  <c r="AH76" i="14"/>
  <c r="AH122" i="14" s="1"/>
  <c r="AG79" i="14" s="1"/>
  <c r="AG78" i="14" s="1"/>
  <c r="AH229" i="14"/>
  <c r="AG258" i="14" s="1"/>
  <c r="AI258" i="14" s="1"/>
  <c r="AI75" i="14"/>
  <c r="AG384" i="29"/>
  <c r="AG472" i="29" s="1"/>
  <c r="AG386" i="29"/>
  <c r="AG474" i="29" s="1"/>
  <c r="AG388" i="29"/>
  <c r="AG476" i="29" s="1"/>
  <c r="AG382" i="29"/>
  <c r="AG470" i="29" s="1"/>
  <c r="AG381" i="29"/>
  <c r="AG469" i="29" s="1"/>
  <c r="AG385" i="29"/>
  <c r="AG473" i="29" s="1"/>
  <c r="AG380" i="29"/>
  <c r="AG468" i="29" s="1"/>
  <c r="AG383" i="29"/>
  <c r="AG471" i="29" s="1"/>
  <c r="AG387" i="29"/>
  <c r="AG475" i="29" s="1"/>
  <c r="AG379" i="29"/>
  <c r="AG467" i="29" s="1"/>
  <c r="AE124" i="14"/>
  <c r="AE119" i="14" s="1"/>
  <c r="AE231" i="14"/>
  <c r="AD260" i="14" s="1"/>
  <c r="AH505" i="29"/>
  <c r="AH378" i="29"/>
  <c r="AH466" i="29" s="1"/>
  <c r="AK466" i="29" s="1"/>
  <c r="AK39" i="29"/>
  <c r="AD140" i="29" l="1"/>
  <c r="AD141" i="29" s="1"/>
  <c r="AD168" i="29"/>
  <c r="AD177" i="29" s="1"/>
  <c r="AB427" i="29"/>
  <c r="AB422" i="29"/>
  <c r="AB426" i="29"/>
  <c r="AB421" i="29"/>
  <c r="AB418" i="29"/>
  <c r="AB419" i="29"/>
  <c r="AC415" i="29"/>
  <c r="AB417" i="29"/>
  <c r="AB416" i="29"/>
  <c r="AB423" i="29"/>
  <c r="AB425" i="29"/>
  <c r="K522" i="29"/>
  <c r="L522" i="29"/>
  <c r="AB424" i="29"/>
  <c r="AA428" i="29"/>
  <c r="AA430" i="29" s="1"/>
  <c r="AB420" i="29"/>
  <c r="AC161" i="29"/>
  <c r="AC155" i="29"/>
  <c r="AC156" i="29"/>
  <c r="AC158" i="29"/>
  <c r="AC157" i="29"/>
  <c r="AC159" i="29"/>
  <c r="AC165" i="29"/>
  <c r="AC164" i="29"/>
  <c r="AC166" i="29"/>
  <c r="AC163" i="29"/>
  <c r="AC160" i="29"/>
  <c r="AC162" i="29"/>
  <c r="AD162" i="29"/>
  <c r="AD166" i="29"/>
  <c r="AD156" i="29"/>
  <c r="AD159" i="29"/>
  <c r="AD161" i="29"/>
  <c r="AD155" i="29"/>
  <c r="AD160" i="29"/>
  <c r="AD163" i="29"/>
  <c r="AD164" i="29"/>
  <c r="AD158" i="29"/>
  <c r="AD157" i="29"/>
  <c r="AD165" i="29"/>
  <c r="AC150" i="29"/>
  <c r="AC142" i="29"/>
  <c r="AC148" i="29"/>
  <c r="AC144" i="29"/>
  <c r="AC143" i="29"/>
  <c r="AC151" i="29"/>
  <c r="AC145" i="29"/>
  <c r="AC141" i="29"/>
  <c r="AC152" i="29"/>
  <c r="AC149" i="29"/>
  <c r="AC146" i="29"/>
  <c r="AC147" i="29"/>
  <c r="AC180" i="29"/>
  <c r="AC170" i="29"/>
  <c r="AC174" i="29"/>
  <c r="AC178" i="29"/>
  <c r="AC175" i="29"/>
  <c r="AC169" i="29"/>
  <c r="AC176" i="29"/>
  <c r="AC177" i="29"/>
  <c r="AC179" i="29"/>
  <c r="AC173" i="29"/>
  <c r="AC171" i="29"/>
  <c r="AC172" i="29"/>
  <c r="AD152" i="29"/>
  <c r="AD151" i="29"/>
  <c r="AD147" i="29"/>
  <c r="AD146" i="29"/>
  <c r="AD145" i="29"/>
  <c r="AD143" i="29"/>
  <c r="AD148" i="29"/>
  <c r="AD144" i="29"/>
  <c r="AB181" i="29"/>
  <c r="AB182" i="29" s="1"/>
  <c r="AB429" i="29" s="1"/>
  <c r="AB526" i="29"/>
  <c r="T521" i="29"/>
  <c r="AE138" i="29"/>
  <c r="U435" i="29"/>
  <c r="U434" i="29"/>
  <c r="W215" i="29"/>
  <c r="W214" i="29"/>
  <c r="V305" i="29"/>
  <c r="V304" i="29"/>
  <c r="W186" i="29"/>
  <c r="W187" i="29"/>
  <c r="W336" i="29"/>
  <c r="W335" i="29"/>
  <c r="V319" i="29"/>
  <c r="V318" i="29"/>
  <c r="W200" i="29"/>
  <c r="W201" i="29"/>
  <c r="W349" i="29"/>
  <c r="W350" i="29"/>
  <c r="V291" i="29"/>
  <c r="V290" i="29"/>
  <c r="V232" i="29"/>
  <c r="V231" i="29"/>
  <c r="W364" i="29"/>
  <c r="W363" i="29"/>
  <c r="V245" i="29"/>
  <c r="V246" i="29"/>
  <c r="V260" i="29"/>
  <c r="V259" i="29"/>
  <c r="X432" i="29"/>
  <c r="W222" i="29"/>
  <c r="W223" i="29"/>
  <c r="W221" i="29"/>
  <c r="W218" i="29"/>
  <c r="W216" i="29"/>
  <c r="W219" i="29"/>
  <c r="W224" i="29"/>
  <c r="W217" i="29"/>
  <c r="W225" i="29"/>
  <c r="W220" i="29"/>
  <c r="W188" i="29"/>
  <c r="W189" i="29"/>
  <c r="W197" i="29"/>
  <c r="W191" i="29"/>
  <c r="W190" i="29"/>
  <c r="W195" i="29"/>
  <c r="W194" i="29"/>
  <c r="W192" i="29"/>
  <c r="W193" i="29"/>
  <c r="W196" i="29"/>
  <c r="W206" i="29"/>
  <c r="W211" i="29"/>
  <c r="W203" i="29"/>
  <c r="W202" i="29"/>
  <c r="W207" i="29"/>
  <c r="W204" i="29"/>
  <c r="W208" i="29"/>
  <c r="W205" i="29"/>
  <c r="W209" i="29"/>
  <c r="W210" i="29"/>
  <c r="X199" i="29"/>
  <c r="X185" i="29"/>
  <c r="X213" i="29"/>
  <c r="AJ183" i="29"/>
  <c r="V226" i="29"/>
  <c r="V227" i="29" s="1"/>
  <c r="Z32" i="29"/>
  <c r="Y183" i="29"/>
  <c r="S448" i="29"/>
  <c r="R448" i="29"/>
  <c r="S560" i="29"/>
  <c r="U462" i="29"/>
  <c r="AF31" i="29"/>
  <c r="AF414" i="29" s="1"/>
  <c r="AF516" i="29" s="1"/>
  <c r="V433" i="29"/>
  <c r="T527" i="29"/>
  <c r="T461" i="29"/>
  <c r="T463" i="29" s="1"/>
  <c r="S547" i="29"/>
  <c r="S561" i="29" s="1"/>
  <c r="T536" i="29"/>
  <c r="T538" i="29"/>
  <c r="T529" i="29"/>
  <c r="AE477" i="29"/>
  <c r="AE479" i="29" s="1"/>
  <c r="T532" i="29"/>
  <c r="T546" i="29" s="1"/>
  <c r="AF390" i="29"/>
  <c r="AF478" i="29"/>
  <c r="T447" i="29"/>
  <c r="T517" i="29" s="1"/>
  <c r="V375" i="29"/>
  <c r="V376" i="29" s="1"/>
  <c r="AG389" i="29"/>
  <c r="U330" i="29"/>
  <c r="U331" i="29" s="1"/>
  <c r="U271" i="29"/>
  <c r="U272" i="29" s="1"/>
  <c r="U286" i="29"/>
  <c r="T285" i="29"/>
  <c r="T446" i="29" s="1"/>
  <c r="V495" i="29"/>
  <c r="AF563" i="29"/>
  <c r="X490" i="29"/>
  <c r="U280" i="29"/>
  <c r="U456" i="29" s="1"/>
  <c r="U275" i="29"/>
  <c r="U451" i="29" s="1"/>
  <c r="W274" i="29"/>
  <c r="W450" i="29" s="1"/>
  <c r="W284" i="29"/>
  <c r="W460" i="29" s="1"/>
  <c r="W279" i="29"/>
  <c r="W455" i="29" s="1"/>
  <c r="V278" i="29"/>
  <c r="V454" i="29" s="1"/>
  <c r="V277" i="29"/>
  <c r="V453" i="29" s="1"/>
  <c r="V276" i="29"/>
  <c r="V452" i="29" s="1"/>
  <c r="V281" i="29"/>
  <c r="V457" i="29" s="1"/>
  <c r="V282" i="29"/>
  <c r="V458" i="29" s="1"/>
  <c r="V283" i="29"/>
  <c r="V459" i="29" s="1"/>
  <c r="X84" i="14"/>
  <c r="X85" i="14"/>
  <c r="Y86" i="14" s="1"/>
  <c r="W258" i="29"/>
  <c r="W244" i="29"/>
  <c r="W230" i="29"/>
  <c r="Y33" i="29"/>
  <c r="X228" i="29"/>
  <c r="AJ33" i="29"/>
  <c r="V239" i="29"/>
  <c r="V241" i="29"/>
  <c r="V242" i="29"/>
  <c r="V240" i="29"/>
  <c r="V237" i="29"/>
  <c r="V234" i="29"/>
  <c r="V233" i="29"/>
  <c r="V236" i="29"/>
  <c r="V238" i="29"/>
  <c r="V235" i="29"/>
  <c r="V251" i="29"/>
  <c r="V253" i="29"/>
  <c r="V255" i="29"/>
  <c r="V249" i="29"/>
  <c r="V250" i="29"/>
  <c r="V256" i="29"/>
  <c r="V254" i="29"/>
  <c r="V252" i="29"/>
  <c r="V248" i="29"/>
  <c r="V247" i="29"/>
  <c r="V270" i="29"/>
  <c r="V266" i="29"/>
  <c r="V262" i="29"/>
  <c r="V264" i="29"/>
  <c r="V261" i="29"/>
  <c r="V269" i="29"/>
  <c r="V263" i="29"/>
  <c r="V268" i="29"/>
  <c r="V265" i="29"/>
  <c r="V267" i="29"/>
  <c r="AA514" i="29"/>
  <c r="AA486" i="29"/>
  <c r="AA484" i="29" s="1"/>
  <c r="AC22" i="14"/>
  <c r="AB113" i="14"/>
  <c r="AB205" i="14"/>
  <c r="AA237" i="14" s="1"/>
  <c r="AB12" i="29"/>
  <c r="AB42" i="14"/>
  <c r="AB72" i="14" s="1"/>
  <c r="AB81" i="14" s="1"/>
  <c r="U444" i="29"/>
  <c r="U437" i="29"/>
  <c r="U494" i="29"/>
  <c r="U492" i="29"/>
  <c r="U441" i="29"/>
  <c r="U493" i="29"/>
  <c r="X491" i="29"/>
  <c r="AJ491" i="29" s="1"/>
  <c r="AJ35" i="29"/>
  <c r="X273" i="29"/>
  <c r="X449" i="29" s="1"/>
  <c r="Y35" i="29"/>
  <c r="U443" i="29"/>
  <c r="U439" i="29"/>
  <c r="U440" i="29"/>
  <c r="U436" i="29"/>
  <c r="U438" i="29"/>
  <c r="U529" i="29" s="1"/>
  <c r="U445" i="29"/>
  <c r="U538" i="29" s="1"/>
  <c r="T530" i="29"/>
  <c r="U442" i="29"/>
  <c r="U535" i="29" s="1"/>
  <c r="W289" i="29"/>
  <c r="W317" i="29"/>
  <c r="W303" i="29"/>
  <c r="X287" i="29"/>
  <c r="AJ36" i="29"/>
  <c r="Y36" i="29"/>
  <c r="V314" i="29"/>
  <c r="V313" i="29"/>
  <c r="V310" i="29"/>
  <c r="V308" i="29"/>
  <c r="V311" i="29"/>
  <c r="V307" i="29"/>
  <c r="V306" i="29"/>
  <c r="V312" i="29"/>
  <c r="V309" i="29"/>
  <c r="V315" i="29"/>
  <c r="V324" i="29"/>
  <c r="V326" i="29"/>
  <c r="V328" i="29"/>
  <c r="V325" i="29"/>
  <c r="V329" i="29"/>
  <c r="V322" i="29"/>
  <c r="V323" i="29"/>
  <c r="V327" i="29"/>
  <c r="V321" i="29"/>
  <c r="V320" i="29"/>
  <c r="V294" i="29"/>
  <c r="V295" i="29"/>
  <c r="V299" i="29"/>
  <c r="V298" i="29"/>
  <c r="V293" i="29"/>
  <c r="V292" i="29"/>
  <c r="V300" i="29"/>
  <c r="V297" i="29"/>
  <c r="V301" i="29"/>
  <c r="V296" i="29"/>
  <c r="Z37" i="29"/>
  <c r="Y332" i="29"/>
  <c r="W338" i="29"/>
  <c r="W343" i="29"/>
  <c r="W339" i="29"/>
  <c r="W341" i="29"/>
  <c r="W340" i="29"/>
  <c r="W337" i="29"/>
  <c r="W345" i="29"/>
  <c r="W344" i="29"/>
  <c r="W342" i="29"/>
  <c r="W346" i="29"/>
  <c r="X334" i="29"/>
  <c r="AJ332" i="29"/>
  <c r="X362" i="29"/>
  <c r="X348" i="29"/>
  <c r="W353" i="29"/>
  <c r="W354" i="29"/>
  <c r="W358" i="29"/>
  <c r="W357" i="29"/>
  <c r="W359" i="29"/>
  <c r="W355" i="29"/>
  <c r="W360" i="29"/>
  <c r="W352" i="29"/>
  <c r="W356" i="29"/>
  <c r="W351" i="29"/>
  <c r="W374" i="29"/>
  <c r="W370" i="29"/>
  <c r="W369" i="29"/>
  <c r="W366" i="29"/>
  <c r="W368" i="29"/>
  <c r="W372" i="29"/>
  <c r="W373" i="29"/>
  <c r="W365" i="29"/>
  <c r="W367" i="29"/>
  <c r="W371" i="29"/>
  <c r="X131" i="14"/>
  <c r="Y82" i="14" s="1"/>
  <c r="Y165" i="14"/>
  <c r="X22" i="29"/>
  <c r="X500" i="29" s="1"/>
  <c r="AJ500" i="29" s="1"/>
  <c r="X391" i="29"/>
  <c r="AJ391" i="29" s="1"/>
  <c r="X41" i="29"/>
  <c r="AJ41" i="29" s="1"/>
  <c r="M88" i="14"/>
  <c r="N89" i="14" s="1"/>
  <c r="N90" i="14" s="1"/>
  <c r="M102" i="14"/>
  <c r="L562" i="29"/>
  <c r="L128" i="14"/>
  <c r="M127" i="14" s="1"/>
  <c r="L552" i="29"/>
  <c r="L528" i="29"/>
  <c r="K528" i="29"/>
  <c r="K552" i="29"/>
  <c r="K141" i="14"/>
  <c r="K142" i="14" s="1"/>
  <c r="L140" i="14"/>
  <c r="M140" i="14"/>
  <c r="L141" i="14"/>
  <c r="L142" i="14" s="1"/>
  <c r="AH388" i="29"/>
  <c r="AH476" i="29" s="1"/>
  <c r="AK476" i="29" s="1"/>
  <c r="AH382" i="29"/>
  <c r="AH470" i="29" s="1"/>
  <c r="AK470" i="29" s="1"/>
  <c r="AH386" i="29"/>
  <c r="AH474" i="29" s="1"/>
  <c r="AK474" i="29" s="1"/>
  <c r="AH381" i="29"/>
  <c r="AH469" i="29" s="1"/>
  <c r="AK469" i="29" s="1"/>
  <c r="AH384" i="29"/>
  <c r="AH472" i="29" s="1"/>
  <c r="AK472" i="29" s="1"/>
  <c r="AH379" i="29"/>
  <c r="AH467" i="29" s="1"/>
  <c r="AK467" i="29" s="1"/>
  <c r="AH385" i="29"/>
  <c r="AH473" i="29" s="1"/>
  <c r="AK473" i="29" s="1"/>
  <c r="AH387" i="29"/>
  <c r="AH475" i="29" s="1"/>
  <c r="AK475" i="29" s="1"/>
  <c r="AH380" i="29"/>
  <c r="AH468" i="29" s="1"/>
  <c r="AK468" i="29" s="1"/>
  <c r="AH383" i="29"/>
  <c r="AH471" i="29" s="1"/>
  <c r="AK471" i="29" s="1"/>
  <c r="AK378" i="29"/>
  <c r="AG539" i="29"/>
  <c r="AG549" i="29" s="1"/>
  <c r="AH506" i="29"/>
  <c r="AK506" i="29" s="1"/>
  <c r="AK505" i="29"/>
  <c r="AH119" i="14"/>
  <c r="AH156" i="14"/>
  <c r="AH157" i="14" s="1"/>
  <c r="AH129" i="14"/>
  <c r="AF124" i="14"/>
  <c r="AF119" i="14" s="1"/>
  <c r="AF231" i="14"/>
  <c r="AE260" i="14" s="1"/>
  <c r="AD172" i="29" l="1"/>
  <c r="AC427" i="29"/>
  <c r="AD149" i="29"/>
  <c r="AD150" i="29"/>
  <c r="AD142" i="29"/>
  <c r="AD169" i="29"/>
  <c r="AD171" i="29"/>
  <c r="AD415" i="29"/>
  <c r="AD174" i="29"/>
  <c r="AD421" i="29" s="1"/>
  <c r="AD180" i="29"/>
  <c r="AD178" i="29"/>
  <c r="AD179" i="29"/>
  <c r="AD426" i="29" s="1"/>
  <c r="AD175" i="29"/>
  <c r="AD176" i="29"/>
  <c r="AD423" i="29" s="1"/>
  <c r="AD173" i="29"/>
  <c r="AD420" i="29" s="1"/>
  <c r="AD170" i="29"/>
  <c r="AD416" i="29" s="1"/>
  <c r="AC424" i="29"/>
  <c r="AB428" i="29"/>
  <c r="AB430" i="29" s="1"/>
  <c r="AC426" i="29"/>
  <c r="AC420" i="29"/>
  <c r="AC418" i="29"/>
  <c r="AC416" i="29"/>
  <c r="AC425" i="29"/>
  <c r="AC526" i="29"/>
  <c r="AC422" i="29"/>
  <c r="AC421" i="29"/>
  <c r="AC419" i="29"/>
  <c r="AC417" i="29"/>
  <c r="AC423" i="29"/>
  <c r="AJ490" i="29"/>
  <c r="AE168" i="29"/>
  <c r="AE154" i="29"/>
  <c r="AE140" i="29"/>
  <c r="AC181" i="29"/>
  <c r="AC182" i="29" s="1"/>
  <c r="AC429" i="29" s="1"/>
  <c r="U521" i="29"/>
  <c r="T560" i="29"/>
  <c r="V434" i="29"/>
  <c r="AF138" i="29"/>
  <c r="V435" i="29"/>
  <c r="AD417" i="29"/>
  <c r="X364" i="29"/>
  <c r="AJ364" i="29" s="1"/>
  <c r="X363" i="29"/>
  <c r="AJ363" i="29" s="1"/>
  <c r="W305" i="29"/>
  <c r="W304" i="29"/>
  <c r="X215" i="29"/>
  <c r="AJ215" i="29" s="1"/>
  <c r="X214" i="29"/>
  <c r="AJ214" i="29" s="1"/>
  <c r="W318" i="29"/>
  <c r="W319" i="29"/>
  <c r="X336" i="29"/>
  <c r="AJ336" i="29" s="1"/>
  <c r="X335" i="29"/>
  <c r="AJ335" i="29" s="1"/>
  <c r="W291" i="29"/>
  <c r="W290" i="29"/>
  <c r="X187" i="29"/>
  <c r="X186" i="29"/>
  <c r="X349" i="29"/>
  <c r="AJ349" i="29" s="1"/>
  <c r="X350" i="29"/>
  <c r="AJ350" i="29" s="1"/>
  <c r="X200" i="29"/>
  <c r="AJ200" i="29" s="1"/>
  <c r="X201" i="29"/>
  <c r="AJ201" i="29" s="1"/>
  <c r="W259" i="29"/>
  <c r="W260" i="29"/>
  <c r="W232" i="29"/>
  <c r="W231" i="29"/>
  <c r="W245" i="29"/>
  <c r="W246" i="29"/>
  <c r="AJ185" i="29"/>
  <c r="AJ432" i="29"/>
  <c r="Y432" i="29"/>
  <c r="V462" i="29"/>
  <c r="X216" i="29"/>
  <c r="AJ216" i="29" s="1"/>
  <c r="X224" i="29"/>
  <c r="AJ224" i="29" s="1"/>
  <c r="X221" i="29"/>
  <c r="AJ221" i="29" s="1"/>
  <c r="X217" i="29"/>
  <c r="AJ217" i="29" s="1"/>
  <c r="X219" i="29"/>
  <c r="AJ219" i="29" s="1"/>
  <c r="X225" i="29"/>
  <c r="AJ225" i="29" s="1"/>
  <c r="X223" i="29"/>
  <c r="AJ223" i="29" s="1"/>
  <c r="X218" i="29"/>
  <c r="AJ218" i="29" s="1"/>
  <c r="X220" i="29"/>
  <c r="AJ220" i="29" s="1"/>
  <c r="X222" i="29"/>
  <c r="AJ222" i="29" s="1"/>
  <c r="X190" i="29"/>
  <c r="AJ190" i="29" s="1"/>
  <c r="X195" i="29"/>
  <c r="AJ195" i="29" s="1"/>
  <c r="X197" i="29"/>
  <c r="AJ197" i="29" s="1"/>
  <c r="X191" i="29"/>
  <c r="AJ191" i="29" s="1"/>
  <c r="X196" i="29"/>
  <c r="AJ196" i="29" s="1"/>
  <c r="X188" i="29"/>
  <c r="AJ188" i="29" s="1"/>
  <c r="X189" i="29"/>
  <c r="AJ189" i="29" s="1"/>
  <c r="X193" i="29"/>
  <c r="AJ193" i="29" s="1"/>
  <c r="X192" i="29"/>
  <c r="AJ192" i="29" s="1"/>
  <c r="X194" i="29"/>
  <c r="AJ194" i="29" s="1"/>
  <c r="X206" i="29"/>
  <c r="AJ206" i="29" s="1"/>
  <c r="X205" i="29"/>
  <c r="AJ205" i="29" s="1"/>
  <c r="X210" i="29"/>
  <c r="AJ210" i="29" s="1"/>
  <c r="X211" i="29"/>
  <c r="AJ211" i="29" s="1"/>
  <c r="X208" i="29"/>
  <c r="AJ208" i="29" s="1"/>
  <c r="X207" i="29"/>
  <c r="AJ207" i="29" s="1"/>
  <c r="X203" i="29"/>
  <c r="AJ203" i="29" s="1"/>
  <c r="X202" i="29"/>
  <c r="AJ202" i="29" s="1"/>
  <c r="X209" i="29"/>
  <c r="AJ209" i="29" s="1"/>
  <c r="X204" i="29"/>
  <c r="AJ204" i="29" s="1"/>
  <c r="Y213" i="29"/>
  <c r="Y185" i="29"/>
  <c r="Y199" i="29"/>
  <c r="AJ199" i="29"/>
  <c r="AJ213" i="29"/>
  <c r="AA32" i="29"/>
  <c r="Z183" i="29"/>
  <c r="W226" i="29"/>
  <c r="W227" i="29" s="1"/>
  <c r="T448" i="29"/>
  <c r="AG31" i="29"/>
  <c r="AG414" i="29" s="1"/>
  <c r="AG516" i="29" s="1"/>
  <c r="W433" i="29"/>
  <c r="U461" i="29"/>
  <c r="U463" i="29" s="1"/>
  <c r="U527" i="29"/>
  <c r="U547" i="29" s="1"/>
  <c r="U537" i="29"/>
  <c r="U536" i="29"/>
  <c r="T547" i="29"/>
  <c r="T561" i="29" s="1"/>
  <c r="U532" i="29"/>
  <c r="U546" i="29" s="1"/>
  <c r="AG390" i="29"/>
  <c r="AG478" i="29"/>
  <c r="AF477" i="29"/>
  <c r="AF479" i="29" s="1"/>
  <c r="U447" i="29"/>
  <c r="U517" i="29" s="1"/>
  <c r="W375" i="29"/>
  <c r="W376" i="29" s="1"/>
  <c r="AH389" i="29"/>
  <c r="V271" i="29"/>
  <c r="V272" i="29" s="1"/>
  <c r="V330" i="29"/>
  <c r="V331" i="29" s="1"/>
  <c r="V286" i="29"/>
  <c r="U285" i="29"/>
  <c r="U446" i="29" s="1"/>
  <c r="W495" i="29"/>
  <c r="AG563" i="29"/>
  <c r="V280" i="29"/>
  <c r="V456" i="29" s="1"/>
  <c r="V275" i="29"/>
  <c r="V451" i="29" s="1"/>
  <c r="W283" i="29"/>
  <c r="W459" i="29" s="1"/>
  <c r="W282" i="29"/>
  <c r="W458" i="29" s="1"/>
  <c r="W281" i="29"/>
  <c r="W457" i="29" s="1"/>
  <c r="X274" i="29"/>
  <c r="X450" i="29" s="1"/>
  <c r="X284" i="29"/>
  <c r="X460" i="29" s="1"/>
  <c r="X279" i="29"/>
  <c r="X455" i="29" s="1"/>
  <c r="W277" i="29"/>
  <c r="W453" i="29" s="1"/>
  <c r="W276" i="29"/>
  <c r="W452" i="29" s="1"/>
  <c r="W278" i="29"/>
  <c r="W454" i="29" s="1"/>
  <c r="X258" i="29"/>
  <c r="X244" i="29"/>
  <c r="X230" i="29"/>
  <c r="AJ228" i="29"/>
  <c r="Z33" i="29"/>
  <c r="Y228" i="29"/>
  <c r="W239" i="29"/>
  <c r="W236" i="29"/>
  <c r="W238" i="29"/>
  <c r="W237" i="29"/>
  <c r="W235" i="29"/>
  <c r="W241" i="29"/>
  <c r="W240" i="29"/>
  <c r="W234" i="29"/>
  <c r="W233" i="29"/>
  <c r="W242" i="29"/>
  <c r="W254" i="29"/>
  <c r="W252" i="29"/>
  <c r="W248" i="29"/>
  <c r="W253" i="29"/>
  <c r="W250" i="29"/>
  <c r="W247" i="29"/>
  <c r="W249" i="29"/>
  <c r="W251" i="29"/>
  <c r="W256" i="29"/>
  <c r="W255" i="29"/>
  <c r="W268" i="29"/>
  <c r="W269" i="29"/>
  <c r="W267" i="29"/>
  <c r="W265" i="29"/>
  <c r="W263" i="29"/>
  <c r="W264" i="29"/>
  <c r="W270" i="29"/>
  <c r="W262" i="29"/>
  <c r="W266" i="29"/>
  <c r="W261" i="29"/>
  <c r="Y84" i="14"/>
  <c r="Y85" i="14"/>
  <c r="Z86" i="14" s="1"/>
  <c r="AB486" i="29"/>
  <c r="AB484" i="29" s="1"/>
  <c r="AB514" i="29"/>
  <c r="AD22" i="14"/>
  <c r="AC205" i="14"/>
  <c r="AB237" i="14" s="1"/>
  <c r="AC113" i="14"/>
  <c r="AC12" i="29"/>
  <c r="AC42" i="14"/>
  <c r="AC72" i="14" s="1"/>
  <c r="AC81" i="14" s="1"/>
  <c r="V442" i="29"/>
  <c r="V445" i="29"/>
  <c r="V492" i="29"/>
  <c r="V494" i="29"/>
  <c r="Z35" i="29"/>
  <c r="Y491" i="29"/>
  <c r="Y273" i="29"/>
  <c r="Y449" i="29" s="1"/>
  <c r="AJ273" i="29"/>
  <c r="AJ449" i="29" s="1"/>
  <c r="V493" i="29"/>
  <c r="V439" i="29"/>
  <c r="V438" i="29"/>
  <c r="V529" i="29" s="1"/>
  <c r="V437" i="29"/>
  <c r="U530" i="29"/>
  <c r="V441" i="29"/>
  <c r="V436" i="29"/>
  <c r="V444" i="29"/>
  <c r="V537" i="29" s="1"/>
  <c r="V443" i="29"/>
  <c r="V536" i="29" s="1"/>
  <c r="V440" i="29"/>
  <c r="AJ287" i="29"/>
  <c r="X303" i="29"/>
  <c r="X317" i="29"/>
  <c r="X289" i="29"/>
  <c r="W312" i="29"/>
  <c r="W313" i="29"/>
  <c r="W306" i="29"/>
  <c r="W311" i="29"/>
  <c r="W307" i="29"/>
  <c r="W315" i="29"/>
  <c r="W310" i="29"/>
  <c r="W314" i="29"/>
  <c r="W308" i="29"/>
  <c r="W309" i="29"/>
  <c r="W321" i="29"/>
  <c r="W323" i="29"/>
  <c r="W320" i="29"/>
  <c r="W326" i="29"/>
  <c r="W328" i="29"/>
  <c r="W324" i="29"/>
  <c r="W329" i="29"/>
  <c r="W327" i="29"/>
  <c r="W322" i="29"/>
  <c r="W325" i="29"/>
  <c r="W294" i="29"/>
  <c r="W298" i="29"/>
  <c r="W296" i="29"/>
  <c r="W293" i="29"/>
  <c r="W295" i="29"/>
  <c r="W299" i="29"/>
  <c r="W297" i="29"/>
  <c r="W292" i="29"/>
  <c r="W300" i="29"/>
  <c r="W301" i="29"/>
  <c r="Z36" i="29"/>
  <c r="Y287" i="29"/>
  <c r="Y490" i="29"/>
  <c r="AJ22" i="29"/>
  <c r="X360" i="29"/>
  <c r="AJ360" i="29" s="1"/>
  <c r="X351" i="29"/>
  <c r="AJ351" i="29" s="1"/>
  <c r="AJ348" i="29"/>
  <c r="X353" i="29"/>
  <c r="AJ353" i="29" s="1"/>
  <c r="X359" i="29"/>
  <c r="AJ359" i="29" s="1"/>
  <c r="X357" i="29"/>
  <c r="AJ357" i="29" s="1"/>
  <c r="X352" i="29"/>
  <c r="AJ352" i="29" s="1"/>
  <c r="X355" i="29"/>
  <c r="AJ355" i="29" s="1"/>
  <c r="X358" i="29"/>
  <c r="AJ358" i="29" s="1"/>
  <c r="X354" i="29"/>
  <c r="AJ354" i="29" s="1"/>
  <c r="X356" i="29"/>
  <c r="AJ356" i="29" s="1"/>
  <c r="X368" i="29"/>
  <c r="AJ368" i="29" s="1"/>
  <c r="X366" i="29"/>
  <c r="AJ366" i="29" s="1"/>
  <c r="X370" i="29"/>
  <c r="AJ370" i="29" s="1"/>
  <c r="X365" i="29"/>
  <c r="AJ365" i="29" s="1"/>
  <c r="X373" i="29"/>
  <c r="AJ373" i="29" s="1"/>
  <c r="X374" i="29"/>
  <c r="AJ374" i="29" s="1"/>
  <c r="AJ362" i="29"/>
  <c r="X367" i="29"/>
  <c r="AJ367" i="29" s="1"/>
  <c r="X372" i="29"/>
  <c r="AJ372" i="29" s="1"/>
  <c r="X371" i="29"/>
  <c r="AJ371" i="29" s="1"/>
  <c r="X369" i="29"/>
  <c r="AJ369" i="29" s="1"/>
  <c r="Y362" i="29"/>
  <c r="Y348" i="29"/>
  <c r="Y334" i="29"/>
  <c r="Z332" i="29"/>
  <c r="AA37" i="29"/>
  <c r="X340" i="29"/>
  <c r="AJ340" i="29" s="1"/>
  <c r="X344" i="29"/>
  <c r="AJ344" i="29" s="1"/>
  <c r="X342" i="29"/>
  <c r="AJ342" i="29" s="1"/>
  <c r="X343" i="29"/>
  <c r="AJ343" i="29" s="1"/>
  <c r="X339" i="29"/>
  <c r="AJ334" i="29"/>
  <c r="X346" i="29"/>
  <c r="AJ346" i="29" s="1"/>
  <c r="X345" i="29"/>
  <c r="AJ345" i="29" s="1"/>
  <c r="X338" i="29"/>
  <c r="AJ338" i="29" s="1"/>
  <c r="X341" i="29"/>
  <c r="AJ341" i="29" s="1"/>
  <c r="X337" i="29"/>
  <c r="AJ337" i="29" s="1"/>
  <c r="Z165" i="14"/>
  <c r="Y131" i="14"/>
  <c r="Z82" i="14" s="1"/>
  <c r="Y22" i="29"/>
  <c r="Y500" i="29" s="1"/>
  <c r="Y391" i="29"/>
  <c r="Y41" i="29"/>
  <c r="M104" i="14"/>
  <c r="M103" i="14"/>
  <c r="N101" i="14" s="1"/>
  <c r="N91" i="14"/>
  <c r="O92" i="14" s="1"/>
  <c r="O93" i="14" s="1"/>
  <c r="O94" i="14" s="1"/>
  <c r="P95" i="14" s="1"/>
  <c r="P96" i="14" s="1"/>
  <c r="P97" i="14" s="1"/>
  <c r="Q98" i="14" s="1"/>
  <c r="Q99" i="14" s="1"/>
  <c r="Q100" i="14" s="1"/>
  <c r="N87" i="14"/>
  <c r="K540" i="29"/>
  <c r="K558" i="29"/>
  <c r="L540" i="29"/>
  <c r="AK386" i="29"/>
  <c r="AK383" i="29"/>
  <c r="AK382" i="29"/>
  <c r="AK380" i="29"/>
  <c r="AK388" i="29"/>
  <c r="AG124" i="14"/>
  <c r="AG119" i="14" s="1"/>
  <c r="AG231" i="14"/>
  <c r="AF260" i="14" s="1"/>
  <c r="AI260" i="14" s="1"/>
  <c r="AK387" i="29"/>
  <c r="AK385" i="29"/>
  <c r="AK379" i="29"/>
  <c r="AK384" i="29"/>
  <c r="AD419" i="29"/>
  <c r="AK381" i="29"/>
  <c r="AD427" i="29"/>
  <c r="AD422" i="29"/>
  <c r="AD424" i="29"/>
  <c r="AD526" i="29"/>
  <c r="AD418" i="29"/>
  <c r="AD425" i="29"/>
  <c r="AD181" i="29" l="1"/>
  <c r="AD182" i="29" s="1"/>
  <c r="AD429" i="29" s="1"/>
  <c r="AE415" i="29"/>
  <c r="U560" i="29"/>
  <c r="AE151" i="29"/>
  <c r="AE152" i="29"/>
  <c r="AE143" i="29"/>
  <c r="AE148" i="29"/>
  <c r="AE147" i="29"/>
  <c r="AE142" i="29"/>
  <c r="AE149" i="29"/>
  <c r="AE145" i="29"/>
  <c r="AE150" i="29"/>
  <c r="AE141" i="29"/>
  <c r="AE146" i="29"/>
  <c r="AE144" i="29"/>
  <c r="AF140" i="29"/>
  <c r="AF168" i="29"/>
  <c r="AF154" i="29"/>
  <c r="AE162" i="29"/>
  <c r="AE156" i="29"/>
  <c r="AE157" i="29"/>
  <c r="AE165" i="29"/>
  <c r="AE161" i="29"/>
  <c r="AE159" i="29"/>
  <c r="AE166" i="29"/>
  <c r="AE164" i="29"/>
  <c r="AE160" i="29"/>
  <c r="AE155" i="29"/>
  <c r="AE163" i="29"/>
  <c r="AE158" i="29"/>
  <c r="AC428" i="29"/>
  <c r="AC430" i="29" s="1"/>
  <c r="AE177" i="29"/>
  <c r="AE175" i="29"/>
  <c r="AE171" i="29"/>
  <c r="AE179" i="29"/>
  <c r="AE172" i="29"/>
  <c r="AE178" i="29"/>
  <c r="AE173" i="29"/>
  <c r="AE176" i="29"/>
  <c r="AE423" i="29" s="1"/>
  <c r="AE170" i="29"/>
  <c r="AE180" i="29"/>
  <c r="AE174" i="29"/>
  <c r="AE421" i="29" s="1"/>
  <c r="AE169" i="29"/>
  <c r="W434" i="29"/>
  <c r="V521" i="29"/>
  <c r="W435" i="29"/>
  <c r="AJ186" i="29"/>
  <c r="AJ187" i="29"/>
  <c r="X290" i="29"/>
  <c r="AJ290" i="29" s="1"/>
  <c r="X291" i="29"/>
  <c r="AJ291" i="29" s="1"/>
  <c r="X231" i="29"/>
  <c r="AJ231" i="29" s="1"/>
  <c r="X232" i="29"/>
  <c r="AJ232" i="29" s="1"/>
  <c r="X246" i="29"/>
  <c r="AJ246" i="29" s="1"/>
  <c r="X245" i="29"/>
  <c r="AJ245" i="29" s="1"/>
  <c r="X305" i="29"/>
  <c r="AJ305" i="29" s="1"/>
  <c r="X304" i="29"/>
  <c r="AJ304" i="29" s="1"/>
  <c r="X259" i="29"/>
  <c r="AJ259" i="29" s="1"/>
  <c r="X260" i="29"/>
  <c r="AJ260" i="29" s="1"/>
  <c r="X318" i="29"/>
  <c r="AJ318" i="29" s="1"/>
  <c r="X319" i="29"/>
  <c r="AJ319" i="29" s="1"/>
  <c r="Y200" i="29"/>
  <c r="Y201" i="29"/>
  <c r="Y336" i="29"/>
  <c r="Y335" i="29"/>
  <c r="Y350" i="29"/>
  <c r="Y349" i="29"/>
  <c r="Y186" i="29"/>
  <c r="Y187" i="29"/>
  <c r="Y364" i="29"/>
  <c r="Y363" i="29"/>
  <c r="Y214" i="29"/>
  <c r="Y215" i="29"/>
  <c r="AG138" i="29"/>
  <c r="Z432" i="29"/>
  <c r="X226" i="29"/>
  <c r="X227" i="29" s="1"/>
  <c r="AJ226" i="29"/>
  <c r="AJ227" i="29" s="1"/>
  <c r="Z185" i="29"/>
  <c r="Z213" i="29"/>
  <c r="Z199" i="29"/>
  <c r="Y207" i="29"/>
  <c r="Y205" i="29"/>
  <c r="Y211" i="29"/>
  <c r="Y208" i="29"/>
  <c r="Y203" i="29"/>
  <c r="Y204" i="29"/>
  <c r="Y202" i="29"/>
  <c r="Y210" i="29"/>
  <c r="Y206" i="29"/>
  <c r="Y209" i="29"/>
  <c r="Y196" i="29"/>
  <c r="Y190" i="29"/>
  <c r="Y188" i="29"/>
  <c r="Y193" i="29"/>
  <c r="Y195" i="29"/>
  <c r="Y191" i="29"/>
  <c r="Y189" i="29"/>
  <c r="Y192" i="29"/>
  <c r="Y194" i="29"/>
  <c r="Y197" i="29"/>
  <c r="AB32" i="29"/>
  <c r="AA183" i="29"/>
  <c r="Y222" i="29"/>
  <c r="Y219" i="29"/>
  <c r="Y217" i="29"/>
  <c r="Y218" i="29"/>
  <c r="Y221" i="29"/>
  <c r="Y225" i="29"/>
  <c r="Y224" i="29"/>
  <c r="Y220" i="29"/>
  <c r="Y223" i="29"/>
  <c r="Y216" i="29"/>
  <c r="U448" i="29"/>
  <c r="AH31" i="29"/>
  <c r="AH414" i="29" s="1"/>
  <c r="AH516" i="29" s="1"/>
  <c r="X433" i="29"/>
  <c r="W462" i="29"/>
  <c r="V527" i="29"/>
  <c r="V547" i="29" s="1"/>
  <c r="V461" i="29"/>
  <c r="V463" i="29" s="1"/>
  <c r="V538" i="29"/>
  <c r="V535" i="29"/>
  <c r="AG477" i="29"/>
  <c r="AG479" i="29" s="1"/>
  <c r="V532" i="29"/>
  <c r="V546" i="29" s="1"/>
  <c r="AH390" i="29"/>
  <c r="AH477" i="29" s="1"/>
  <c r="AH478" i="29"/>
  <c r="AK478" i="29" s="1"/>
  <c r="X375" i="29"/>
  <c r="X376" i="29" s="1"/>
  <c r="W330" i="29"/>
  <c r="W331" i="29" s="1"/>
  <c r="W271" i="29"/>
  <c r="W272" i="29" s="1"/>
  <c r="AJ339" i="29"/>
  <c r="AJ375" i="29" s="1"/>
  <c r="AJ376" i="29" s="1"/>
  <c r="V285" i="29"/>
  <c r="V446" i="29" s="1"/>
  <c r="W286" i="29"/>
  <c r="W275" i="29"/>
  <c r="W451" i="29" s="1"/>
  <c r="W280" i="29"/>
  <c r="W456" i="29" s="1"/>
  <c r="Y274" i="29"/>
  <c r="Y450" i="29" s="1"/>
  <c r="Y284" i="29"/>
  <c r="Y460" i="29" s="1"/>
  <c r="Y279" i="29"/>
  <c r="Y455" i="29" s="1"/>
  <c r="X281" i="29"/>
  <c r="X282" i="29"/>
  <c r="X458" i="29" s="1"/>
  <c r="X283" i="29"/>
  <c r="X278" i="29"/>
  <c r="X454" i="29" s="1"/>
  <c r="X276" i="29"/>
  <c r="X452" i="29" s="1"/>
  <c r="X277" i="29"/>
  <c r="X453" i="29" s="1"/>
  <c r="Z84" i="14"/>
  <c r="Z85" i="14"/>
  <c r="AA86" i="14" s="1"/>
  <c r="Y244" i="29"/>
  <c r="Y258" i="29"/>
  <c r="Y230" i="29"/>
  <c r="AA33" i="29"/>
  <c r="Z228" i="29"/>
  <c r="X241" i="29"/>
  <c r="X242" i="29"/>
  <c r="X239" i="29"/>
  <c r="X234" i="29"/>
  <c r="X236" i="29"/>
  <c r="X235" i="29"/>
  <c r="X238" i="29"/>
  <c r="X233" i="29"/>
  <c r="X240" i="29"/>
  <c r="X237" i="29"/>
  <c r="AJ230" i="29"/>
  <c r="X252" i="29"/>
  <c r="AJ252" i="29" s="1"/>
  <c r="X248" i="29"/>
  <c r="AJ248" i="29" s="1"/>
  <c r="X247" i="29"/>
  <c r="AJ247" i="29" s="1"/>
  <c r="X253" i="29"/>
  <c r="AJ253" i="29" s="1"/>
  <c r="X250" i="29"/>
  <c r="AJ250" i="29" s="1"/>
  <c r="X249" i="29"/>
  <c r="X255" i="29"/>
  <c r="AJ255" i="29" s="1"/>
  <c r="X256" i="29"/>
  <c r="AJ256" i="29" s="1"/>
  <c r="X254" i="29"/>
  <c r="X251" i="29"/>
  <c r="AJ251" i="29" s="1"/>
  <c r="AJ244" i="29"/>
  <c r="X266" i="29"/>
  <c r="AJ266" i="29" s="1"/>
  <c r="X262" i="29"/>
  <c r="AJ262" i="29" s="1"/>
  <c r="X261" i="29"/>
  <c r="AJ261" i="29" s="1"/>
  <c r="X270" i="29"/>
  <c r="AJ270" i="29" s="1"/>
  <c r="X263" i="29"/>
  <c r="AJ263" i="29" s="1"/>
  <c r="X264" i="29"/>
  <c r="AJ264" i="29" s="1"/>
  <c r="X269" i="29"/>
  <c r="AJ269" i="29" s="1"/>
  <c r="X268" i="29"/>
  <c r="AJ268" i="29" s="1"/>
  <c r="X267" i="29"/>
  <c r="AJ267" i="29" s="1"/>
  <c r="X265" i="29"/>
  <c r="AJ265" i="29" s="1"/>
  <c r="AJ258" i="29"/>
  <c r="W437" i="29"/>
  <c r="AC486" i="29"/>
  <c r="AC484" i="29" s="1"/>
  <c r="AC514" i="29"/>
  <c r="AE22" i="14"/>
  <c r="AD205" i="14"/>
  <c r="AC237" i="14" s="1"/>
  <c r="AD113" i="14"/>
  <c r="AD12" i="29"/>
  <c r="AD42" i="14"/>
  <c r="AD72" i="14" s="1"/>
  <c r="AD81" i="14" s="1"/>
  <c r="U561" i="29"/>
  <c r="W440" i="29"/>
  <c r="W441" i="29"/>
  <c r="W443" i="29"/>
  <c r="W494" i="29"/>
  <c r="W438" i="29"/>
  <c r="W529" i="29" s="1"/>
  <c r="Z491" i="29"/>
  <c r="Z273" i="29"/>
  <c r="Z449" i="29" s="1"/>
  <c r="AA35" i="29"/>
  <c r="V530" i="29"/>
  <c r="AJ274" i="29"/>
  <c r="AJ450" i="29" s="1"/>
  <c r="AJ279" i="29"/>
  <c r="AJ455" i="29" s="1"/>
  <c r="X495" i="29"/>
  <c r="AJ284" i="29"/>
  <c r="AJ460" i="29" s="1"/>
  <c r="W492" i="29"/>
  <c r="W493" i="29"/>
  <c r="W439" i="29"/>
  <c r="W436" i="29"/>
  <c r="W444" i="29"/>
  <c r="W537" i="29" s="1"/>
  <c r="W445" i="29"/>
  <c r="W538" i="29" s="1"/>
  <c r="W442" i="29"/>
  <c r="X299" i="29"/>
  <c r="AJ299" i="29" s="1"/>
  <c r="X298" i="29"/>
  <c r="AJ298" i="29" s="1"/>
  <c r="X295" i="29"/>
  <c r="AJ295" i="29" s="1"/>
  <c r="X301" i="29"/>
  <c r="AJ301" i="29" s="1"/>
  <c r="X297" i="29"/>
  <c r="X294" i="29"/>
  <c r="X292" i="29"/>
  <c r="AJ292" i="29" s="1"/>
  <c r="X293" i="29"/>
  <c r="AJ293" i="29" s="1"/>
  <c r="X296" i="29"/>
  <c r="X300" i="29"/>
  <c r="AJ300" i="29" s="1"/>
  <c r="AJ289" i="29"/>
  <c r="X320" i="29"/>
  <c r="AJ320" i="29" s="1"/>
  <c r="X323" i="29"/>
  <c r="AJ323" i="29" s="1"/>
  <c r="X321" i="29"/>
  <c r="AJ321" i="29" s="1"/>
  <c r="X328" i="29"/>
  <c r="AJ328" i="29" s="1"/>
  <c r="X324" i="29"/>
  <c r="X329" i="29"/>
  <c r="X326" i="29"/>
  <c r="AJ326" i="29" s="1"/>
  <c r="X322" i="29"/>
  <c r="AJ322" i="29" s="1"/>
  <c r="AJ317" i="29"/>
  <c r="X327" i="29"/>
  <c r="AJ327" i="29" s="1"/>
  <c r="X325" i="29"/>
  <c r="AJ325" i="29" s="1"/>
  <c r="X309" i="29"/>
  <c r="AJ309" i="29" s="1"/>
  <c r="X311" i="29"/>
  <c r="AJ311" i="29" s="1"/>
  <c r="X308" i="29"/>
  <c r="AJ308" i="29" s="1"/>
  <c r="X315" i="29"/>
  <c r="AJ315" i="29" s="1"/>
  <c r="X313" i="29"/>
  <c r="AJ313" i="29" s="1"/>
  <c r="X312" i="29"/>
  <c r="AJ312" i="29" s="1"/>
  <c r="X310" i="29"/>
  <c r="AJ310" i="29" s="1"/>
  <c r="X307" i="29"/>
  <c r="AJ307" i="29" s="1"/>
  <c r="X314" i="29"/>
  <c r="AJ314" i="29" s="1"/>
  <c r="X306" i="29"/>
  <c r="AJ306" i="29" s="1"/>
  <c r="AJ303" i="29"/>
  <c r="Y317" i="29"/>
  <c r="Y303" i="29"/>
  <c r="Y289" i="29"/>
  <c r="Z287" i="29"/>
  <c r="AA36" i="29"/>
  <c r="Z490" i="29"/>
  <c r="Z348" i="29"/>
  <c r="Z334" i="29"/>
  <c r="Z362" i="29"/>
  <c r="Y358" i="29"/>
  <c r="Y351" i="29"/>
  <c r="Y353" i="29"/>
  <c r="Y360" i="29"/>
  <c r="Y354" i="29"/>
  <c r="Y357" i="29"/>
  <c r="Y359" i="29"/>
  <c r="Y352" i="29"/>
  <c r="Y356" i="29"/>
  <c r="Y355" i="29"/>
  <c r="AA332" i="29"/>
  <c r="AB37" i="29"/>
  <c r="Y346" i="29"/>
  <c r="Y339" i="29"/>
  <c r="Y343" i="29"/>
  <c r="Y345" i="29"/>
  <c r="Y338" i="29"/>
  <c r="Y341" i="29"/>
  <c r="Y337" i="29"/>
  <c r="Y340" i="29"/>
  <c r="Y344" i="29"/>
  <c r="Y342" i="29"/>
  <c r="Y371" i="29"/>
  <c r="Y365" i="29"/>
  <c r="Y370" i="29"/>
  <c r="Y368" i="29"/>
  <c r="Y372" i="29"/>
  <c r="Y367" i="29"/>
  <c r="Y373" i="29"/>
  <c r="Y374" i="29"/>
  <c r="Y366" i="29"/>
  <c r="Y369" i="29"/>
  <c r="Z22" i="29"/>
  <c r="Z500" i="29" s="1"/>
  <c r="Z391" i="29"/>
  <c r="Z41" i="29"/>
  <c r="Z131" i="14"/>
  <c r="AA82" i="14" s="1"/>
  <c r="AA165" i="14"/>
  <c r="N102" i="14"/>
  <c r="N88" i="14"/>
  <c r="O89" i="14" s="1"/>
  <c r="O90" i="14" s="1"/>
  <c r="O87" i="14" s="1"/>
  <c r="O102" i="14" s="1"/>
  <c r="O104" i="14" s="1"/>
  <c r="M83" i="14"/>
  <c r="M228" i="14" s="1"/>
  <c r="M17" i="29"/>
  <c r="K553" i="29"/>
  <c r="K555" i="29" s="1"/>
  <c r="K566" i="29"/>
  <c r="L558" i="29"/>
  <c r="L566" i="29" s="1"/>
  <c r="AH539" i="29"/>
  <c r="AE426" i="29"/>
  <c r="AD428" i="29" l="1"/>
  <c r="AE419" i="29"/>
  <c r="AE526" i="29"/>
  <c r="AE420" i="29"/>
  <c r="AE418" i="29"/>
  <c r="AE417" i="29"/>
  <c r="AE416" i="29"/>
  <c r="V560" i="29"/>
  <c r="M20" i="29"/>
  <c r="M498" i="29" s="1"/>
  <c r="M534" i="29" s="1"/>
  <c r="M19" i="29"/>
  <c r="M18" i="29"/>
  <c r="M496" i="29" s="1"/>
  <c r="AE425" i="29"/>
  <c r="AE424" i="29"/>
  <c r="AE422" i="29"/>
  <c r="AE427" i="29"/>
  <c r="AF160" i="29"/>
  <c r="AF157" i="29"/>
  <c r="AF159" i="29"/>
  <c r="AF164" i="29"/>
  <c r="AF156" i="29"/>
  <c r="AF155" i="29"/>
  <c r="AF165" i="29"/>
  <c r="AF166" i="29"/>
  <c r="AF162" i="29"/>
  <c r="AF158" i="29"/>
  <c r="AF163" i="29"/>
  <c r="AF161" i="29"/>
  <c r="AF177" i="29"/>
  <c r="AF169" i="29"/>
  <c r="AF176" i="29"/>
  <c r="AF174" i="29"/>
  <c r="AF170" i="29"/>
  <c r="AF180" i="29"/>
  <c r="AF175" i="29"/>
  <c r="AF171" i="29"/>
  <c r="AF178" i="29"/>
  <c r="AF173" i="29"/>
  <c r="AF172" i="29"/>
  <c r="AF179" i="29"/>
  <c r="AF149" i="29"/>
  <c r="AF148" i="29"/>
  <c r="AF147" i="29"/>
  <c r="AF144" i="29"/>
  <c r="AF143" i="29"/>
  <c r="AF150" i="29"/>
  <c r="AF142" i="29"/>
  <c r="AF145" i="29"/>
  <c r="AF152" i="29"/>
  <c r="AF141" i="29"/>
  <c r="AF146" i="29"/>
  <c r="AF151" i="29"/>
  <c r="AF415" i="29"/>
  <c r="AG154" i="29"/>
  <c r="AG140" i="29"/>
  <c r="AG168" i="29"/>
  <c r="AE181" i="29"/>
  <c r="AE182" i="29" s="1"/>
  <c r="AE429" i="29" s="1"/>
  <c r="AH138" i="29"/>
  <c r="AK138" i="29" s="1"/>
  <c r="AK31" i="29"/>
  <c r="AK414" i="29" s="1"/>
  <c r="W521" i="29"/>
  <c r="X434" i="29"/>
  <c r="X435" i="29"/>
  <c r="AJ435" i="29" s="1"/>
  <c r="Y290" i="29"/>
  <c r="Y291" i="29"/>
  <c r="Y305" i="29"/>
  <c r="Y304" i="29"/>
  <c r="Z364" i="29"/>
  <c r="Z363" i="29"/>
  <c r="Y319" i="29"/>
  <c r="Y318" i="29"/>
  <c r="Z201" i="29"/>
  <c r="Z200" i="29"/>
  <c r="Z336" i="29"/>
  <c r="Z335" i="29"/>
  <c r="Z350" i="29"/>
  <c r="Z349" i="29"/>
  <c r="Y232" i="29"/>
  <c r="Y231" i="29"/>
  <c r="Z214" i="29"/>
  <c r="Z215" i="29"/>
  <c r="Y259" i="29"/>
  <c r="Y260" i="29"/>
  <c r="Z186" i="29"/>
  <c r="Z187" i="29"/>
  <c r="Y246" i="29"/>
  <c r="Y245" i="29"/>
  <c r="AA432" i="29"/>
  <c r="AD430" i="29"/>
  <c r="AA213" i="29"/>
  <c r="AA185" i="29"/>
  <c r="AA199" i="29"/>
  <c r="Z210" i="29"/>
  <c r="Z208" i="29"/>
  <c r="Z205" i="29"/>
  <c r="Z206" i="29"/>
  <c r="Z207" i="29"/>
  <c r="Z202" i="29"/>
  <c r="Z203" i="29"/>
  <c r="Z204" i="29"/>
  <c r="Z211" i="29"/>
  <c r="Z209" i="29"/>
  <c r="Z218" i="29"/>
  <c r="Z219" i="29"/>
  <c r="Z223" i="29"/>
  <c r="Z217" i="29"/>
  <c r="Z222" i="29"/>
  <c r="Z221" i="29"/>
  <c r="Z216" i="29"/>
  <c r="Z220" i="29"/>
  <c r="Z225" i="29"/>
  <c r="Z224" i="29"/>
  <c r="AC32" i="29"/>
  <c r="AB183" i="29"/>
  <c r="Z196" i="29"/>
  <c r="Z188" i="29"/>
  <c r="Z192" i="29"/>
  <c r="Z194" i="29"/>
  <c r="Z190" i="29"/>
  <c r="Z193" i="29"/>
  <c r="Z195" i="29"/>
  <c r="Z197" i="29"/>
  <c r="Z189" i="29"/>
  <c r="Z191" i="29"/>
  <c r="Y226" i="29"/>
  <c r="Y227" i="29" s="1"/>
  <c r="Y433" i="29"/>
  <c r="AJ433" i="29"/>
  <c r="AJ281" i="29"/>
  <c r="AJ457" i="29" s="1"/>
  <c r="X457" i="29"/>
  <c r="X462" i="29" s="1"/>
  <c r="W461" i="29"/>
  <c r="W463" i="29" s="1"/>
  <c r="W527" i="29"/>
  <c r="W547" i="29" s="1"/>
  <c r="AJ283" i="29"/>
  <c r="AJ459" i="29" s="1"/>
  <c r="X459" i="29"/>
  <c r="W535" i="29"/>
  <c r="W536" i="29"/>
  <c r="V447" i="29"/>
  <c r="V517" i="29" s="1"/>
  <c r="AJ239" i="29"/>
  <c r="AJ233" i="29"/>
  <c r="W447" i="29"/>
  <c r="W517" i="29" s="1"/>
  <c r="AJ495" i="29"/>
  <c r="W530" i="29"/>
  <c r="W532" i="29"/>
  <c r="W546" i="29" s="1"/>
  <c r="AJ236" i="29"/>
  <c r="AJ234" i="29"/>
  <c r="AJ237" i="29"/>
  <c r="AJ242" i="29"/>
  <c r="AJ240" i="29"/>
  <c r="AJ241" i="29"/>
  <c r="AK477" i="29"/>
  <c r="AH479" i="29"/>
  <c r="AK479" i="29" s="1"/>
  <c r="Y375" i="29"/>
  <c r="Y376" i="29" s="1"/>
  <c r="AJ389" i="29"/>
  <c r="AJ390" i="29" s="1"/>
  <c r="AJ294" i="29"/>
  <c r="X330" i="29"/>
  <c r="X331" i="29" s="1"/>
  <c r="AJ235" i="29"/>
  <c r="X271" i="29"/>
  <c r="X272" i="29" s="1"/>
  <c r="X286" i="29"/>
  <c r="W285" i="29"/>
  <c r="W446" i="29" s="1"/>
  <c r="AJ329" i="29"/>
  <c r="Y495" i="29"/>
  <c r="AJ324" i="29"/>
  <c r="AJ249" i="29"/>
  <c r="AJ238" i="29"/>
  <c r="AJ254" i="29"/>
  <c r="AJ297" i="29"/>
  <c r="AA490" i="29"/>
  <c r="X275" i="29"/>
  <c r="X451" i="29" s="1"/>
  <c r="X280" i="29"/>
  <c r="Z284" i="29"/>
  <c r="Z460" i="29" s="1"/>
  <c r="Z279" i="29"/>
  <c r="Z455" i="29" s="1"/>
  <c r="Z274" i="29"/>
  <c r="Z450" i="29" s="1"/>
  <c r="Y283" i="29"/>
  <c r="Y459" i="29" s="1"/>
  <c r="Y281" i="29"/>
  <c r="Y457" i="29" s="1"/>
  <c r="Y282" i="29"/>
  <c r="Y458" i="29" s="1"/>
  <c r="Y276" i="29"/>
  <c r="Y452" i="29" s="1"/>
  <c r="Y278" i="29"/>
  <c r="Y454" i="29" s="1"/>
  <c r="Y277" i="29"/>
  <c r="Y453" i="29" s="1"/>
  <c r="Z258" i="29"/>
  <c r="Z244" i="29"/>
  <c r="Z230" i="29"/>
  <c r="AB33" i="29"/>
  <c r="AA228" i="29"/>
  <c r="Y234" i="29"/>
  <c r="Y233" i="29"/>
  <c r="Y239" i="29"/>
  <c r="Y240" i="29"/>
  <c r="Y241" i="29"/>
  <c r="Y237" i="29"/>
  <c r="Y236" i="29"/>
  <c r="Y238" i="29"/>
  <c r="Y235" i="29"/>
  <c r="Y242" i="29"/>
  <c r="Y270" i="29"/>
  <c r="Y269" i="29"/>
  <c r="Y265" i="29"/>
  <c r="Y266" i="29"/>
  <c r="Y267" i="29"/>
  <c r="Y264" i="29"/>
  <c r="Y262" i="29"/>
  <c r="Y261" i="29"/>
  <c r="Y268" i="29"/>
  <c r="Y263" i="29"/>
  <c r="AA84" i="14"/>
  <c r="AA85" i="14"/>
  <c r="AB86" i="14" s="1"/>
  <c r="Y247" i="29"/>
  <c r="Y250" i="29"/>
  <c r="Y249" i="29"/>
  <c r="Y253" i="29"/>
  <c r="Y252" i="29"/>
  <c r="Y255" i="29"/>
  <c r="Y254" i="29"/>
  <c r="Y248" i="29"/>
  <c r="Y256" i="29"/>
  <c r="Y251" i="29"/>
  <c r="L257" i="14"/>
  <c r="AD486" i="29"/>
  <c r="AD484" i="29" s="1"/>
  <c r="AD514" i="29"/>
  <c r="AF22" i="14"/>
  <c r="AE113" i="14"/>
  <c r="AE12" i="29"/>
  <c r="AE205" i="14"/>
  <c r="AD237" i="14" s="1"/>
  <c r="AE42" i="14"/>
  <c r="AE72" i="14" s="1"/>
  <c r="AE81" i="14" s="1"/>
  <c r="V561" i="29"/>
  <c r="AJ278" i="29"/>
  <c r="AJ454" i="29" s="1"/>
  <c r="X494" i="29"/>
  <c r="AJ494" i="29" s="1"/>
  <c r="X492" i="29"/>
  <c r="AJ492" i="29" s="1"/>
  <c r="AJ276" i="29"/>
  <c r="AJ277" i="29"/>
  <c r="AJ453" i="29" s="1"/>
  <c r="X493" i="29"/>
  <c r="AJ493" i="29" s="1"/>
  <c r="AA491" i="29"/>
  <c r="AA273" i="29"/>
  <c r="AA449" i="29" s="1"/>
  <c r="AB35" i="29"/>
  <c r="AJ282" i="29"/>
  <c r="AJ458" i="29" s="1"/>
  <c r="X443" i="29"/>
  <c r="X437" i="29"/>
  <c r="X438" i="29"/>
  <c r="X442" i="29"/>
  <c r="X436" i="29"/>
  <c r="X444" i="29"/>
  <c r="AJ444" i="29" s="1"/>
  <c r="X439" i="29"/>
  <c r="X445" i="29"/>
  <c r="Y306" i="29"/>
  <c r="Y309" i="29"/>
  <c r="Y312" i="29"/>
  <c r="Y308" i="29"/>
  <c r="Y314" i="29"/>
  <c r="Y310" i="29"/>
  <c r="Y315" i="29"/>
  <c r="Y307" i="29"/>
  <c r="Y313" i="29"/>
  <c r="Y311" i="29"/>
  <c r="Y324" i="29"/>
  <c r="Y327" i="29"/>
  <c r="Y328" i="29"/>
  <c r="Y329" i="29"/>
  <c r="Y325" i="29"/>
  <c r="Y320" i="29"/>
  <c r="Y322" i="29"/>
  <c r="Y326" i="29"/>
  <c r="Y323" i="29"/>
  <c r="Y321" i="29"/>
  <c r="X441" i="29"/>
  <c r="AJ296" i="29"/>
  <c r="X440" i="29"/>
  <c r="AJ440" i="29" s="1"/>
  <c r="AA287" i="29"/>
  <c r="AB36" i="29"/>
  <c r="Z303" i="29"/>
  <c r="Z289" i="29"/>
  <c r="Z317" i="29"/>
  <c r="Y292" i="29"/>
  <c r="Y294" i="29"/>
  <c r="Y295" i="29"/>
  <c r="Y296" i="29"/>
  <c r="Y297" i="29"/>
  <c r="Y293" i="29"/>
  <c r="Y300" i="29"/>
  <c r="Y298" i="29"/>
  <c r="Y299" i="29"/>
  <c r="Y301" i="29"/>
  <c r="AB332" i="29"/>
  <c r="AC37" i="29"/>
  <c r="Z367" i="29"/>
  <c r="Z370" i="29"/>
  <c r="Z368" i="29"/>
  <c r="Z371" i="29"/>
  <c r="Z365" i="29"/>
  <c r="Z374" i="29"/>
  <c r="Z372" i="29"/>
  <c r="Z366" i="29"/>
  <c r="Z369" i="29"/>
  <c r="Z373" i="29"/>
  <c r="AA348" i="29"/>
  <c r="AA334" i="29"/>
  <c r="AA362" i="29"/>
  <c r="Z342" i="29"/>
  <c r="Z346" i="29"/>
  <c r="Z341" i="29"/>
  <c r="Z339" i="29"/>
  <c r="Z345" i="29"/>
  <c r="Z340" i="29"/>
  <c r="Z338" i="29"/>
  <c r="Z337" i="29"/>
  <c r="Z344" i="29"/>
  <c r="Z343" i="29"/>
  <c r="Z358" i="29"/>
  <c r="Z353" i="29"/>
  <c r="Z357" i="29"/>
  <c r="Z359" i="29"/>
  <c r="Z354" i="29"/>
  <c r="Z356" i="29"/>
  <c r="Z352" i="29"/>
  <c r="Z351" i="29"/>
  <c r="Z360" i="29"/>
  <c r="Z355" i="29"/>
  <c r="AB165" i="14"/>
  <c r="AA131" i="14"/>
  <c r="AB82" i="14" s="1"/>
  <c r="AA391" i="29"/>
  <c r="AA22" i="29"/>
  <c r="AA500" i="29" s="1"/>
  <c r="AA41" i="29"/>
  <c r="O88" i="14"/>
  <c r="P89" i="14" s="1"/>
  <c r="O91" i="14"/>
  <c r="P92" i="14" s="1"/>
  <c r="P93" i="14" s="1"/>
  <c r="M117" i="14"/>
  <c r="M111" i="14" s="1"/>
  <c r="M105" i="14"/>
  <c r="M107" i="14" s="1"/>
  <c r="N106" i="14" s="1"/>
  <c r="N104" i="14"/>
  <c r="N103" i="14"/>
  <c r="O101" i="14" s="1"/>
  <c r="O103" i="14" s="1"/>
  <c r="P101" i="14" s="1"/>
  <c r="L553" i="29"/>
  <c r="L555" i="29" s="1"/>
  <c r="O83" i="14"/>
  <c r="O228" i="14" s="1"/>
  <c r="N257" i="14" s="1"/>
  <c r="N261" i="14" s="1"/>
  <c r="O543" i="29" s="1"/>
  <c r="O544" i="29" s="1"/>
  <c r="O17" i="29"/>
  <c r="AH549" i="29"/>
  <c r="AK539" i="29"/>
  <c r="AE428" i="29" l="1"/>
  <c r="W560" i="29"/>
  <c r="AF423" i="29"/>
  <c r="AF422" i="29"/>
  <c r="AF419" i="29"/>
  <c r="AF424" i="29"/>
  <c r="AF526" i="29"/>
  <c r="AF421" i="29"/>
  <c r="AF418" i="29"/>
  <c r="AF416" i="29"/>
  <c r="AF417" i="29"/>
  <c r="AF427" i="29"/>
  <c r="AF425" i="29"/>
  <c r="AF420" i="29"/>
  <c r="O18" i="29"/>
  <c r="O496" i="29" s="1"/>
  <c r="O20" i="29"/>
  <c r="O498" i="29" s="1"/>
  <c r="O534" i="29" s="1"/>
  <c r="O19" i="29"/>
  <c r="O497" i="29" s="1"/>
  <c r="O533" i="29" s="1"/>
  <c r="AF426" i="29"/>
  <c r="AF181" i="29"/>
  <c r="AF182" i="29" s="1"/>
  <c r="AF429" i="29" s="1"/>
  <c r="AG172" i="29"/>
  <c r="AG176" i="29"/>
  <c r="AG170" i="29"/>
  <c r="AG180" i="29"/>
  <c r="AG177" i="29"/>
  <c r="AG178" i="29"/>
  <c r="AG171" i="29"/>
  <c r="AG173" i="29"/>
  <c r="AG169" i="29"/>
  <c r="AG179" i="29"/>
  <c r="AG174" i="29"/>
  <c r="AG175" i="29"/>
  <c r="AG145" i="29"/>
  <c r="AG144" i="29"/>
  <c r="AG149" i="29"/>
  <c r="AG148" i="29"/>
  <c r="AG152" i="29"/>
  <c r="AG143" i="29"/>
  <c r="AG141" i="29"/>
  <c r="AG150" i="29"/>
  <c r="AG146" i="29"/>
  <c r="AG151" i="29"/>
  <c r="AG147" i="29"/>
  <c r="AG142" i="29"/>
  <c r="AG163" i="29"/>
  <c r="AG166" i="29"/>
  <c r="AG157" i="29"/>
  <c r="AG162" i="29"/>
  <c r="AG164" i="29"/>
  <c r="AG160" i="29"/>
  <c r="AG165" i="29"/>
  <c r="AG156" i="29"/>
  <c r="AG161" i="29"/>
  <c r="AG158" i="29"/>
  <c r="AG155" i="29"/>
  <c r="AG159" i="29"/>
  <c r="M519" i="29"/>
  <c r="AH168" i="29"/>
  <c r="AK168" i="29" s="1"/>
  <c r="AH140" i="29"/>
  <c r="AK140" i="29" s="1"/>
  <c r="AH154" i="29"/>
  <c r="AG415" i="29"/>
  <c r="Y434" i="29"/>
  <c r="Y435" i="29"/>
  <c r="AJ434" i="29"/>
  <c r="X521" i="29"/>
  <c r="AJ521" i="29" s="1"/>
  <c r="X532" i="29"/>
  <c r="Z305" i="29"/>
  <c r="Z304" i="29"/>
  <c r="Z245" i="29"/>
  <c r="Z246" i="29"/>
  <c r="AA187" i="29"/>
  <c r="AA186" i="29"/>
  <c r="AA335" i="29"/>
  <c r="AA336" i="29"/>
  <c r="Z319" i="29"/>
  <c r="Z318" i="29"/>
  <c r="Z259" i="29"/>
  <c r="Z260" i="29"/>
  <c r="AA214" i="29"/>
  <c r="AA215" i="29"/>
  <c r="AA363" i="29"/>
  <c r="AA364" i="29"/>
  <c r="AA350" i="29"/>
  <c r="AA349" i="29"/>
  <c r="Z291" i="29"/>
  <c r="Z290" i="29"/>
  <c r="Z232" i="29"/>
  <c r="Z231" i="29"/>
  <c r="AA200" i="29"/>
  <c r="AA201" i="29"/>
  <c r="AB432" i="29"/>
  <c r="AE430" i="29"/>
  <c r="AJ437" i="29"/>
  <c r="AA210" i="29"/>
  <c r="AA203" i="29"/>
  <c r="AA206" i="29"/>
  <c r="AA202" i="29"/>
  <c r="AA208" i="29"/>
  <c r="AA209" i="29"/>
  <c r="AA207" i="29"/>
  <c r="AA211" i="29"/>
  <c r="AA205" i="29"/>
  <c r="AA204" i="29"/>
  <c r="AB199" i="29"/>
  <c r="AB213" i="29"/>
  <c r="AB185" i="29"/>
  <c r="AA194" i="29"/>
  <c r="AA193" i="29"/>
  <c r="AA197" i="29"/>
  <c r="AA196" i="29"/>
  <c r="AA189" i="29"/>
  <c r="AA195" i="29"/>
  <c r="AA192" i="29"/>
  <c r="AA188" i="29"/>
  <c r="AA191" i="29"/>
  <c r="AA190" i="29"/>
  <c r="AA224" i="29"/>
  <c r="AA225" i="29"/>
  <c r="AA220" i="29"/>
  <c r="AA221" i="29"/>
  <c r="AA222" i="29"/>
  <c r="AA216" i="29"/>
  <c r="AA223" i="29"/>
  <c r="AA218" i="29"/>
  <c r="AA219" i="29"/>
  <c r="AA217" i="29"/>
  <c r="AD32" i="29"/>
  <c r="AC183" i="29"/>
  <c r="Z226" i="29"/>
  <c r="Z227" i="29" s="1"/>
  <c r="V448" i="29"/>
  <c r="W448" i="29"/>
  <c r="Z433" i="29"/>
  <c r="Y462" i="29"/>
  <c r="AJ280" i="29"/>
  <c r="AJ456" i="29" s="1"/>
  <c r="X456" i="29"/>
  <c r="X527" i="29" s="1"/>
  <c r="AJ527" i="29" s="1"/>
  <c r="D206" i="52" s="1"/>
  <c r="AJ286" i="29"/>
  <c r="AJ452" i="29"/>
  <c r="AJ462" i="29" s="1"/>
  <c r="AJ436" i="29"/>
  <c r="X529" i="29"/>
  <c r="AJ529" i="29" s="1"/>
  <c r="D207" i="52" s="1"/>
  <c r="X535" i="29"/>
  <c r="AJ535" i="29" s="1"/>
  <c r="X536" i="29"/>
  <c r="AJ536" i="29" s="1"/>
  <c r="Z375" i="29"/>
  <c r="Z376" i="29" s="1"/>
  <c r="M23" i="29"/>
  <c r="Y271" i="29"/>
  <c r="Y272" i="29" s="1"/>
  <c r="AJ271" i="29"/>
  <c r="AJ272" i="29" s="1"/>
  <c r="AJ330" i="29"/>
  <c r="AJ331" i="29" s="1"/>
  <c r="Y330" i="29"/>
  <c r="Y331" i="29" s="1"/>
  <c r="X285" i="29"/>
  <c r="X446" i="29" s="1"/>
  <c r="AJ446" i="29" s="1"/>
  <c r="Y286" i="29"/>
  <c r="Z495" i="29"/>
  <c r="AJ441" i="29"/>
  <c r="Y275" i="29"/>
  <c r="Y451" i="29" s="1"/>
  <c r="Y439" i="29"/>
  <c r="Z277" i="29"/>
  <c r="Z453" i="29" s="1"/>
  <c r="Z278" i="29"/>
  <c r="Z454" i="29" s="1"/>
  <c r="Z276" i="29"/>
  <c r="Z452" i="29" s="1"/>
  <c r="AA279" i="29"/>
  <c r="AA455" i="29" s="1"/>
  <c r="AA284" i="29"/>
  <c r="AA460" i="29" s="1"/>
  <c r="AA274" i="29"/>
  <c r="AA450" i="29" s="1"/>
  <c r="Y280" i="29"/>
  <c r="Y456" i="29" s="1"/>
  <c r="Z282" i="29"/>
  <c r="Z458" i="29" s="1"/>
  <c r="Z283" i="29"/>
  <c r="Z459" i="29" s="1"/>
  <c r="Z281" i="29"/>
  <c r="Z457" i="29" s="1"/>
  <c r="AA258" i="29"/>
  <c r="AA244" i="29"/>
  <c r="AA230" i="29"/>
  <c r="AC33" i="29"/>
  <c r="AB228" i="29"/>
  <c r="Z240" i="29"/>
  <c r="Z234" i="29"/>
  <c r="Z237" i="29"/>
  <c r="Z236" i="29"/>
  <c r="Z235" i="29"/>
  <c r="Z238" i="29"/>
  <c r="Z239" i="29"/>
  <c r="Z233" i="29"/>
  <c r="Z241" i="29"/>
  <c r="Z242" i="29"/>
  <c r="AB85" i="14"/>
  <c r="AC86" i="14" s="1"/>
  <c r="AB84" i="14"/>
  <c r="Z252" i="29"/>
  <c r="Z248" i="29"/>
  <c r="Z256" i="29"/>
  <c r="Z247" i="29"/>
  <c r="Z251" i="29"/>
  <c r="Z249" i="29"/>
  <c r="Z250" i="29"/>
  <c r="Z255" i="29"/>
  <c r="Z253" i="29"/>
  <c r="Z254" i="29"/>
  <c r="Z264" i="29"/>
  <c r="Z266" i="29"/>
  <c r="Z263" i="29"/>
  <c r="Z262" i="29"/>
  <c r="Z270" i="29"/>
  <c r="Z261" i="29"/>
  <c r="Z269" i="29"/>
  <c r="Z268" i="29"/>
  <c r="Z267" i="29"/>
  <c r="Z265" i="29"/>
  <c r="L261" i="14"/>
  <c r="M543" i="29" s="1"/>
  <c r="M544" i="29" s="1"/>
  <c r="AE486" i="29"/>
  <c r="AE484" i="29" s="1"/>
  <c r="AE514" i="29"/>
  <c r="AG22" i="14"/>
  <c r="AF12" i="29"/>
  <c r="AF205" i="14"/>
  <c r="AE237" i="14" s="1"/>
  <c r="AF113" i="14"/>
  <c r="AF42" i="14"/>
  <c r="AF72" i="14" s="1"/>
  <c r="AF81" i="14" s="1"/>
  <c r="Y444" i="29"/>
  <c r="Y537" i="29" s="1"/>
  <c r="W561" i="29"/>
  <c r="Y436" i="29"/>
  <c r="Y440" i="29"/>
  <c r="Y443" i="29"/>
  <c r="Y536" i="29" s="1"/>
  <c r="Y494" i="29"/>
  <c r="AJ438" i="29"/>
  <c r="AJ443" i="29"/>
  <c r="Y492" i="29"/>
  <c r="AJ275" i="29"/>
  <c r="Y493" i="29"/>
  <c r="Y437" i="29"/>
  <c r="Y441" i="29"/>
  <c r="AB273" i="29"/>
  <c r="AB449" i="29" s="1"/>
  <c r="AB491" i="29"/>
  <c r="AC35" i="29"/>
  <c r="X537" i="29"/>
  <c r="AJ537" i="29" s="1"/>
  <c r="Y445" i="29"/>
  <c r="Y538" i="29" s="1"/>
  <c r="Y442" i="29"/>
  <c r="Y438" i="29"/>
  <c r="Y529" i="29" s="1"/>
  <c r="AJ442" i="29"/>
  <c r="X530" i="29"/>
  <c r="AJ530" i="29" s="1"/>
  <c r="AJ439" i="29"/>
  <c r="Z323" i="29"/>
  <c r="Z325" i="29"/>
  <c r="Z321" i="29"/>
  <c r="Z320" i="29"/>
  <c r="Z329" i="29"/>
  <c r="Z327" i="29"/>
  <c r="Z324" i="29"/>
  <c r="Z328" i="29"/>
  <c r="Z322" i="29"/>
  <c r="Z326" i="29"/>
  <c r="Z300" i="29"/>
  <c r="Z301" i="29"/>
  <c r="Z298" i="29"/>
  <c r="Z297" i="29"/>
  <c r="Z296" i="29"/>
  <c r="Z299" i="29"/>
  <c r="Z295" i="29"/>
  <c r="Z293" i="29"/>
  <c r="Z292" i="29"/>
  <c r="Z294" i="29"/>
  <c r="Z310" i="29"/>
  <c r="Z307" i="29"/>
  <c r="Z311" i="29"/>
  <c r="Z309" i="29"/>
  <c r="Z315" i="29"/>
  <c r="Z312" i="29"/>
  <c r="Z313" i="29"/>
  <c r="Z314" i="29"/>
  <c r="Z306" i="29"/>
  <c r="Z308" i="29"/>
  <c r="AB490" i="29"/>
  <c r="AB287" i="29"/>
  <c r="AC36" i="29"/>
  <c r="AJ445" i="29"/>
  <c r="X538" i="29"/>
  <c r="AJ538" i="29" s="1"/>
  <c r="AA303" i="29"/>
  <c r="AA289" i="29"/>
  <c r="AA317" i="29"/>
  <c r="AA369" i="29"/>
  <c r="AA372" i="29"/>
  <c r="AA367" i="29"/>
  <c r="AA366" i="29"/>
  <c r="AA373" i="29"/>
  <c r="AA374" i="29"/>
  <c r="AA371" i="29"/>
  <c r="AA368" i="29"/>
  <c r="AA370" i="29"/>
  <c r="AA365" i="29"/>
  <c r="AC332" i="29"/>
  <c r="AD37" i="29"/>
  <c r="AA337" i="29"/>
  <c r="AA346" i="29"/>
  <c r="AA342" i="29"/>
  <c r="AA338" i="29"/>
  <c r="AA340" i="29"/>
  <c r="AA341" i="29"/>
  <c r="AA345" i="29"/>
  <c r="AA344" i="29"/>
  <c r="AA343" i="29"/>
  <c r="AA339" i="29"/>
  <c r="AB362" i="29"/>
  <c r="AB334" i="29"/>
  <c r="AB348" i="29"/>
  <c r="AA355" i="29"/>
  <c r="AA360" i="29"/>
  <c r="AA357" i="29"/>
  <c r="AA359" i="29"/>
  <c r="AA354" i="29"/>
  <c r="AA358" i="29"/>
  <c r="AA356" i="29"/>
  <c r="AA353" i="29"/>
  <c r="AA351" i="29"/>
  <c r="AA352" i="29"/>
  <c r="AB22" i="29"/>
  <c r="AB500" i="29" s="1"/>
  <c r="AB391" i="29"/>
  <c r="AB41" i="29"/>
  <c r="AB131" i="14"/>
  <c r="AC82" i="14" s="1"/>
  <c r="AC165" i="14"/>
  <c r="P90" i="14"/>
  <c r="P91" i="14" s="1"/>
  <c r="Q92" i="14" s="1"/>
  <c r="P94" i="14"/>
  <c r="Q95" i="14" s="1"/>
  <c r="Q96" i="14" s="1"/>
  <c r="N83" i="14"/>
  <c r="N228" i="14" s="1"/>
  <c r="N17" i="29"/>
  <c r="M126" i="14"/>
  <c r="M128" i="14" s="1"/>
  <c r="N127" i="14" s="1"/>
  <c r="M138" i="14"/>
  <c r="M139" i="14" s="1"/>
  <c r="M497" i="29"/>
  <c r="M488" i="29" s="1"/>
  <c r="O117" i="14"/>
  <c r="O111" i="14" s="1"/>
  <c r="O105" i="14"/>
  <c r="AK549" i="29"/>
  <c r="AH563" i="29"/>
  <c r="AK563" i="29" s="1"/>
  <c r="AG418" i="29" l="1"/>
  <c r="AG419" i="29"/>
  <c r="AG426" i="29"/>
  <c r="AG417" i="29"/>
  <c r="AH415" i="29"/>
  <c r="AG423" i="29"/>
  <c r="AG427" i="29"/>
  <c r="AG526" i="29"/>
  <c r="AG416" i="29"/>
  <c r="AK154" i="29"/>
  <c r="AK415" i="29" s="1"/>
  <c r="AF428" i="29"/>
  <c r="AF430" i="29" s="1"/>
  <c r="N19" i="29"/>
  <c r="N18" i="29"/>
  <c r="N496" i="29" s="1"/>
  <c r="N20" i="29"/>
  <c r="AG422" i="29"/>
  <c r="AG421" i="29"/>
  <c r="AG420" i="29"/>
  <c r="AG425" i="29"/>
  <c r="AG424" i="29"/>
  <c r="AG181" i="29"/>
  <c r="AG182" i="29" s="1"/>
  <c r="AG429" i="29" s="1"/>
  <c r="O519" i="29"/>
  <c r="O488" i="29"/>
  <c r="O501" i="29" s="1"/>
  <c r="O507" i="29" s="1"/>
  <c r="O520" i="29" s="1"/>
  <c r="AH166" i="29"/>
  <c r="AK166" i="29" s="1"/>
  <c r="AH162" i="29"/>
  <c r="AK162" i="29" s="1"/>
  <c r="AH165" i="29"/>
  <c r="AK165" i="29" s="1"/>
  <c r="AH163" i="29"/>
  <c r="AK163" i="29" s="1"/>
  <c r="AH164" i="29"/>
  <c r="AK164" i="29" s="1"/>
  <c r="AH159" i="29"/>
  <c r="AK159" i="29" s="1"/>
  <c r="AH157" i="29"/>
  <c r="AK157" i="29" s="1"/>
  <c r="AH160" i="29"/>
  <c r="AK160" i="29" s="1"/>
  <c r="AH158" i="29"/>
  <c r="AK158" i="29" s="1"/>
  <c r="AH156" i="29"/>
  <c r="AK156" i="29" s="1"/>
  <c r="AH161" i="29"/>
  <c r="AK161" i="29" s="1"/>
  <c r="AH155" i="29"/>
  <c r="AK155" i="29" s="1"/>
  <c r="AH150" i="29"/>
  <c r="AH141" i="29"/>
  <c r="AK141" i="29" s="1"/>
  <c r="AH147" i="29"/>
  <c r="AK147" i="29" s="1"/>
  <c r="AH143" i="29"/>
  <c r="AK143" i="29" s="1"/>
  <c r="AH146" i="29"/>
  <c r="AK146" i="29" s="1"/>
  <c r="AH149" i="29"/>
  <c r="AK149" i="29" s="1"/>
  <c r="AH148" i="29"/>
  <c r="AK148" i="29" s="1"/>
  <c r="AH152" i="29"/>
  <c r="AK152" i="29" s="1"/>
  <c r="AH151" i="29"/>
  <c r="AK151" i="29" s="1"/>
  <c r="AH145" i="29"/>
  <c r="AK145" i="29" s="1"/>
  <c r="AH144" i="29"/>
  <c r="AH142" i="29"/>
  <c r="AK142" i="29" s="1"/>
  <c r="AH179" i="29"/>
  <c r="AK179" i="29" s="1"/>
  <c r="AH174" i="29"/>
  <c r="AK174" i="29" s="1"/>
  <c r="AH173" i="29"/>
  <c r="AK173" i="29" s="1"/>
  <c r="AH177" i="29"/>
  <c r="AK177" i="29" s="1"/>
  <c r="AH170" i="29"/>
  <c r="AK170" i="29" s="1"/>
  <c r="AH178" i="29"/>
  <c r="AK178" i="29" s="1"/>
  <c r="AH169" i="29"/>
  <c r="AK169" i="29" s="1"/>
  <c r="AH175" i="29"/>
  <c r="AK175" i="29" s="1"/>
  <c r="AH171" i="29"/>
  <c r="AK171" i="29" s="1"/>
  <c r="AH180" i="29"/>
  <c r="AK180" i="29" s="1"/>
  <c r="AH176" i="29"/>
  <c r="AK176" i="29" s="1"/>
  <c r="AH172" i="29"/>
  <c r="AK172" i="29" s="1"/>
  <c r="Y521" i="29"/>
  <c r="M533" i="29"/>
  <c r="M548" i="29" s="1"/>
  <c r="M562" i="29" s="1"/>
  <c r="Z434" i="29"/>
  <c r="Z435" i="29"/>
  <c r="AB350" i="29"/>
  <c r="AB349" i="29"/>
  <c r="AA231" i="29"/>
  <c r="AA232" i="29"/>
  <c r="AB335" i="29"/>
  <c r="AB336" i="29"/>
  <c r="AA319" i="29"/>
  <c r="AA318" i="29"/>
  <c r="AA246" i="29"/>
  <c r="AA245" i="29"/>
  <c r="AA260" i="29"/>
  <c r="AA259" i="29"/>
  <c r="AB363" i="29"/>
  <c r="AB364" i="29"/>
  <c r="AA291" i="29"/>
  <c r="AA290" i="29"/>
  <c r="AB187" i="29"/>
  <c r="AB186" i="29"/>
  <c r="AB215" i="29"/>
  <c r="AB214" i="29"/>
  <c r="AA304" i="29"/>
  <c r="AA305" i="29"/>
  <c r="AB200" i="29"/>
  <c r="AB201" i="29"/>
  <c r="AC432" i="29"/>
  <c r="AC199" i="29"/>
  <c r="AC185" i="29"/>
  <c r="AC213" i="29"/>
  <c r="AB188" i="29"/>
  <c r="AB196" i="29"/>
  <c r="AB192" i="29"/>
  <c r="AB195" i="29"/>
  <c r="AB189" i="29"/>
  <c r="AB190" i="29"/>
  <c r="AB193" i="29"/>
  <c r="AB194" i="29"/>
  <c r="AB191" i="29"/>
  <c r="AB197" i="29"/>
  <c r="AB220" i="29"/>
  <c r="AB225" i="29"/>
  <c r="AB222" i="29"/>
  <c r="AB219" i="29"/>
  <c r="AB224" i="29"/>
  <c r="AB217" i="29"/>
  <c r="AB223" i="29"/>
  <c r="AB216" i="29"/>
  <c r="AB221" i="29"/>
  <c r="AB218" i="29"/>
  <c r="AE32" i="29"/>
  <c r="AD183" i="29"/>
  <c r="AB211" i="29"/>
  <c r="AB208" i="29"/>
  <c r="AB203" i="29"/>
  <c r="AB209" i="29"/>
  <c r="AB207" i="29"/>
  <c r="AB202" i="29"/>
  <c r="AB206" i="29"/>
  <c r="AB204" i="29"/>
  <c r="AB205" i="29"/>
  <c r="AB210" i="29"/>
  <c r="AA226" i="29"/>
  <c r="AA227" i="29" s="1"/>
  <c r="Z462" i="29"/>
  <c r="AA433" i="29"/>
  <c r="X461" i="29"/>
  <c r="X463" i="29" s="1"/>
  <c r="AJ285" i="29"/>
  <c r="AJ451" i="29"/>
  <c r="AJ461" i="29" s="1"/>
  <c r="AJ463" i="29" s="1"/>
  <c r="Y527" i="29"/>
  <c r="Y547" i="29" s="1"/>
  <c r="Y461" i="29"/>
  <c r="Y463" i="29" s="1"/>
  <c r="D208" i="52"/>
  <c r="Z208" i="52" s="1"/>
  <c r="Y535" i="29"/>
  <c r="Y532" i="29"/>
  <c r="Y546" i="29" s="1"/>
  <c r="X447" i="29"/>
  <c r="X517" i="29" s="1"/>
  <c r="Y447" i="29"/>
  <c r="Y517" i="29" s="1"/>
  <c r="AA375" i="29"/>
  <c r="AA376" i="29" s="1"/>
  <c r="O23" i="29"/>
  <c r="Z271" i="29"/>
  <c r="Z272" i="29" s="1"/>
  <c r="Z330" i="29"/>
  <c r="Z331" i="29" s="1"/>
  <c r="Z286" i="29"/>
  <c r="AA495" i="29"/>
  <c r="Y285" i="29"/>
  <c r="Y446" i="29" s="1"/>
  <c r="AC490" i="29"/>
  <c r="Z442" i="29"/>
  <c r="Z535" i="29" s="1"/>
  <c r="Y530" i="29"/>
  <c r="AA277" i="29"/>
  <c r="AA453" i="29" s="1"/>
  <c r="AA278" i="29"/>
  <c r="AA454" i="29" s="1"/>
  <c r="AA276" i="29"/>
  <c r="AA452" i="29" s="1"/>
  <c r="Z275" i="29"/>
  <c r="Z451" i="29" s="1"/>
  <c r="Z437" i="29"/>
  <c r="AA282" i="29"/>
  <c r="AA458" i="29" s="1"/>
  <c r="AA283" i="29"/>
  <c r="AA459" i="29" s="1"/>
  <c r="AA281" i="29"/>
  <c r="AA457" i="29" s="1"/>
  <c r="Z280" i="29"/>
  <c r="Z456" i="29" s="1"/>
  <c r="AB279" i="29"/>
  <c r="AB455" i="29" s="1"/>
  <c r="AB274" i="29"/>
  <c r="AB450" i="29" s="1"/>
  <c r="AB284" i="29"/>
  <c r="AB460" i="29" s="1"/>
  <c r="AB244" i="29"/>
  <c r="AB230" i="29"/>
  <c r="AB258" i="29"/>
  <c r="AD33" i="29"/>
  <c r="AC228" i="29"/>
  <c r="AA235" i="29"/>
  <c r="AA242" i="29"/>
  <c r="AA236" i="29"/>
  <c r="AA238" i="29"/>
  <c r="AA233" i="29"/>
  <c r="AA240" i="29"/>
  <c r="AA234" i="29"/>
  <c r="AA237" i="29"/>
  <c r="AA241" i="29"/>
  <c r="AA239" i="29"/>
  <c r="AA254" i="29"/>
  <c r="AA248" i="29"/>
  <c r="AA253" i="29"/>
  <c r="AA247" i="29"/>
  <c r="AA251" i="29"/>
  <c r="AA255" i="29"/>
  <c r="AA249" i="29"/>
  <c r="AA250" i="29"/>
  <c r="AA256" i="29"/>
  <c r="AA252" i="29"/>
  <c r="AA266" i="29"/>
  <c r="AA269" i="29"/>
  <c r="AA268" i="29"/>
  <c r="AA264" i="29"/>
  <c r="AA262" i="29"/>
  <c r="AA265" i="29"/>
  <c r="AA263" i="29"/>
  <c r="AA270" i="29"/>
  <c r="AA267" i="29"/>
  <c r="AA261" i="29"/>
  <c r="AC85" i="14"/>
  <c r="AD86" i="14" s="1"/>
  <c r="AC84" i="14"/>
  <c r="M257" i="14"/>
  <c r="L262" i="14"/>
  <c r="Z438" i="29"/>
  <c r="AF514" i="29"/>
  <c r="AF486" i="29"/>
  <c r="AF484" i="29" s="1"/>
  <c r="AH22" i="14"/>
  <c r="AG205" i="14"/>
  <c r="AF237" i="14" s="1"/>
  <c r="AG12" i="29"/>
  <c r="AG113" i="14"/>
  <c r="AG42" i="14"/>
  <c r="AG72" i="14" s="1"/>
  <c r="AG81" i="14" s="1"/>
  <c r="Z436" i="29"/>
  <c r="Z445" i="29"/>
  <c r="Z538" i="29" s="1"/>
  <c r="Z493" i="29"/>
  <c r="X547" i="29"/>
  <c r="Z494" i="29"/>
  <c r="AC491" i="29"/>
  <c r="AD35" i="29"/>
  <c r="AC273" i="29"/>
  <c r="AC449" i="29" s="1"/>
  <c r="Z492" i="29"/>
  <c r="Z441" i="29"/>
  <c r="Z439" i="29"/>
  <c r="Z443" i="29"/>
  <c r="Z536" i="29" s="1"/>
  <c r="Z444" i="29"/>
  <c r="Z440" i="29"/>
  <c r="X546" i="29"/>
  <c r="AJ532" i="29"/>
  <c r="D204" i="52" s="1"/>
  <c r="Z207" i="52" s="1"/>
  <c r="AD36" i="29"/>
  <c r="AC287" i="29"/>
  <c r="AA329" i="29"/>
  <c r="AA323" i="29"/>
  <c r="AA328" i="29"/>
  <c r="AA322" i="29"/>
  <c r="AA324" i="29"/>
  <c r="AA327" i="29"/>
  <c r="AA321" i="29"/>
  <c r="AA325" i="29"/>
  <c r="AA320" i="29"/>
  <c r="AA326" i="29"/>
  <c r="AB289" i="29"/>
  <c r="AB317" i="29"/>
  <c r="AB303" i="29"/>
  <c r="AA293" i="29"/>
  <c r="AA300" i="29"/>
  <c r="AA299" i="29"/>
  <c r="AA297" i="29"/>
  <c r="AA292" i="29"/>
  <c r="AA301" i="29"/>
  <c r="AA298" i="29"/>
  <c r="AA295" i="29"/>
  <c r="AA296" i="29"/>
  <c r="AA294" i="29"/>
  <c r="AA307" i="29"/>
  <c r="AA310" i="29"/>
  <c r="AA312" i="29"/>
  <c r="AA313" i="29"/>
  <c r="AA315" i="29"/>
  <c r="AA314" i="29"/>
  <c r="AA308" i="29"/>
  <c r="AA306" i="29"/>
  <c r="AA309" i="29"/>
  <c r="AA311" i="29"/>
  <c r="AB355" i="29"/>
  <c r="AB357" i="29"/>
  <c r="AB359" i="29"/>
  <c r="AB353" i="29"/>
  <c r="AB354" i="29"/>
  <c r="AB352" i="29"/>
  <c r="AB358" i="29"/>
  <c r="AB356" i="29"/>
  <c r="AB351" i="29"/>
  <c r="AB360" i="29"/>
  <c r="AD332" i="29"/>
  <c r="AE37" i="29"/>
  <c r="AB344" i="29"/>
  <c r="AB337" i="29"/>
  <c r="AB342" i="29"/>
  <c r="AB345" i="29"/>
  <c r="AB340" i="29"/>
  <c r="AB341" i="29"/>
  <c r="AB346" i="29"/>
  <c r="AB338" i="29"/>
  <c r="AB343" i="29"/>
  <c r="AB339" i="29"/>
  <c r="AC334" i="29"/>
  <c r="AC362" i="29"/>
  <c r="AC348" i="29"/>
  <c r="AB373" i="29"/>
  <c r="AB371" i="29"/>
  <c r="AB368" i="29"/>
  <c r="AB369" i="29"/>
  <c r="AB372" i="29"/>
  <c r="AB366" i="29"/>
  <c r="AB374" i="29"/>
  <c r="AB370" i="29"/>
  <c r="AB367" i="29"/>
  <c r="AB365" i="29"/>
  <c r="AC131" i="14"/>
  <c r="AD82" i="14" s="1"/>
  <c r="AD165" i="14"/>
  <c r="AC41" i="29"/>
  <c r="AC22" i="29"/>
  <c r="AC500" i="29" s="1"/>
  <c r="AC391" i="29"/>
  <c r="P87" i="14"/>
  <c r="P88" i="14" s="1"/>
  <c r="Q89" i="14" s="1"/>
  <c r="Q93" i="14"/>
  <c r="Q94" i="14" s="1"/>
  <c r="R95" i="14" s="1"/>
  <c r="R96" i="14" s="1"/>
  <c r="R97" i="14" s="1"/>
  <c r="S98" i="14" s="1"/>
  <c r="S99" i="14" s="1"/>
  <c r="M501" i="29"/>
  <c r="M507" i="29" s="1"/>
  <c r="M520" i="29" s="1"/>
  <c r="M522" i="29" s="1"/>
  <c r="N140" i="14"/>
  <c r="M141" i="14"/>
  <c r="M142" i="14" s="1"/>
  <c r="AI17" i="29"/>
  <c r="N105" i="14"/>
  <c r="N107" i="14" s="1"/>
  <c r="O106" i="14" s="1"/>
  <c r="O107" i="14" s="1"/>
  <c r="P106" i="14" s="1"/>
  <c r="N117" i="14"/>
  <c r="N111" i="14" s="1"/>
  <c r="Q97" i="14"/>
  <c r="R98" i="14" s="1"/>
  <c r="R99" i="14" s="1"/>
  <c r="R100" i="14" s="1"/>
  <c r="O548" i="29"/>
  <c r="O126" i="14"/>
  <c r="O138" i="14"/>
  <c r="O139" i="14" s="1"/>
  <c r="AK516" i="29"/>
  <c r="AH425" i="29" l="1"/>
  <c r="AK425" i="29" s="1"/>
  <c r="AK150" i="29"/>
  <c r="AH426" i="29"/>
  <c r="AK426" i="29" s="1"/>
  <c r="AH420" i="29"/>
  <c r="AK420" i="29" s="1"/>
  <c r="AG428" i="29"/>
  <c r="AG430" i="29" s="1"/>
  <c r="AH526" i="29"/>
  <c r="AK526" i="29" s="1"/>
  <c r="AH424" i="29"/>
  <c r="AK424" i="29" s="1"/>
  <c r="AH416" i="29"/>
  <c r="AK416" i="29" s="1"/>
  <c r="AH423" i="29"/>
  <c r="AK423" i="29" s="1"/>
  <c r="AH419" i="29"/>
  <c r="AK419" i="29" s="1"/>
  <c r="AI19" i="29"/>
  <c r="AI20" i="29"/>
  <c r="AI18" i="29"/>
  <c r="AI496" i="29" s="1"/>
  <c r="AH427" i="29"/>
  <c r="AK427" i="29" s="1"/>
  <c r="AH421" i="29"/>
  <c r="AK421" i="29" s="1"/>
  <c r="AH422" i="29"/>
  <c r="AK422" i="29" s="1"/>
  <c r="AH181" i="29"/>
  <c r="AH182" i="29" s="1"/>
  <c r="AK144" i="29"/>
  <c r="AH417" i="29"/>
  <c r="AK417" i="29" s="1"/>
  <c r="AH418" i="29"/>
  <c r="AK418" i="29" s="1"/>
  <c r="O522" i="29"/>
  <c r="N519" i="29"/>
  <c r="Z521" i="29"/>
  <c r="AA434" i="29"/>
  <c r="X448" i="29"/>
  <c r="AA435" i="29"/>
  <c r="AB259" i="29"/>
  <c r="AB260" i="29"/>
  <c r="AC214" i="29"/>
  <c r="AC215" i="29"/>
  <c r="AC364" i="29"/>
  <c r="AC363" i="29"/>
  <c r="AB231" i="29"/>
  <c r="AB232" i="29"/>
  <c r="AC187" i="29"/>
  <c r="AC186" i="29"/>
  <c r="AC350" i="29"/>
  <c r="AC349" i="29"/>
  <c r="AB246" i="29"/>
  <c r="AB245" i="29"/>
  <c r="AC201" i="29"/>
  <c r="AC200" i="29"/>
  <c r="AC336" i="29"/>
  <c r="AC335" i="29"/>
  <c r="AB304" i="29"/>
  <c r="AB305" i="29"/>
  <c r="AB319" i="29"/>
  <c r="AB318" i="29"/>
  <c r="AB291" i="29"/>
  <c r="AB290" i="29"/>
  <c r="AD432" i="29"/>
  <c r="AD185" i="29"/>
  <c r="AD199" i="29"/>
  <c r="AD213" i="29"/>
  <c r="AC223" i="29"/>
  <c r="AC217" i="29"/>
  <c r="AC224" i="29"/>
  <c r="AC216" i="29"/>
  <c r="AC222" i="29"/>
  <c r="AC221" i="29"/>
  <c r="AC225" i="29"/>
  <c r="AC220" i="29"/>
  <c r="AC219" i="29"/>
  <c r="AC218" i="29"/>
  <c r="AF32" i="29"/>
  <c r="AE183" i="29"/>
  <c r="AC195" i="29"/>
  <c r="AC196" i="29"/>
  <c r="AC197" i="29"/>
  <c r="AC191" i="29"/>
  <c r="AC192" i="29"/>
  <c r="AC189" i="29"/>
  <c r="AC188" i="29"/>
  <c r="AC190" i="29"/>
  <c r="AC194" i="29"/>
  <c r="AC193" i="29"/>
  <c r="AB226" i="29"/>
  <c r="AB227" i="29" s="1"/>
  <c r="AC210" i="29"/>
  <c r="AC211" i="29"/>
  <c r="AC205" i="29"/>
  <c r="AC204" i="29"/>
  <c r="AC203" i="29"/>
  <c r="AC207" i="29"/>
  <c r="AC206" i="29"/>
  <c r="AC202" i="29"/>
  <c r="AC208" i="29"/>
  <c r="AC209" i="29"/>
  <c r="Y448" i="29"/>
  <c r="AB433" i="29"/>
  <c r="AA462" i="29"/>
  <c r="AJ447" i="29"/>
  <c r="AJ517" i="29" s="1"/>
  <c r="Z461" i="29"/>
  <c r="Z463" i="29" s="1"/>
  <c r="Z527" i="29"/>
  <c r="Z537" i="29"/>
  <c r="Z529" i="29"/>
  <c r="Z532" i="29"/>
  <c r="Z546" i="29" s="1"/>
  <c r="AH429" i="29"/>
  <c r="AB375" i="29"/>
  <c r="AB376" i="29" s="1"/>
  <c r="N23" i="29"/>
  <c r="AK181" i="29"/>
  <c r="AK182" i="29" s="1"/>
  <c r="AA271" i="29"/>
  <c r="AA272" i="29" s="1"/>
  <c r="AA330" i="29"/>
  <c r="AA331" i="29" s="1"/>
  <c r="AA286" i="29"/>
  <c r="Z285" i="29"/>
  <c r="Z446" i="29" s="1"/>
  <c r="AB495" i="29"/>
  <c r="AD490" i="29"/>
  <c r="AA275" i="29"/>
  <c r="AA451" i="29" s="1"/>
  <c r="AA280" i="29"/>
  <c r="AA456" i="29" s="1"/>
  <c r="AB277" i="29"/>
  <c r="AB453" i="29" s="1"/>
  <c r="AB278" i="29"/>
  <c r="AB454" i="29" s="1"/>
  <c r="AB276" i="29"/>
  <c r="AB452" i="29" s="1"/>
  <c r="AB281" i="29"/>
  <c r="AB457" i="29" s="1"/>
  <c r="AB282" i="29"/>
  <c r="AB458" i="29" s="1"/>
  <c r="AB283" i="29"/>
  <c r="AB459" i="29" s="1"/>
  <c r="AC279" i="29"/>
  <c r="AC455" i="29" s="1"/>
  <c r="AC274" i="29"/>
  <c r="AC450" i="29" s="1"/>
  <c r="AC284" i="29"/>
  <c r="AC460" i="29" s="1"/>
  <c r="AC258" i="29"/>
  <c r="AC230" i="29"/>
  <c r="AC244" i="29"/>
  <c r="AE33" i="29"/>
  <c r="AD228" i="29"/>
  <c r="AD85" i="14"/>
  <c r="AE86" i="14" s="1"/>
  <c r="AD84" i="14"/>
  <c r="AB270" i="29"/>
  <c r="AB269" i="29"/>
  <c r="AB268" i="29"/>
  <c r="AB267" i="29"/>
  <c r="AB263" i="29"/>
  <c r="AB265" i="29"/>
  <c r="AB264" i="29"/>
  <c r="AB262" i="29"/>
  <c r="AB261" i="29"/>
  <c r="AB266" i="29"/>
  <c r="AB234" i="29"/>
  <c r="AB239" i="29"/>
  <c r="AB240" i="29"/>
  <c r="AB242" i="29"/>
  <c r="AB233" i="29"/>
  <c r="AB236" i="29"/>
  <c r="AB238" i="29"/>
  <c r="AB237" i="29"/>
  <c r="AB235" i="29"/>
  <c r="AB241" i="29"/>
  <c r="AB249" i="29"/>
  <c r="AB256" i="29"/>
  <c r="AB254" i="29"/>
  <c r="AB252" i="29"/>
  <c r="AB248" i="29"/>
  <c r="AB247" i="29"/>
  <c r="AB253" i="29"/>
  <c r="AB255" i="29"/>
  <c r="AB250" i="29"/>
  <c r="AB251" i="29"/>
  <c r="M261" i="14"/>
  <c r="N543" i="29" s="1"/>
  <c r="N544" i="29" s="1"/>
  <c r="AG514" i="29"/>
  <c r="AG486" i="29"/>
  <c r="AG484" i="29" s="1"/>
  <c r="AH113" i="14"/>
  <c r="AH205" i="14"/>
  <c r="AG237" i="14" s="1"/>
  <c r="AI237" i="14" s="1"/>
  <c r="AH12" i="29"/>
  <c r="AH42" i="14"/>
  <c r="AH72" i="14" s="1"/>
  <c r="AH81" i="14" s="1"/>
  <c r="AI22" i="14"/>
  <c r="AI42" i="14" s="1"/>
  <c r="AJ547" i="29"/>
  <c r="X561" i="29"/>
  <c r="AA494" i="29"/>
  <c r="AA492" i="29"/>
  <c r="AA493" i="29"/>
  <c r="AE35" i="29"/>
  <c r="AD491" i="29"/>
  <c r="AD273" i="29"/>
  <c r="AD449" i="29" s="1"/>
  <c r="AA441" i="29"/>
  <c r="AA442" i="29"/>
  <c r="AA535" i="29" s="1"/>
  <c r="Z530" i="29"/>
  <c r="AA436" i="29"/>
  <c r="AA443" i="29"/>
  <c r="AA536" i="29" s="1"/>
  <c r="AA444" i="29"/>
  <c r="AA537" i="29" s="1"/>
  <c r="AA437" i="29"/>
  <c r="AA440" i="29"/>
  <c r="AA445" i="29"/>
  <c r="AA538" i="29" s="1"/>
  <c r="AA438" i="29"/>
  <c r="AA529" i="29" s="1"/>
  <c r="AJ546" i="29"/>
  <c r="X560" i="29"/>
  <c r="AA439" i="29"/>
  <c r="AB311" i="29"/>
  <c r="AB315" i="29"/>
  <c r="AB307" i="29"/>
  <c r="AB308" i="29"/>
  <c r="AB312" i="29"/>
  <c r="AB310" i="29"/>
  <c r="AB309" i="29"/>
  <c r="AB306" i="29"/>
  <c r="AB313" i="29"/>
  <c r="AB314" i="29"/>
  <c r="AC289" i="29"/>
  <c r="AC303" i="29"/>
  <c r="AC317" i="29"/>
  <c r="AB322" i="29"/>
  <c r="AB324" i="29"/>
  <c r="AB323" i="29"/>
  <c r="AB326" i="29"/>
  <c r="AB328" i="29"/>
  <c r="AB325" i="29"/>
  <c r="AB327" i="29"/>
  <c r="AB329" i="29"/>
  <c r="AB321" i="29"/>
  <c r="AB320" i="29"/>
  <c r="AE36" i="29"/>
  <c r="AD287" i="29"/>
  <c r="AB299" i="29"/>
  <c r="AB295" i="29"/>
  <c r="AB296" i="29"/>
  <c r="AB300" i="29"/>
  <c r="AB292" i="29"/>
  <c r="AB301" i="29"/>
  <c r="AB298" i="29"/>
  <c r="AB294" i="29"/>
  <c r="AB297" i="29"/>
  <c r="AB293" i="29"/>
  <c r="AC355" i="29"/>
  <c r="AC351" i="29"/>
  <c r="AC357" i="29"/>
  <c r="AC352" i="29"/>
  <c r="AC358" i="29"/>
  <c r="AC354" i="29"/>
  <c r="AC356" i="29"/>
  <c r="AC360" i="29"/>
  <c r="AC359" i="29"/>
  <c r="AC353" i="29"/>
  <c r="AF37" i="29"/>
  <c r="AE332" i="29"/>
  <c r="AC368" i="29"/>
  <c r="AC372" i="29"/>
  <c r="AC373" i="29"/>
  <c r="AC366" i="29"/>
  <c r="AC365" i="29"/>
  <c r="AC367" i="29"/>
  <c r="AC369" i="29"/>
  <c r="AC374" i="29"/>
  <c r="AC371" i="29"/>
  <c r="AC370" i="29"/>
  <c r="AD348" i="29"/>
  <c r="AD334" i="29"/>
  <c r="AD362" i="29"/>
  <c r="AC345" i="29"/>
  <c r="AC343" i="29"/>
  <c r="AC337" i="29"/>
  <c r="AC344" i="29"/>
  <c r="AC339" i="29"/>
  <c r="AC346" i="29"/>
  <c r="AC341" i="29"/>
  <c r="AC338" i="29"/>
  <c r="AC342" i="29"/>
  <c r="AC340" i="29"/>
  <c r="P102" i="14"/>
  <c r="P104" i="14" s="1"/>
  <c r="AD131" i="14"/>
  <c r="AE82" i="14" s="1"/>
  <c r="AE165" i="14"/>
  <c r="AD41" i="29"/>
  <c r="AD391" i="29"/>
  <c r="AD22" i="29"/>
  <c r="AD500" i="29" s="1"/>
  <c r="N138" i="14"/>
  <c r="N139" i="14" s="1"/>
  <c r="O141" i="14" s="1"/>
  <c r="O142" i="14" s="1"/>
  <c r="N126" i="14"/>
  <c r="N128" i="14" s="1"/>
  <c r="O127" i="14" s="1"/>
  <c r="O128" i="14" s="1"/>
  <c r="P127" i="14" s="1"/>
  <c r="M552" i="29"/>
  <c r="M528" i="29"/>
  <c r="N497" i="29"/>
  <c r="N533" i="29" s="1"/>
  <c r="N498" i="29"/>
  <c r="N534" i="29" s="1"/>
  <c r="Q90" i="14"/>
  <c r="Q87" i="14" s="1"/>
  <c r="O528" i="29"/>
  <c r="O552" i="29"/>
  <c r="S100" i="14"/>
  <c r="AH428" i="29" l="1"/>
  <c r="AH430" i="29" s="1"/>
  <c r="AI519" i="29"/>
  <c r="N488" i="29"/>
  <c r="AB434" i="29"/>
  <c r="AA521" i="29"/>
  <c r="AB435" i="29"/>
  <c r="AD186" i="29"/>
  <c r="AD187" i="29"/>
  <c r="AD364" i="29"/>
  <c r="AD363" i="29"/>
  <c r="AC305" i="29"/>
  <c r="AC304" i="29"/>
  <c r="AD336" i="29"/>
  <c r="AD335" i="29"/>
  <c r="AC291" i="29"/>
  <c r="AC290" i="29"/>
  <c r="AD350" i="29"/>
  <c r="AD349" i="29"/>
  <c r="AC245" i="29"/>
  <c r="AC246" i="29"/>
  <c r="AC231" i="29"/>
  <c r="AC232" i="29"/>
  <c r="AC259" i="29"/>
  <c r="AC260" i="29"/>
  <c r="AD214" i="29"/>
  <c r="AD215" i="29"/>
  <c r="AC319" i="29"/>
  <c r="AC318" i="29"/>
  <c r="AD200" i="29"/>
  <c r="AD201" i="29"/>
  <c r="AE432" i="29"/>
  <c r="AD216" i="29"/>
  <c r="AD221" i="29"/>
  <c r="AD223" i="29"/>
  <c r="AD224" i="29"/>
  <c r="AD219" i="29"/>
  <c r="AD225" i="29"/>
  <c r="AD222" i="29"/>
  <c r="AD220" i="29"/>
  <c r="AD217" i="29"/>
  <c r="AD218" i="29"/>
  <c r="AD208" i="29"/>
  <c r="AD211" i="29"/>
  <c r="AD205" i="29"/>
  <c r="AD202" i="29"/>
  <c r="AD203" i="29"/>
  <c r="AD210" i="29"/>
  <c r="AD209" i="29"/>
  <c r="AD204" i="29"/>
  <c r="AD207" i="29"/>
  <c r="AD206" i="29"/>
  <c r="AC226" i="29"/>
  <c r="AC227" i="29" s="1"/>
  <c r="AE199" i="29"/>
  <c r="AE185" i="29"/>
  <c r="AE213" i="29"/>
  <c r="AD193" i="29"/>
  <c r="AD194" i="29"/>
  <c r="AD196" i="29"/>
  <c r="AD191" i="29"/>
  <c r="AD197" i="29"/>
  <c r="AD195" i="29"/>
  <c r="AD188" i="29"/>
  <c r="AD189" i="29"/>
  <c r="AD192" i="29"/>
  <c r="AD190" i="29"/>
  <c r="AG32" i="29"/>
  <c r="AF183" i="29"/>
  <c r="AJ448" i="29"/>
  <c r="AC433" i="29"/>
  <c r="AB462" i="29"/>
  <c r="AA461" i="29"/>
  <c r="AA463" i="29" s="1"/>
  <c r="AA527" i="29"/>
  <c r="AA547" i="29" s="1"/>
  <c r="AK429" i="29"/>
  <c r="Z547" i="29"/>
  <c r="Z447" i="29"/>
  <c r="Z517" i="29" s="1"/>
  <c r="AA530" i="29"/>
  <c r="AA532" i="29"/>
  <c r="AA546" i="29" s="1"/>
  <c r="AA447" i="29"/>
  <c r="AA517" i="29" s="1"/>
  <c r="AB286" i="29"/>
  <c r="AC375" i="29"/>
  <c r="AC376" i="29" s="1"/>
  <c r="AI23" i="29"/>
  <c r="AB271" i="29"/>
  <c r="AB272" i="29" s="1"/>
  <c r="AB330" i="29"/>
  <c r="AB331" i="29" s="1"/>
  <c r="AC495" i="29"/>
  <c r="AA285" i="29"/>
  <c r="AA446" i="29" s="1"/>
  <c r="AE490" i="29"/>
  <c r="AC281" i="29"/>
  <c r="AC457" i="29" s="1"/>
  <c r="AC283" i="29"/>
  <c r="AC459" i="29" s="1"/>
  <c r="AC282" i="29"/>
  <c r="AC458" i="29" s="1"/>
  <c r="AB275" i="29"/>
  <c r="AB451" i="29" s="1"/>
  <c r="AD279" i="29"/>
  <c r="AD455" i="29" s="1"/>
  <c r="AD274" i="29"/>
  <c r="AD450" i="29" s="1"/>
  <c r="AD284" i="29"/>
  <c r="AD460" i="29" s="1"/>
  <c r="AB280" i="29"/>
  <c r="AB456" i="29" s="1"/>
  <c r="AC277" i="29"/>
  <c r="AC453" i="29" s="1"/>
  <c r="AC278" i="29"/>
  <c r="AC454" i="29" s="1"/>
  <c r="AC276" i="29"/>
  <c r="AC452" i="29" s="1"/>
  <c r="AC263" i="29"/>
  <c r="AC267" i="29"/>
  <c r="AC268" i="29"/>
  <c r="AC265" i="29"/>
  <c r="AC262" i="29"/>
  <c r="AC261" i="29"/>
  <c r="AC270" i="29"/>
  <c r="AC266" i="29"/>
  <c r="AC264" i="29"/>
  <c r="AC269" i="29"/>
  <c r="AD258" i="29"/>
  <c r="AD230" i="29"/>
  <c r="AD244" i="29"/>
  <c r="AF33" i="29"/>
  <c r="AE228" i="29"/>
  <c r="AC251" i="29"/>
  <c r="AC250" i="29"/>
  <c r="AC255" i="29"/>
  <c r="AC253" i="29"/>
  <c r="AC249" i="29"/>
  <c r="AC254" i="29"/>
  <c r="AC252" i="29"/>
  <c r="AC248" i="29"/>
  <c r="AC256" i="29"/>
  <c r="AC247" i="29"/>
  <c r="AC236" i="29"/>
  <c r="AC237" i="29"/>
  <c r="AC235" i="29"/>
  <c r="AC242" i="29"/>
  <c r="AC233" i="29"/>
  <c r="AC240" i="29"/>
  <c r="AC239" i="29"/>
  <c r="AC241" i="29"/>
  <c r="AC234" i="29"/>
  <c r="AC238" i="29"/>
  <c r="AE85" i="14"/>
  <c r="AF86" i="14" s="1"/>
  <c r="AE84" i="14"/>
  <c r="AI81" i="14"/>
  <c r="M262" i="14"/>
  <c r="N262" i="14" s="1"/>
  <c r="AH514" i="29"/>
  <c r="AH486" i="29"/>
  <c r="AH484" i="29" s="1"/>
  <c r="AK12" i="29"/>
  <c r="AB442" i="29"/>
  <c r="AB494" i="29"/>
  <c r="AB436" i="29"/>
  <c r="AB441" i="29"/>
  <c r="AB439" i="29"/>
  <c r="AB492" i="29"/>
  <c r="AB493" i="29"/>
  <c r="AB437" i="29"/>
  <c r="AE273" i="29"/>
  <c r="AE449" i="29" s="1"/>
  <c r="AE491" i="29"/>
  <c r="AF35" i="29"/>
  <c r="AJ561" i="29"/>
  <c r="Y561" i="29"/>
  <c r="AB444" i="29"/>
  <c r="AB438" i="29"/>
  <c r="AB529" i="29" s="1"/>
  <c r="AB443" i="29"/>
  <c r="AB440" i="29"/>
  <c r="AB445" i="29"/>
  <c r="AJ560" i="29"/>
  <c r="Y560" i="29"/>
  <c r="Z560" i="29" s="1"/>
  <c r="AE287" i="29"/>
  <c r="AF36" i="29"/>
  <c r="AC321" i="29"/>
  <c r="AC328" i="29"/>
  <c r="AC323" i="29"/>
  <c r="AC324" i="29"/>
  <c r="AC326" i="29"/>
  <c r="AC325" i="29"/>
  <c r="AC329" i="29"/>
  <c r="AC327" i="29"/>
  <c r="AC320" i="29"/>
  <c r="AC322" i="29"/>
  <c r="AC310" i="29"/>
  <c r="AC306" i="29"/>
  <c r="AC312" i="29"/>
  <c r="AC313" i="29"/>
  <c r="AC315" i="29"/>
  <c r="AC314" i="29"/>
  <c r="AC307" i="29"/>
  <c r="AC309" i="29"/>
  <c r="AC308" i="29"/>
  <c r="AC311" i="29"/>
  <c r="AD303" i="29"/>
  <c r="AD289" i="29"/>
  <c r="AD317" i="29"/>
  <c r="AC298" i="29"/>
  <c r="AC297" i="29"/>
  <c r="AC296" i="29"/>
  <c r="AC299" i="29"/>
  <c r="AC294" i="29"/>
  <c r="AC301" i="29"/>
  <c r="AC292" i="29"/>
  <c r="AC300" i="29"/>
  <c r="AC295" i="29"/>
  <c r="AC293" i="29"/>
  <c r="P103" i="14"/>
  <c r="Q101" i="14" s="1"/>
  <c r="AD372" i="29"/>
  <c r="AD370" i="29"/>
  <c r="AD369" i="29"/>
  <c r="AD368" i="29"/>
  <c r="AD371" i="29"/>
  <c r="AD374" i="29"/>
  <c r="AD373" i="29"/>
  <c r="AD366" i="29"/>
  <c r="AD365" i="29"/>
  <c r="AD367" i="29"/>
  <c r="AE334" i="29"/>
  <c r="AE348" i="29"/>
  <c r="AE362" i="29"/>
  <c r="AD340" i="29"/>
  <c r="AD343" i="29"/>
  <c r="AD345" i="29"/>
  <c r="AD342" i="29"/>
  <c r="AD346" i="29"/>
  <c r="AD338" i="29"/>
  <c r="AD337" i="29"/>
  <c r="AD341" i="29"/>
  <c r="AD344" i="29"/>
  <c r="AD339" i="29"/>
  <c r="AG37" i="29"/>
  <c r="AF332" i="29"/>
  <c r="AD356" i="29"/>
  <c r="AD360" i="29"/>
  <c r="AD353" i="29"/>
  <c r="AD359" i="29"/>
  <c r="AD351" i="29"/>
  <c r="AD354" i="29"/>
  <c r="AD358" i="29"/>
  <c r="AD355" i="29"/>
  <c r="AD352" i="29"/>
  <c r="AD357" i="29"/>
  <c r="AF165" i="14"/>
  <c r="AE131" i="14"/>
  <c r="AF82" i="14" s="1"/>
  <c r="AE41" i="29"/>
  <c r="AE391" i="29"/>
  <c r="AE22" i="29"/>
  <c r="AE500" i="29" s="1"/>
  <c r="P140" i="14"/>
  <c r="AI533" i="29"/>
  <c r="C210" i="52" s="1"/>
  <c r="AI497" i="29"/>
  <c r="M558" i="29"/>
  <c r="M566" i="29" s="1"/>
  <c r="M540" i="29"/>
  <c r="AI498" i="29"/>
  <c r="AI534" i="29" s="1"/>
  <c r="O140" i="14"/>
  <c r="N141" i="14"/>
  <c r="N142" i="14" s="1"/>
  <c r="P83" i="14"/>
  <c r="P228" i="14" s="1"/>
  <c r="P17" i="29"/>
  <c r="Q91" i="14"/>
  <c r="R92" i="14" s="1"/>
  <c r="Q102" i="14"/>
  <c r="Q104" i="14" s="1"/>
  <c r="Q88" i="14"/>
  <c r="R89" i="14" s="1"/>
  <c r="O540" i="29"/>
  <c r="AK428" i="29" l="1"/>
  <c r="P20" i="29"/>
  <c r="P498" i="29" s="1"/>
  <c r="P534" i="29" s="1"/>
  <c r="P19" i="29"/>
  <c r="P497" i="29" s="1"/>
  <c r="P533" i="29" s="1"/>
  <c r="P18" i="29"/>
  <c r="P496" i="29" s="1"/>
  <c r="AI488" i="29"/>
  <c r="AB521" i="29"/>
  <c r="AC434" i="29"/>
  <c r="AC435" i="29"/>
  <c r="AD232" i="29"/>
  <c r="AD231" i="29"/>
  <c r="AE215" i="29"/>
  <c r="AE214" i="29"/>
  <c r="AE336" i="29"/>
  <c r="AE335" i="29"/>
  <c r="AD305" i="29"/>
  <c r="AD304" i="29"/>
  <c r="AD246" i="29"/>
  <c r="AD245" i="29"/>
  <c r="AE186" i="29"/>
  <c r="AE187" i="29"/>
  <c r="AD260" i="29"/>
  <c r="AD259" i="29"/>
  <c r="AE201" i="29"/>
  <c r="AE200" i="29"/>
  <c r="AE364" i="29"/>
  <c r="AE363" i="29"/>
  <c r="AD319" i="29"/>
  <c r="AD318" i="29"/>
  <c r="AE349" i="29"/>
  <c r="AE350" i="29"/>
  <c r="AD291" i="29"/>
  <c r="AD290" i="29"/>
  <c r="AF432" i="29"/>
  <c r="AK430" i="29"/>
  <c r="AF185" i="29"/>
  <c r="AF199" i="29"/>
  <c r="AF213" i="29"/>
  <c r="AE203" i="29"/>
  <c r="AE208" i="29"/>
  <c r="AE204" i="29"/>
  <c r="AE209" i="29"/>
  <c r="AE206" i="29"/>
  <c r="AE207" i="29"/>
  <c r="AE210" i="29"/>
  <c r="AE211" i="29"/>
  <c r="AE205" i="29"/>
  <c r="AE202" i="29"/>
  <c r="AH32" i="29"/>
  <c r="AK32" i="29" s="1"/>
  <c r="AG183" i="29"/>
  <c r="AD226" i="29"/>
  <c r="AD227" i="29" s="1"/>
  <c r="AE222" i="29"/>
  <c r="AE219" i="29"/>
  <c r="AE218" i="29"/>
  <c r="AE216" i="29"/>
  <c r="AE223" i="29"/>
  <c r="AE220" i="29"/>
  <c r="AE221" i="29"/>
  <c r="AE224" i="29"/>
  <c r="AE217" i="29"/>
  <c r="AE225" i="29"/>
  <c r="AE194" i="29"/>
  <c r="AE188" i="29"/>
  <c r="AE190" i="29"/>
  <c r="AE192" i="29"/>
  <c r="AE189" i="29"/>
  <c r="AE195" i="29"/>
  <c r="AE197" i="29"/>
  <c r="AE196" i="29"/>
  <c r="AE191" i="29"/>
  <c r="AE193" i="29"/>
  <c r="Z448" i="29"/>
  <c r="AA448" i="29"/>
  <c r="AD433" i="29"/>
  <c r="Z561" i="29"/>
  <c r="AA561" i="29" s="1"/>
  <c r="AC462" i="29"/>
  <c r="AB527" i="29"/>
  <c r="AB547" i="29" s="1"/>
  <c r="AB461" i="29"/>
  <c r="AB463" i="29" s="1"/>
  <c r="AB535" i="29"/>
  <c r="AB537" i="29"/>
  <c r="AB538" i="29"/>
  <c r="AB536" i="29"/>
  <c r="AD375" i="29"/>
  <c r="AD376" i="29" s="1"/>
  <c r="AB532" i="29"/>
  <c r="AB546" i="29" s="1"/>
  <c r="AC330" i="29"/>
  <c r="AC331" i="29" s="1"/>
  <c r="AC271" i="29"/>
  <c r="AC272" i="29" s="1"/>
  <c r="AC286" i="29"/>
  <c r="AB285" i="29"/>
  <c r="AB446" i="29" s="1"/>
  <c r="AD495" i="29"/>
  <c r="AK514" i="29"/>
  <c r="AF490" i="29"/>
  <c r="AC280" i="29"/>
  <c r="AC456" i="29" s="1"/>
  <c r="AD282" i="29"/>
  <c r="AD458" i="29" s="1"/>
  <c r="AD281" i="29"/>
  <c r="AD457" i="29" s="1"/>
  <c r="AD283" i="29"/>
  <c r="AD459" i="29" s="1"/>
  <c r="AE274" i="29"/>
  <c r="AE450" i="29" s="1"/>
  <c r="AE284" i="29"/>
  <c r="AE460" i="29" s="1"/>
  <c r="AE279" i="29"/>
  <c r="AE455" i="29" s="1"/>
  <c r="AC275" i="29"/>
  <c r="AC451" i="29" s="1"/>
  <c r="AD276" i="29"/>
  <c r="AD452" i="29" s="1"/>
  <c r="AD278" i="29"/>
  <c r="AD454" i="29" s="1"/>
  <c r="AD277" i="29"/>
  <c r="AD453" i="29" s="1"/>
  <c r="AD247" i="29"/>
  <c r="AD251" i="29"/>
  <c r="AD253" i="29"/>
  <c r="AD248" i="29"/>
  <c r="AD249" i="29"/>
  <c r="AD255" i="29"/>
  <c r="AD250" i="29"/>
  <c r="AD256" i="29"/>
  <c r="AD252" i="29"/>
  <c r="AD254" i="29"/>
  <c r="AD263" i="29"/>
  <c r="AD265" i="29"/>
  <c r="AD267" i="29"/>
  <c r="AD266" i="29"/>
  <c r="AD264" i="29"/>
  <c r="AD262" i="29"/>
  <c r="AD261" i="29"/>
  <c r="AD270" i="29"/>
  <c r="AD269" i="29"/>
  <c r="AD268" i="29"/>
  <c r="AD238" i="29"/>
  <c r="AD240" i="29"/>
  <c r="AD242" i="29"/>
  <c r="AD234" i="29"/>
  <c r="AD237" i="29"/>
  <c r="AD239" i="29"/>
  <c r="AD241" i="29"/>
  <c r="AD236" i="29"/>
  <c r="AD235" i="29"/>
  <c r="AD233" i="29"/>
  <c r="AE230" i="29"/>
  <c r="AE258" i="29"/>
  <c r="AE244" i="29"/>
  <c r="AF84" i="14"/>
  <c r="AF85" i="14"/>
  <c r="AG86" i="14" s="1"/>
  <c r="AG33" i="29"/>
  <c r="AF228" i="29"/>
  <c r="O257" i="14"/>
  <c r="AC492" i="29"/>
  <c r="AK484" i="29"/>
  <c r="AK486" i="29"/>
  <c r="AC445" i="29"/>
  <c r="AC538" i="29" s="1"/>
  <c r="AC442" i="29"/>
  <c r="AC535" i="29" s="1"/>
  <c r="AB530" i="29"/>
  <c r="AC494" i="29"/>
  <c r="AC493" i="29"/>
  <c r="AG35" i="29"/>
  <c r="AF273" i="29"/>
  <c r="AF449" i="29" s="1"/>
  <c r="AF491" i="29"/>
  <c r="AC444" i="29"/>
  <c r="AC537" i="29" s="1"/>
  <c r="AC441" i="29"/>
  <c r="AC439" i="29"/>
  <c r="AC440" i="29"/>
  <c r="AC437" i="29"/>
  <c r="AC436" i="29"/>
  <c r="AC443" i="29"/>
  <c r="AC536" i="29" s="1"/>
  <c r="AC438" i="29"/>
  <c r="AC529" i="29" s="1"/>
  <c r="AA560" i="29"/>
  <c r="AD329" i="29"/>
  <c r="AD326" i="29"/>
  <c r="AD323" i="29"/>
  <c r="AD328" i="29"/>
  <c r="AD325" i="29"/>
  <c r="AD321" i="29"/>
  <c r="AD320" i="29"/>
  <c r="AD324" i="29"/>
  <c r="AD322" i="29"/>
  <c r="AD327" i="29"/>
  <c r="AD293" i="29"/>
  <c r="AD301" i="29"/>
  <c r="AD292" i="29"/>
  <c r="AD298" i="29"/>
  <c r="AD299" i="29"/>
  <c r="AD297" i="29"/>
  <c r="AD294" i="29"/>
  <c r="AD296" i="29"/>
  <c r="AD295" i="29"/>
  <c r="AD300" i="29"/>
  <c r="AD307" i="29"/>
  <c r="AD311" i="29"/>
  <c r="AD313" i="29"/>
  <c r="AD308" i="29"/>
  <c r="AD312" i="29"/>
  <c r="AD310" i="29"/>
  <c r="AD314" i="29"/>
  <c r="AD306" i="29"/>
  <c r="AD309" i="29"/>
  <c r="AD315" i="29"/>
  <c r="AG36" i="29"/>
  <c r="AF287" i="29"/>
  <c r="AE317" i="29"/>
  <c r="AE303" i="29"/>
  <c r="AE289" i="29"/>
  <c r="AF362" i="29"/>
  <c r="AF348" i="29"/>
  <c r="AF334" i="29"/>
  <c r="AE368" i="29"/>
  <c r="AE373" i="29"/>
  <c r="AE367" i="29"/>
  <c r="AE374" i="29"/>
  <c r="AE371" i="29"/>
  <c r="AE372" i="29"/>
  <c r="AE369" i="29"/>
  <c r="AE370" i="29"/>
  <c r="AE365" i="29"/>
  <c r="AE366" i="29"/>
  <c r="AH37" i="29"/>
  <c r="AG332" i="29"/>
  <c r="AE357" i="29"/>
  <c r="AE352" i="29"/>
  <c r="AE359" i="29"/>
  <c r="AE358" i="29"/>
  <c r="AE354" i="29"/>
  <c r="AE360" i="29"/>
  <c r="AE355" i="29"/>
  <c r="AE351" i="29"/>
  <c r="AE356" i="29"/>
  <c r="AE353" i="29"/>
  <c r="AE345" i="29"/>
  <c r="AE346" i="29"/>
  <c r="AE344" i="29"/>
  <c r="AE343" i="29"/>
  <c r="AE337" i="29"/>
  <c r="AE340" i="29"/>
  <c r="AE342" i="29"/>
  <c r="AE338" i="29"/>
  <c r="AE339" i="29"/>
  <c r="AE341" i="29"/>
  <c r="AF391" i="29"/>
  <c r="AF22" i="29"/>
  <c r="AF500" i="29" s="1"/>
  <c r="AF41" i="29"/>
  <c r="AF131" i="14"/>
  <c r="AG82" i="14" s="1"/>
  <c r="AG165" i="14"/>
  <c r="M553" i="29"/>
  <c r="M555" i="29" s="1"/>
  <c r="N548" i="29"/>
  <c r="C211" i="52"/>
  <c r="C212" i="52" s="1"/>
  <c r="N501" i="29"/>
  <c r="Q83" i="14"/>
  <c r="Q228" i="14" s="1"/>
  <c r="P257" i="14" s="1"/>
  <c r="P261" i="14" s="1"/>
  <c r="Q543" i="29" s="1"/>
  <c r="Q544" i="29" s="1"/>
  <c r="Q17" i="29"/>
  <c r="R93" i="14"/>
  <c r="R94" i="14" s="1"/>
  <c r="S95" i="14" s="1"/>
  <c r="P117" i="14"/>
  <c r="P111" i="14" s="1"/>
  <c r="P105" i="14"/>
  <c r="P107" i="14" s="1"/>
  <c r="Q106" i="14" s="1"/>
  <c r="Q103" i="14"/>
  <c r="R101" i="14" s="1"/>
  <c r="Q20" i="29" l="1"/>
  <c r="Q498" i="29" s="1"/>
  <c r="Q534" i="29" s="1"/>
  <c r="Q19" i="29"/>
  <c r="Q497" i="29" s="1"/>
  <c r="Q533" i="29" s="1"/>
  <c r="Q18" i="29"/>
  <c r="Q496" i="29" s="1"/>
  <c r="P519" i="29"/>
  <c r="P488" i="29"/>
  <c r="P501" i="29" s="1"/>
  <c r="P507" i="29" s="1"/>
  <c r="P520" i="29" s="1"/>
  <c r="AC521" i="29"/>
  <c r="AD435" i="29"/>
  <c r="AD434" i="29"/>
  <c r="AF200" i="29"/>
  <c r="AF201" i="29"/>
  <c r="AF187" i="29"/>
  <c r="AF186" i="29"/>
  <c r="AF349" i="29"/>
  <c r="AF350" i="29"/>
  <c r="AE231" i="29"/>
  <c r="AE232" i="29"/>
  <c r="AE246" i="29"/>
  <c r="AE245" i="29"/>
  <c r="AF336" i="29"/>
  <c r="AF335" i="29"/>
  <c r="AE259" i="29"/>
  <c r="AE260" i="29"/>
  <c r="AF364" i="29"/>
  <c r="AF363" i="29"/>
  <c r="AE291" i="29"/>
  <c r="AE290" i="29"/>
  <c r="AE305" i="29"/>
  <c r="AE304" i="29"/>
  <c r="AE318" i="29"/>
  <c r="AE319" i="29"/>
  <c r="AF214" i="29"/>
  <c r="AF215" i="29"/>
  <c r="AG432" i="29"/>
  <c r="AF189" i="29"/>
  <c r="AF195" i="29"/>
  <c r="AF193" i="29"/>
  <c r="AF194" i="29"/>
  <c r="AF192" i="29"/>
  <c r="AF196" i="29"/>
  <c r="AF197" i="29"/>
  <c r="AF188" i="29"/>
  <c r="AF191" i="29"/>
  <c r="AF190" i="29"/>
  <c r="AH183" i="29"/>
  <c r="AF216" i="29"/>
  <c r="AF221" i="29"/>
  <c r="AF219" i="29"/>
  <c r="AF218" i="29"/>
  <c r="AF222" i="29"/>
  <c r="AF220" i="29"/>
  <c r="AF225" i="29"/>
  <c r="AF224" i="29"/>
  <c r="AF223" i="29"/>
  <c r="AF217" i="29"/>
  <c r="AF204" i="29"/>
  <c r="AF208" i="29"/>
  <c r="AF209" i="29"/>
  <c r="AF207" i="29"/>
  <c r="AF203" i="29"/>
  <c r="AF211" i="29"/>
  <c r="AF210" i="29"/>
  <c r="AF206" i="29"/>
  <c r="AF205" i="29"/>
  <c r="AF202" i="29"/>
  <c r="AE226" i="29"/>
  <c r="AE227" i="29" s="1"/>
  <c r="AG199" i="29"/>
  <c r="AG185" i="29"/>
  <c r="AG213" i="29"/>
  <c r="AE433" i="29"/>
  <c r="AD462" i="29"/>
  <c r="AC461" i="29"/>
  <c r="AC463" i="29" s="1"/>
  <c r="AC527" i="29"/>
  <c r="AC547" i="29" s="1"/>
  <c r="AB447" i="29"/>
  <c r="AB517" i="29" s="1"/>
  <c r="AC532" i="29"/>
  <c r="AC546" i="29" s="1"/>
  <c r="AB560" i="29"/>
  <c r="AE375" i="29"/>
  <c r="AE376" i="29" s="1"/>
  <c r="P23" i="29"/>
  <c r="AD330" i="29"/>
  <c r="AD331" i="29" s="1"/>
  <c r="AD271" i="29"/>
  <c r="AD272" i="29" s="1"/>
  <c r="AD286" i="29"/>
  <c r="AC285" i="29"/>
  <c r="AC446" i="29" s="1"/>
  <c r="AE495" i="29"/>
  <c r="AG490" i="29"/>
  <c r="AE283" i="29"/>
  <c r="AE459" i="29" s="1"/>
  <c r="AE282" i="29"/>
  <c r="AE458" i="29" s="1"/>
  <c r="AE281" i="29"/>
  <c r="AE457" i="29" s="1"/>
  <c r="AF274" i="29"/>
  <c r="AF450" i="29" s="1"/>
  <c r="AF284" i="29"/>
  <c r="AF460" i="29" s="1"/>
  <c r="AF279" i="29"/>
  <c r="AF455" i="29" s="1"/>
  <c r="AD275" i="29"/>
  <c r="AD451" i="29" s="1"/>
  <c r="AE276" i="29"/>
  <c r="AE452" i="29" s="1"/>
  <c r="AE277" i="29"/>
  <c r="AE453" i="29" s="1"/>
  <c r="AE278" i="29"/>
  <c r="AE454" i="29" s="1"/>
  <c r="AD280" i="29"/>
  <c r="AD456" i="29" s="1"/>
  <c r="AF244" i="29"/>
  <c r="AF258" i="29"/>
  <c r="AF230" i="29"/>
  <c r="AH33" i="29"/>
  <c r="AG228" i="29"/>
  <c r="AG85" i="14"/>
  <c r="AH86" i="14" s="1"/>
  <c r="AG84" i="14"/>
  <c r="AE252" i="29"/>
  <c r="AE247" i="29"/>
  <c r="AE251" i="29"/>
  <c r="AE249" i="29"/>
  <c r="AE255" i="29"/>
  <c r="AE253" i="29"/>
  <c r="AE250" i="29"/>
  <c r="AE256" i="29"/>
  <c r="AE248" i="29"/>
  <c r="AE254" i="29"/>
  <c r="AE267" i="29"/>
  <c r="AE265" i="29"/>
  <c r="AE262" i="29"/>
  <c r="AE270" i="29"/>
  <c r="AE269" i="29"/>
  <c r="AE264" i="29"/>
  <c r="AE261" i="29"/>
  <c r="AE268" i="29"/>
  <c r="AE263" i="29"/>
  <c r="AE266" i="29"/>
  <c r="AE234" i="29"/>
  <c r="AE240" i="29"/>
  <c r="AE242" i="29"/>
  <c r="AE233" i="29"/>
  <c r="AE239" i="29"/>
  <c r="AE241" i="29"/>
  <c r="AE237" i="29"/>
  <c r="AE236" i="29"/>
  <c r="AE238" i="29"/>
  <c r="AE235" i="29"/>
  <c r="O261" i="14"/>
  <c r="P543" i="29" s="1"/>
  <c r="P544" i="29" s="1"/>
  <c r="AD444" i="29"/>
  <c r="AD537" i="29" s="1"/>
  <c r="AD441" i="29"/>
  <c r="AD436" i="29"/>
  <c r="AB561" i="29"/>
  <c r="AD437" i="29"/>
  <c r="AD440" i="29"/>
  <c r="AD445" i="29"/>
  <c r="AD538" i="29" s="1"/>
  <c r="AD443" i="29"/>
  <c r="AD536" i="29" s="1"/>
  <c r="AD492" i="29"/>
  <c r="AD494" i="29"/>
  <c r="AD493" i="29"/>
  <c r="AG273" i="29"/>
  <c r="AG449" i="29" s="1"/>
  <c r="AG491" i="29"/>
  <c r="AH35" i="29"/>
  <c r="AC530" i="29"/>
  <c r="AD438" i="29"/>
  <c r="AD529" i="29" s="1"/>
  <c r="AD442" i="29"/>
  <c r="AD439" i="29"/>
  <c r="AH36" i="29"/>
  <c r="AG287" i="29"/>
  <c r="AE298" i="29"/>
  <c r="AE301" i="29"/>
  <c r="AE297" i="29"/>
  <c r="AE292" i="29"/>
  <c r="AE296" i="29"/>
  <c r="AE295" i="29"/>
  <c r="AE300" i="29"/>
  <c r="AE299" i="29"/>
  <c r="AE294" i="29"/>
  <c r="AE293" i="29"/>
  <c r="AE306" i="29"/>
  <c r="AE309" i="29"/>
  <c r="AE315" i="29"/>
  <c r="AE314" i="29"/>
  <c r="AE307" i="29"/>
  <c r="AE311" i="29"/>
  <c r="AE310" i="29"/>
  <c r="AE308" i="29"/>
  <c r="AE313" i="29"/>
  <c r="AE312" i="29"/>
  <c r="AE325" i="29"/>
  <c r="AE329" i="29"/>
  <c r="AE321" i="29"/>
  <c r="AE327" i="29"/>
  <c r="AE320" i="29"/>
  <c r="AE323" i="29"/>
  <c r="AE326" i="29"/>
  <c r="AE324" i="29"/>
  <c r="AE322" i="29"/>
  <c r="AE328" i="29"/>
  <c r="AF303" i="29"/>
  <c r="AF317" i="29"/>
  <c r="AF289" i="29"/>
  <c r="AH332" i="29"/>
  <c r="AK37" i="29"/>
  <c r="AF339" i="29"/>
  <c r="AF346" i="29"/>
  <c r="AF344" i="29"/>
  <c r="AF340" i="29"/>
  <c r="AF337" i="29"/>
  <c r="AF345" i="29"/>
  <c r="AF343" i="29"/>
  <c r="AF338" i="29"/>
  <c r="AF341" i="29"/>
  <c r="AF342" i="29"/>
  <c r="AF355" i="29"/>
  <c r="AF360" i="29"/>
  <c r="AF357" i="29"/>
  <c r="AF351" i="29"/>
  <c r="AF358" i="29"/>
  <c r="AF359" i="29"/>
  <c r="AF356" i="29"/>
  <c r="AF352" i="29"/>
  <c r="AF354" i="29"/>
  <c r="AF353" i="29"/>
  <c r="AG348" i="29"/>
  <c r="AG334" i="29"/>
  <c r="AG362" i="29"/>
  <c r="AF371" i="29"/>
  <c r="AF372" i="29"/>
  <c r="AF370" i="29"/>
  <c r="AF374" i="29"/>
  <c r="AF368" i="29"/>
  <c r="AF366" i="29"/>
  <c r="AF367" i="29"/>
  <c r="AF369" i="29"/>
  <c r="AF373" i="29"/>
  <c r="AF365" i="29"/>
  <c r="AG131" i="14"/>
  <c r="AH82" i="14" s="1"/>
  <c r="AH165" i="14"/>
  <c r="AH131" i="14" s="1"/>
  <c r="AG22" i="29"/>
  <c r="AG391" i="29"/>
  <c r="AG41" i="29"/>
  <c r="N507" i="29"/>
  <c r="N520" i="29" s="1"/>
  <c r="N522" i="29" s="1"/>
  <c r="AI501" i="29"/>
  <c r="AI548" i="29"/>
  <c r="N562" i="29"/>
  <c r="S96" i="14"/>
  <c r="S97" i="14" s="1"/>
  <c r="T98" i="14" s="1"/>
  <c r="P126" i="14"/>
  <c r="P128" i="14" s="1"/>
  <c r="Q127" i="14" s="1"/>
  <c r="P138" i="14"/>
  <c r="P139" i="14" s="1"/>
  <c r="R90" i="14"/>
  <c r="R91" i="14" s="1"/>
  <c r="S92" i="14" s="1"/>
  <c r="Q117" i="14"/>
  <c r="Q111" i="14" s="1"/>
  <c r="Q105" i="14"/>
  <c r="Q107" i="14" s="1"/>
  <c r="R106" i="14" s="1"/>
  <c r="P548" i="29"/>
  <c r="AE434" i="29" l="1"/>
  <c r="AD521" i="29"/>
  <c r="P522" i="29"/>
  <c r="Q519" i="29"/>
  <c r="Q488" i="29"/>
  <c r="Q501" i="29" s="1"/>
  <c r="Q507" i="29" s="1"/>
  <c r="Q520" i="29" s="1"/>
  <c r="AE435" i="29"/>
  <c r="AF231" i="29"/>
  <c r="AF232" i="29"/>
  <c r="AG350" i="29"/>
  <c r="AG349" i="29"/>
  <c r="AF318" i="29"/>
  <c r="AF319" i="29"/>
  <c r="AF259" i="29"/>
  <c r="AF260" i="29"/>
  <c r="AG215" i="29"/>
  <c r="AG214" i="29"/>
  <c r="AK183" i="29"/>
  <c r="AF246" i="29"/>
  <c r="AF245" i="29"/>
  <c r="AG200" i="29"/>
  <c r="AG201" i="29"/>
  <c r="AF305" i="29"/>
  <c r="AF304" i="29"/>
  <c r="AG364" i="29"/>
  <c r="AG363" i="29"/>
  <c r="AG187" i="29"/>
  <c r="AG186" i="29"/>
  <c r="AG336" i="29"/>
  <c r="AG335" i="29"/>
  <c r="AF290" i="29"/>
  <c r="AF291" i="29"/>
  <c r="AH432" i="29"/>
  <c r="AG224" i="29"/>
  <c r="AG220" i="29"/>
  <c r="AG223" i="29"/>
  <c r="AG216" i="29"/>
  <c r="AG219" i="29"/>
  <c r="AG225" i="29"/>
  <c r="AG222" i="29"/>
  <c r="AG218" i="29"/>
  <c r="AG221" i="29"/>
  <c r="AG217" i="29"/>
  <c r="AG197" i="29"/>
  <c r="AG196" i="29"/>
  <c r="AG192" i="29"/>
  <c r="AG193" i="29"/>
  <c r="AG191" i="29"/>
  <c r="AG195" i="29"/>
  <c r="AG190" i="29"/>
  <c r="AG189" i="29"/>
  <c r="AG188" i="29"/>
  <c r="AG194" i="29"/>
  <c r="AH213" i="29"/>
  <c r="AH199" i="29"/>
  <c r="AH185" i="29"/>
  <c r="AG206" i="29"/>
  <c r="AG209" i="29"/>
  <c r="AG205" i="29"/>
  <c r="AG202" i="29"/>
  <c r="AG211" i="29"/>
  <c r="AG203" i="29"/>
  <c r="AG207" i="29"/>
  <c r="AG208" i="29"/>
  <c r="AG204" i="29"/>
  <c r="AG210" i="29"/>
  <c r="AF226" i="29"/>
  <c r="AF227" i="29" s="1"/>
  <c r="AB448" i="29"/>
  <c r="AF433" i="29"/>
  <c r="AE462" i="29"/>
  <c r="AD527" i="29"/>
  <c r="AD547" i="29" s="1"/>
  <c r="AD461" i="29"/>
  <c r="AD463" i="29" s="1"/>
  <c r="AC447" i="29"/>
  <c r="AC517" i="29" s="1"/>
  <c r="AC560" i="29"/>
  <c r="AD532" i="29"/>
  <c r="AD546" i="29" s="1"/>
  <c r="AD535" i="29"/>
  <c r="AF375" i="29"/>
  <c r="AF376" i="29" s="1"/>
  <c r="Q23" i="29"/>
  <c r="AE271" i="29"/>
  <c r="AE272" i="29" s="1"/>
  <c r="AE330" i="29"/>
  <c r="AE331" i="29" s="1"/>
  <c r="AE286" i="29"/>
  <c r="AD285" i="29"/>
  <c r="AD446" i="29" s="1"/>
  <c r="AF495" i="29"/>
  <c r="AI520" i="29"/>
  <c r="AI522" i="29" s="1"/>
  <c r="AE280" i="29"/>
  <c r="AE456" i="29" s="1"/>
  <c r="AF281" i="29"/>
  <c r="AF457" i="29" s="1"/>
  <c r="AF282" i="29"/>
  <c r="AF458" i="29" s="1"/>
  <c r="AF283" i="29"/>
  <c r="AF459" i="29" s="1"/>
  <c r="AF278" i="29"/>
  <c r="AF454" i="29" s="1"/>
  <c r="AF276" i="29"/>
  <c r="AF452" i="29" s="1"/>
  <c r="AF277" i="29"/>
  <c r="AF453" i="29" s="1"/>
  <c r="AG274" i="29"/>
  <c r="AG450" i="29" s="1"/>
  <c r="AG284" i="29"/>
  <c r="AG460" i="29" s="1"/>
  <c r="AG279" i="29"/>
  <c r="AG455" i="29" s="1"/>
  <c r="AE275" i="29"/>
  <c r="AE451" i="29" s="1"/>
  <c r="AH84" i="14"/>
  <c r="AH85" i="14"/>
  <c r="AG244" i="29"/>
  <c r="AG258" i="29"/>
  <c r="AG230" i="29"/>
  <c r="AH228" i="29"/>
  <c r="AK33" i="29"/>
  <c r="AF235" i="29"/>
  <c r="AF237" i="29"/>
  <c r="AF242" i="29"/>
  <c r="AF234" i="29"/>
  <c r="AF240" i="29"/>
  <c r="AF236" i="29"/>
  <c r="AF241" i="29"/>
  <c r="AF233" i="29"/>
  <c r="AF239" i="29"/>
  <c r="AF238" i="29"/>
  <c r="AF261" i="29"/>
  <c r="AF270" i="29"/>
  <c r="AF266" i="29"/>
  <c r="AF262" i="29"/>
  <c r="AF264" i="29"/>
  <c r="AF268" i="29"/>
  <c r="AF269" i="29"/>
  <c r="AF265" i="29"/>
  <c r="AF263" i="29"/>
  <c r="AF267" i="29"/>
  <c r="AF252" i="29"/>
  <c r="AF247" i="29"/>
  <c r="AF256" i="29"/>
  <c r="AF251" i="29"/>
  <c r="AF253" i="29"/>
  <c r="AF250" i="29"/>
  <c r="AF255" i="29"/>
  <c r="AF249" i="29"/>
  <c r="AF254" i="29"/>
  <c r="AF248" i="29"/>
  <c r="O262" i="14"/>
  <c r="P262" i="14" s="1"/>
  <c r="AE438" i="29"/>
  <c r="AE529" i="29" s="1"/>
  <c r="AE436" i="29"/>
  <c r="AC561" i="29"/>
  <c r="AE442" i="29"/>
  <c r="AE535" i="29" s="1"/>
  <c r="AK35" i="29"/>
  <c r="AH491" i="29"/>
  <c r="AK491" i="29" s="1"/>
  <c r="AH273" i="29"/>
  <c r="AH449" i="29" s="1"/>
  <c r="AE492" i="29"/>
  <c r="AE494" i="29"/>
  <c r="AE493" i="29"/>
  <c r="AE441" i="29"/>
  <c r="AE445" i="29"/>
  <c r="AE538" i="29" s="1"/>
  <c r="AE444" i="29"/>
  <c r="AE440" i="29"/>
  <c r="AE439" i="29"/>
  <c r="AD530" i="29"/>
  <c r="AE443" i="29"/>
  <c r="AE536" i="29" s="1"/>
  <c r="AE437" i="29"/>
  <c r="AF311" i="29"/>
  <c r="AF308" i="29"/>
  <c r="AF314" i="29"/>
  <c r="AF312" i="29"/>
  <c r="AF309" i="29"/>
  <c r="AF315" i="29"/>
  <c r="AF307" i="29"/>
  <c r="AF313" i="29"/>
  <c r="AF306" i="29"/>
  <c r="AF310" i="29"/>
  <c r="AG289" i="29"/>
  <c r="AG317" i="29"/>
  <c r="AG303" i="29"/>
  <c r="AH287" i="29"/>
  <c r="AK36" i="29"/>
  <c r="AH490" i="29"/>
  <c r="AF299" i="29"/>
  <c r="AF293" i="29"/>
  <c r="AF301" i="29"/>
  <c r="AF295" i="29"/>
  <c r="AF292" i="29"/>
  <c r="AF300" i="29"/>
  <c r="AF297" i="29"/>
  <c r="AF298" i="29"/>
  <c r="AF294" i="29"/>
  <c r="AF296" i="29"/>
  <c r="AF322" i="29"/>
  <c r="AF320" i="29"/>
  <c r="AF329" i="29"/>
  <c r="AF326" i="29"/>
  <c r="AF321" i="29"/>
  <c r="AF328" i="29"/>
  <c r="AF327" i="29"/>
  <c r="AF323" i="29"/>
  <c r="AF324" i="29"/>
  <c r="AF325" i="29"/>
  <c r="AG370" i="29"/>
  <c r="AG371" i="29"/>
  <c r="AG372" i="29"/>
  <c r="AG368" i="29"/>
  <c r="AG374" i="29"/>
  <c r="AG365" i="29"/>
  <c r="AG373" i="29"/>
  <c r="AG366" i="29"/>
  <c r="AG367" i="29"/>
  <c r="AG369" i="29"/>
  <c r="AG341" i="29"/>
  <c r="AG337" i="29"/>
  <c r="AG340" i="29"/>
  <c r="AG338" i="29"/>
  <c r="AG345" i="29"/>
  <c r="AG342" i="29"/>
  <c r="AG339" i="29"/>
  <c r="AG343" i="29"/>
  <c r="AG346" i="29"/>
  <c r="AG344" i="29"/>
  <c r="AG354" i="29"/>
  <c r="AG356" i="29"/>
  <c r="AG353" i="29"/>
  <c r="AG358" i="29"/>
  <c r="AG351" i="29"/>
  <c r="AG359" i="29"/>
  <c r="AG357" i="29"/>
  <c r="AG360" i="29"/>
  <c r="AG352" i="29"/>
  <c r="AG355" i="29"/>
  <c r="AK332" i="29"/>
  <c r="AH348" i="29"/>
  <c r="AH334" i="29"/>
  <c r="AH362" i="29"/>
  <c r="AG500" i="29"/>
  <c r="AI82" i="14"/>
  <c r="AH22" i="29"/>
  <c r="AH500" i="29" s="1"/>
  <c r="AH41" i="29"/>
  <c r="AK41" i="29" s="1"/>
  <c r="AH391" i="29"/>
  <c r="AK391" i="29" s="1"/>
  <c r="O562" i="29"/>
  <c r="P562" i="29" s="1"/>
  <c r="AI562" i="29"/>
  <c r="N552" i="29"/>
  <c r="AI507" i="29"/>
  <c r="AI509" i="29"/>
  <c r="N528" i="29"/>
  <c r="T99" i="14"/>
  <c r="T100" i="14" s="1"/>
  <c r="Q548" i="29"/>
  <c r="Q140" i="14"/>
  <c r="P141" i="14"/>
  <c r="P142" i="14" s="1"/>
  <c r="P528" i="29"/>
  <c r="P552" i="29"/>
  <c r="Q126" i="14"/>
  <c r="Q128" i="14" s="1"/>
  <c r="R127" i="14" s="1"/>
  <c r="Q138" i="14"/>
  <c r="Q139" i="14" s="1"/>
  <c r="Q141" i="14" s="1"/>
  <c r="Q142" i="14" s="1"/>
  <c r="R87" i="14"/>
  <c r="S93" i="14"/>
  <c r="S94" i="14" s="1"/>
  <c r="T95" i="14" s="1"/>
  <c r="AE521" i="29" l="1"/>
  <c r="Q522" i="29"/>
  <c r="AK490" i="29"/>
  <c r="AF434" i="29"/>
  <c r="AF435" i="29"/>
  <c r="AH364" i="29"/>
  <c r="AK364" i="29" s="1"/>
  <c r="AH363" i="29"/>
  <c r="AK363" i="29" s="1"/>
  <c r="AH186" i="29"/>
  <c r="AH187" i="29"/>
  <c r="AH336" i="29"/>
  <c r="AK336" i="29" s="1"/>
  <c r="AH335" i="29"/>
  <c r="AK335" i="29" s="1"/>
  <c r="AG305" i="29"/>
  <c r="AG304" i="29"/>
  <c r="AG232" i="29"/>
  <c r="AG231" i="29"/>
  <c r="AH201" i="29"/>
  <c r="AK201" i="29" s="1"/>
  <c r="AH200" i="29"/>
  <c r="AK200" i="29" s="1"/>
  <c r="AG259" i="29"/>
  <c r="AG260" i="29"/>
  <c r="AH214" i="29"/>
  <c r="AK214" i="29" s="1"/>
  <c r="AH215" i="29"/>
  <c r="AK215" i="29" s="1"/>
  <c r="AH350" i="29"/>
  <c r="AK350" i="29" s="1"/>
  <c r="AH349" i="29"/>
  <c r="AK349" i="29" s="1"/>
  <c r="AG319" i="29"/>
  <c r="AG318" i="29"/>
  <c r="AG290" i="29"/>
  <c r="AG291" i="29"/>
  <c r="AG246" i="29"/>
  <c r="AG245" i="29"/>
  <c r="AK199" i="29"/>
  <c r="AK213" i="29"/>
  <c r="AG226" i="29"/>
  <c r="AG227" i="29" s="1"/>
  <c r="AH188" i="29"/>
  <c r="AK188" i="29" s="1"/>
  <c r="AH190" i="29"/>
  <c r="AH194" i="29"/>
  <c r="AK194" i="29" s="1"/>
  <c r="AH195" i="29"/>
  <c r="AK195" i="29" s="1"/>
  <c r="AH191" i="29"/>
  <c r="AK191" i="29" s="1"/>
  <c r="AH197" i="29"/>
  <c r="AK197" i="29" s="1"/>
  <c r="AH193" i="29"/>
  <c r="AK193" i="29" s="1"/>
  <c r="AH189" i="29"/>
  <c r="AK189" i="29" s="1"/>
  <c r="AH192" i="29"/>
  <c r="AH196" i="29"/>
  <c r="AK196" i="29" s="1"/>
  <c r="AH211" i="29"/>
  <c r="AK211" i="29" s="1"/>
  <c r="AH203" i="29"/>
  <c r="AK203" i="29" s="1"/>
  <c r="AH209" i="29"/>
  <c r="AK209" i="29" s="1"/>
  <c r="AH208" i="29"/>
  <c r="AK208" i="29" s="1"/>
  <c r="AH204" i="29"/>
  <c r="AK204" i="29" s="1"/>
  <c r="AH202" i="29"/>
  <c r="AK202" i="29" s="1"/>
  <c r="AH205" i="29"/>
  <c r="AK205" i="29" s="1"/>
  <c r="AH210" i="29"/>
  <c r="AK210" i="29" s="1"/>
  <c r="AH207" i="29"/>
  <c r="AK207" i="29" s="1"/>
  <c r="AH206" i="29"/>
  <c r="AK206" i="29" s="1"/>
  <c r="AH217" i="29"/>
  <c r="AK217" i="29" s="1"/>
  <c r="AH221" i="29"/>
  <c r="AK221" i="29" s="1"/>
  <c r="AH220" i="29"/>
  <c r="AK220" i="29" s="1"/>
  <c r="AH219" i="29"/>
  <c r="AK219" i="29" s="1"/>
  <c r="AH216" i="29"/>
  <c r="AK216" i="29" s="1"/>
  <c r="AH224" i="29"/>
  <c r="AK224" i="29" s="1"/>
  <c r="AH218" i="29"/>
  <c r="AK218" i="29" s="1"/>
  <c r="AH222" i="29"/>
  <c r="AK222" i="29" s="1"/>
  <c r="AH223" i="29"/>
  <c r="AK223" i="29" s="1"/>
  <c r="AH225" i="29"/>
  <c r="AK225" i="29" s="1"/>
  <c r="AK432" i="29"/>
  <c r="AK185" i="29"/>
  <c r="AK192" i="29"/>
  <c r="AC448" i="29"/>
  <c r="AG433" i="29"/>
  <c r="AF462" i="29"/>
  <c r="AD560" i="29"/>
  <c r="AE461" i="29"/>
  <c r="AE463" i="29" s="1"/>
  <c r="AE527" i="29"/>
  <c r="AE547" i="29" s="1"/>
  <c r="AE537" i="29"/>
  <c r="AE530" i="29"/>
  <c r="AE532" i="29"/>
  <c r="AE546" i="29" s="1"/>
  <c r="AE447" i="29"/>
  <c r="AE517" i="29" s="1"/>
  <c r="AD447" i="29"/>
  <c r="AD517" i="29" s="1"/>
  <c r="AG375" i="29"/>
  <c r="AG376" i="29" s="1"/>
  <c r="AF271" i="29"/>
  <c r="AF272" i="29" s="1"/>
  <c r="AF330" i="29"/>
  <c r="AF331" i="29" s="1"/>
  <c r="AF286" i="29"/>
  <c r="AE285" i="29"/>
  <c r="AE446" i="29" s="1"/>
  <c r="AG495" i="29"/>
  <c r="AF275" i="29"/>
  <c r="AF451" i="29" s="1"/>
  <c r="AG276" i="29"/>
  <c r="AG452" i="29" s="1"/>
  <c r="AG278" i="29"/>
  <c r="AG454" i="29" s="1"/>
  <c r="AG277" i="29"/>
  <c r="AG453" i="29" s="1"/>
  <c r="AH284" i="29"/>
  <c r="AH460" i="29" s="1"/>
  <c r="AH279" i="29"/>
  <c r="AH455" i="29" s="1"/>
  <c r="AH274" i="29"/>
  <c r="AH450" i="29" s="1"/>
  <c r="AF437" i="29"/>
  <c r="AF280" i="29"/>
  <c r="AF456" i="29" s="1"/>
  <c r="AG282" i="29"/>
  <c r="AG458" i="29" s="1"/>
  <c r="AG283" i="29"/>
  <c r="AG459" i="29" s="1"/>
  <c r="AG281" i="29"/>
  <c r="AG457" i="29" s="1"/>
  <c r="AH258" i="29"/>
  <c r="AH244" i="29"/>
  <c r="AH230" i="29"/>
  <c r="AK228" i="29"/>
  <c r="AG241" i="29"/>
  <c r="AG237" i="29"/>
  <c r="AG236" i="29"/>
  <c r="AG238" i="29"/>
  <c r="AG235" i="29"/>
  <c r="AG240" i="29"/>
  <c r="AG242" i="29"/>
  <c r="AG239" i="29"/>
  <c r="AG234" i="29"/>
  <c r="AG233" i="29"/>
  <c r="AG261" i="29"/>
  <c r="AG270" i="29"/>
  <c r="AG264" i="29"/>
  <c r="AG266" i="29"/>
  <c r="AG262" i="29"/>
  <c r="AG263" i="29"/>
  <c r="AG269" i="29"/>
  <c r="AG267" i="29"/>
  <c r="AG268" i="29"/>
  <c r="AG265" i="29"/>
  <c r="AG248" i="29"/>
  <c r="AG256" i="29"/>
  <c r="AG247" i="29"/>
  <c r="AG251" i="29"/>
  <c r="AG253" i="29"/>
  <c r="AG250" i="29"/>
  <c r="AG249" i="29"/>
  <c r="AG255" i="29"/>
  <c r="AG254" i="29"/>
  <c r="AG252" i="29"/>
  <c r="AD561" i="29"/>
  <c r="AF494" i="29"/>
  <c r="AF493" i="29"/>
  <c r="AK273" i="29"/>
  <c r="AK449" i="29" s="1"/>
  <c r="AF492" i="29"/>
  <c r="AF436" i="29"/>
  <c r="AF445" i="29"/>
  <c r="AF538" i="29" s="1"/>
  <c r="AF438" i="29"/>
  <c r="AF529" i="29" s="1"/>
  <c r="AF439" i="29"/>
  <c r="AF442" i="29"/>
  <c r="AF443" i="29"/>
  <c r="AF441" i="29"/>
  <c r="AF444" i="29"/>
  <c r="AF537" i="29" s="1"/>
  <c r="AF440" i="29"/>
  <c r="AK287" i="29"/>
  <c r="AH317" i="29"/>
  <c r="AH289" i="29"/>
  <c r="AH303" i="29"/>
  <c r="AG313" i="29"/>
  <c r="AG306" i="29"/>
  <c r="AG315" i="29"/>
  <c r="AG308" i="29"/>
  <c r="AG312" i="29"/>
  <c r="AG310" i="29"/>
  <c r="AG314" i="29"/>
  <c r="AG311" i="29"/>
  <c r="AG309" i="29"/>
  <c r="AG307" i="29"/>
  <c r="AG329" i="29"/>
  <c r="AG321" i="29"/>
  <c r="AG320" i="29"/>
  <c r="AG326" i="29"/>
  <c r="AG324" i="29"/>
  <c r="AG322" i="29"/>
  <c r="AG328" i="29"/>
  <c r="AG327" i="29"/>
  <c r="AG325" i="29"/>
  <c r="AG323" i="29"/>
  <c r="AG294" i="29"/>
  <c r="AG295" i="29"/>
  <c r="AG298" i="29"/>
  <c r="AG293" i="29"/>
  <c r="AG292" i="29"/>
  <c r="AG301" i="29"/>
  <c r="AG299" i="29"/>
  <c r="AG300" i="29"/>
  <c r="AG296" i="29"/>
  <c r="AG297" i="29"/>
  <c r="AK362" i="29"/>
  <c r="AH370" i="29"/>
  <c r="AK370" i="29" s="1"/>
  <c r="AH373" i="29"/>
  <c r="AK373" i="29" s="1"/>
  <c r="AH368" i="29"/>
  <c r="AK368" i="29" s="1"/>
  <c r="AH371" i="29"/>
  <c r="AK371" i="29" s="1"/>
  <c r="AH369" i="29"/>
  <c r="AK369" i="29" s="1"/>
  <c r="AH367" i="29"/>
  <c r="AK367" i="29" s="1"/>
  <c r="AH366" i="29"/>
  <c r="AK366" i="29" s="1"/>
  <c r="AH372" i="29"/>
  <c r="AK372" i="29" s="1"/>
  <c r="AH374" i="29"/>
  <c r="AK374" i="29" s="1"/>
  <c r="AH365" i="29"/>
  <c r="AK365" i="29" s="1"/>
  <c r="AH341" i="29"/>
  <c r="AK341" i="29" s="1"/>
  <c r="AH345" i="29"/>
  <c r="AK345" i="29" s="1"/>
  <c r="AH340" i="29"/>
  <c r="AK340" i="29" s="1"/>
  <c r="AH339" i="29"/>
  <c r="AH338" i="29"/>
  <c r="AK338" i="29" s="1"/>
  <c r="AH342" i="29"/>
  <c r="AK342" i="29" s="1"/>
  <c r="AH344" i="29"/>
  <c r="AK344" i="29" s="1"/>
  <c r="AK334" i="29"/>
  <c r="AH346" i="29"/>
  <c r="AK346" i="29" s="1"/>
  <c r="AH343" i="29"/>
  <c r="AK343" i="29" s="1"/>
  <c r="AH337" i="29"/>
  <c r="AK337" i="29" s="1"/>
  <c r="AK348" i="29"/>
  <c r="AH355" i="29"/>
  <c r="AK355" i="29" s="1"/>
  <c r="AH358" i="29"/>
  <c r="AK358" i="29" s="1"/>
  <c r="AH356" i="29"/>
  <c r="AK356" i="29" s="1"/>
  <c r="AH351" i="29"/>
  <c r="AK351" i="29" s="1"/>
  <c r="AH354" i="29"/>
  <c r="AK354" i="29" s="1"/>
  <c r="AH360" i="29"/>
  <c r="AK360" i="29" s="1"/>
  <c r="AH359" i="29"/>
  <c r="AK359" i="29" s="1"/>
  <c r="AH353" i="29"/>
  <c r="AK353" i="29" s="1"/>
  <c r="AH357" i="29"/>
  <c r="AK357" i="29" s="1"/>
  <c r="AH352" i="29"/>
  <c r="AK352" i="29" s="1"/>
  <c r="AK22" i="29"/>
  <c r="AK500" i="29"/>
  <c r="Q562" i="29"/>
  <c r="AI543" i="29"/>
  <c r="N540" i="29"/>
  <c r="AI528" i="29"/>
  <c r="Q552" i="29"/>
  <c r="Q528" i="29"/>
  <c r="P540" i="29"/>
  <c r="T96" i="14"/>
  <c r="R140" i="14"/>
  <c r="R88" i="14"/>
  <c r="S89" i="14" s="1"/>
  <c r="R102" i="14"/>
  <c r="AG434" i="29" l="1"/>
  <c r="AF521" i="29"/>
  <c r="AG435" i="29"/>
  <c r="AK187" i="29"/>
  <c r="AK186" i="29"/>
  <c r="AH245" i="29"/>
  <c r="AK245" i="29" s="1"/>
  <c r="AH246" i="29"/>
  <c r="AK246" i="29" s="1"/>
  <c r="AH259" i="29"/>
  <c r="AK259" i="29" s="1"/>
  <c r="AH260" i="29"/>
  <c r="AK260" i="29" s="1"/>
  <c r="AH319" i="29"/>
  <c r="AK319" i="29" s="1"/>
  <c r="AH318" i="29"/>
  <c r="AK318" i="29" s="1"/>
  <c r="AH305" i="29"/>
  <c r="AK305" i="29" s="1"/>
  <c r="AH304" i="29"/>
  <c r="AK304" i="29" s="1"/>
  <c r="AH291" i="29"/>
  <c r="AK291" i="29" s="1"/>
  <c r="AH290" i="29"/>
  <c r="AK290" i="29" s="1"/>
  <c r="AH231" i="29"/>
  <c r="AK231" i="29" s="1"/>
  <c r="AH232" i="29"/>
  <c r="AK232" i="29" s="1"/>
  <c r="AH226" i="29"/>
  <c r="AH227" i="29" s="1"/>
  <c r="AK190" i="29"/>
  <c r="AK226" i="29" s="1"/>
  <c r="AK227" i="29" s="1"/>
  <c r="AD448" i="29"/>
  <c r="AE448" i="29"/>
  <c r="AH433" i="29"/>
  <c r="AG462" i="29"/>
  <c r="AE560" i="29"/>
  <c r="AF527" i="29"/>
  <c r="AF547" i="29" s="1"/>
  <c r="AF461" i="29"/>
  <c r="AF463" i="29" s="1"/>
  <c r="AF536" i="29"/>
  <c r="AF535" i="29"/>
  <c r="AF530" i="29"/>
  <c r="AF532" i="29"/>
  <c r="AF546" i="29" s="1"/>
  <c r="AH375" i="29"/>
  <c r="AH376" i="29" s="1"/>
  <c r="AG271" i="29"/>
  <c r="AG272" i="29" s="1"/>
  <c r="AK339" i="29"/>
  <c r="AK375" i="29" s="1"/>
  <c r="AK376" i="29" s="1"/>
  <c r="AG330" i="29"/>
  <c r="AG331" i="29" s="1"/>
  <c r="AG286" i="29"/>
  <c r="AF285" i="29"/>
  <c r="AF446" i="29" s="1"/>
  <c r="AG436" i="29"/>
  <c r="AG275" i="29"/>
  <c r="AG451" i="29" s="1"/>
  <c r="AG280" i="29"/>
  <c r="AG456" i="29" s="1"/>
  <c r="AH282" i="29"/>
  <c r="AH458" i="29" s="1"/>
  <c r="AH283" i="29"/>
  <c r="AH281" i="29"/>
  <c r="AH278" i="29"/>
  <c r="AH454" i="29" s="1"/>
  <c r="AH276" i="29"/>
  <c r="AH452" i="29" s="1"/>
  <c r="AH277" i="29"/>
  <c r="AH453" i="29" s="1"/>
  <c r="AH242" i="29"/>
  <c r="AH233" i="29"/>
  <c r="AH236" i="29"/>
  <c r="AH237" i="29"/>
  <c r="AH238" i="29"/>
  <c r="AH235" i="29"/>
  <c r="AH239" i="29"/>
  <c r="AH241" i="29"/>
  <c r="AH240" i="29"/>
  <c r="AH234" i="29"/>
  <c r="AK230" i="29"/>
  <c r="AH247" i="29"/>
  <c r="AK247" i="29" s="1"/>
  <c r="AH251" i="29"/>
  <c r="AK251" i="29" s="1"/>
  <c r="AH253" i="29"/>
  <c r="AK253" i="29" s="1"/>
  <c r="AH250" i="29"/>
  <c r="AK250" i="29" s="1"/>
  <c r="AH249" i="29"/>
  <c r="AH255" i="29"/>
  <c r="AK255" i="29" s="1"/>
  <c r="AH248" i="29"/>
  <c r="AK248" i="29" s="1"/>
  <c r="AH252" i="29"/>
  <c r="AK252" i="29" s="1"/>
  <c r="AH254" i="29"/>
  <c r="AH256" i="29"/>
  <c r="AK256" i="29" s="1"/>
  <c r="AK244" i="29"/>
  <c r="AH269" i="29"/>
  <c r="AK269" i="29" s="1"/>
  <c r="AH268" i="29"/>
  <c r="AK268" i="29" s="1"/>
  <c r="AH263" i="29"/>
  <c r="AK263" i="29" s="1"/>
  <c r="AH265" i="29"/>
  <c r="AK265" i="29" s="1"/>
  <c r="AH267" i="29"/>
  <c r="AK267" i="29" s="1"/>
  <c r="AH261" i="29"/>
  <c r="AK261" i="29" s="1"/>
  <c r="AH270" i="29"/>
  <c r="AK270" i="29" s="1"/>
  <c r="AH266" i="29"/>
  <c r="AK266" i="29" s="1"/>
  <c r="AH264" i="29"/>
  <c r="AK264" i="29" s="1"/>
  <c r="AH262" i="29"/>
  <c r="AK262" i="29" s="1"/>
  <c r="AK258" i="29"/>
  <c r="AG445" i="29"/>
  <c r="AE561" i="29"/>
  <c r="AG494" i="29"/>
  <c r="AK279" i="29"/>
  <c r="AK455" i="29" s="1"/>
  <c r="AG493" i="29"/>
  <c r="AG492" i="29"/>
  <c r="AH495" i="29"/>
  <c r="AK284" i="29"/>
  <c r="AK460" i="29" s="1"/>
  <c r="AK274" i="29"/>
  <c r="AK450" i="29" s="1"/>
  <c r="AG438" i="29"/>
  <c r="AG529" i="29" s="1"/>
  <c r="AG441" i="29"/>
  <c r="AG440" i="29"/>
  <c r="AG439" i="29"/>
  <c r="AG444" i="29"/>
  <c r="AG437" i="29"/>
  <c r="AG443" i="29"/>
  <c r="AG536" i="29" s="1"/>
  <c r="AK303" i="29"/>
  <c r="AH309" i="29"/>
  <c r="AK309" i="29" s="1"/>
  <c r="AH315" i="29"/>
  <c r="AK315" i="29" s="1"/>
  <c r="AH314" i="29"/>
  <c r="AK314" i="29" s="1"/>
  <c r="AH307" i="29"/>
  <c r="AK307" i="29" s="1"/>
  <c r="AH308" i="29"/>
  <c r="AK308" i="29" s="1"/>
  <c r="AH311" i="29"/>
  <c r="AK311" i="29" s="1"/>
  <c r="AH312" i="29"/>
  <c r="AK312" i="29" s="1"/>
  <c r="AH310" i="29"/>
  <c r="AK310" i="29" s="1"/>
  <c r="AH313" i="29"/>
  <c r="AK313" i="29" s="1"/>
  <c r="AH306" i="29"/>
  <c r="AK306" i="29" s="1"/>
  <c r="AH297" i="29"/>
  <c r="AH294" i="29"/>
  <c r="AH299" i="29"/>
  <c r="AK299" i="29" s="1"/>
  <c r="AH300" i="29"/>
  <c r="AK300" i="29" s="1"/>
  <c r="AH293" i="29"/>
  <c r="AK293" i="29" s="1"/>
  <c r="AH292" i="29"/>
  <c r="AK289" i="29"/>
  <c r="AH301" i="29"/>
  <c r="AH296" i="29"/>
  <c r="AK296" i="29" s="1"/>
  <c r="AH295" i="29"/>
  <c r="AK295" i="29" s="1"/>
  <c r="AH298" i="29"/>
  <c r="AK298" i="29" s="1"/>
  <c r="AG442" i="29"/>
  <c r="AG535" i="29" s="1"/>
  <c r="AH321" i="29"/>
  <c r="AK321" i="29" s="1"/>
  <c r="AH327" i="29"/>
  <c r="AK327" i="29" s="1"/>
  <c r="AH328" i="29"/>
  <c r="AK328" i="29" s="1"/>
  <c r="AH320" i="29"/>
  <c r="AK320" i="29" s="1"/>
  <c r="AH326" i="29"/>
  <c r="AK326" i="29" s="1"/>
  <c r="AH323" i="29"/>
  <c r="AK323" i="29" s="1"/>
  <c r="AK317" i="29"/>
  <c r="AH324" i="29"/>
  <c r="AH325" i="29"/>
  <c r="AK325" i="29" s="1"/>
  <c r="AH322" i="29"/>
  <c r="AK322" i="29" s="1"/>
  <c r="AH329" i="29"/>
  <c r="N558" i="29"/>
  <c r="AI544" i="29"/>
  <c r="AI540" i="29"/>
  <c r="N553" i="29"/>
  <c r="T97" i="14"/>
  <c r="U98" i="14" s="1"/>
  <c r="R104" i="14"/>
  <c r="R103" i="14"/>
  <c r="S101" i="14" s="1"/>
  <c r="S90" i="14"/>
  <c r="S87" i="14" s="1"/>
  <c r="Q540" i="29"/>
  <c r="AI552" i="29" l="1"/>
  <c r="C200" i="52"/>
  <c r="AG521" i="29"/>
  <c r="AH434" i="29"/>
  <c r="AH435" i="29"/>
  <c r="AK435" i="29" s="1"/>
  <c r="AF560" i="29"/>
  <c r="AK433" i="29"/>
  <c r="AK283" i="29"/>
  <c r="AK459" i="29" s="1"/>
  <c r="AH459" i="29"/>
  <c r="AK281" i="29"/>
  <c r="AK457" i="29" s="1"/>
  <c r="AH457" i="29"/>
  <c r="AH462" i="29" s="1"/>
  <c r="AG527" i="29"/>
  <c r="AG547" i="29" s="1"/>
  <c r="AG461" i="29"/>
  <c r="AG463" i="29" s="1"/>
  <c r="AG537" i="29"/>
  <c r="AG538" i="29"/>
  <c r="AK241" i="29"/>
  <c r="AF447" i="29"/>
  <c r="AF517" i="29" s="1"/>
  <c r="AK239" i="29"/>
  <c r="AG532" i="29"/>
  <c r="AG546" i="29" s="1"/>
  <c r="AK240" i="29"/>
  <c r="AK242" i="29"/>
  <c r="AK237" i="29"/>
  <c r="AK236" i="29"/>
  <c r="AK495" i="29"/>
  <c r="AK234" i="29"/>
  <c r="AK233" i="29"/>
  <c r="AK389" i="29"/>
  <c r="AK390" i="29" s="1"/>
  <c r="AK235" i="29"/>
  <c r="AH271" i="29"/>
  <c r="AH272" i="29" s="1"/>
  <c r="AK294" i="29"/>
  <c r="AH330" i="29"/>
  <c r="AH331" i="29" s="1"/>
  <c r="AH286" i="29"/>
  <c r="AK329" i="29"/>
  <c r="AK324" i="29"/>
  <c r="AG285" i="29"/>
  <c r="AG446" i="29" s="1"/>
  <c r="AK238" i="29"/>
  <c r="AK254" i="29"/>
  <c r="AK297" i="29"/>
  <c r="AK249" i="29"/>
  <c r="AG447" i="29"/>
  <c r="AG517" i="29" s="1"/>
  <c r="AH275" i="29"/>
  <c r="AH451" i="29" s="1"/>
  <c r="AH280" i="29"/>
  <c r="AK277" i="29"/>
  <c r="AK453" i="29" s="1"/>
  <c r="AH437" i="29"/>
  <c r="AF561" i="29"/>
  <c r="AK276" i="29"/>
  <c r="AH492" i="29"/>
  <c r="AK492" i="29" s="1"/>
  <c r="AH493" i="29"/>
  <c r="AK493" i="29" s="1"/>
  <c r="AK282" i="29"/>
  <c r="AK458" i="29" s="1"/>
  <c r="AH494" i="29"/>
  <c r="AK494" i="29" s="1"/>
  <c r="AK278" i="29"/>
  <c r="AK454" i="29" s="1"/>
  <c r="AH438" i="29"/>
  <c r="AK438" i="29" s="1"/>
  <c r="AG530" i="29"/>
  <c r="AH444" i="29"/>
  <c r="AH537" i="29" s="1"/>
  <c r="AH439" i="29"/>
  <c r="AH441" i="29"/>
  <c r="AH443" i="29"/>
  <c r="AH440" i="29"/>
  <c r="AK440" i="29" s="1"/>
  <c r="AH442" i="29"/>
  <c r="AK301" i="29"/>
  <c r="AH445" i="29"/>
  <c r="AK292" i="29"/>
  <c r="AH436" i="29"/>
  <c r="N555" i="29"/>
  <c r="O553" i="29"/>
  <c r="N566" i="29"/>
  <c r="O558" i="29"/>
  <c r="AI558" i="29"/>
  <c r="AI566" i="29" s="1"/>
  <c r="R17" i="29"/>
  <c r="R83" i="14"/>
  <c r="R228" i="14" s="1"/>
  <c r="U99" i="14"/>
  <c r="U100" i="14" s="1"/>
  <c r="S102" i="14"/>
  <c r="S104" i="14" s="1"/>
  <c r="S88" i="14"/>
  <c r="T89" i="14" s="1"/>
  <c r="S91" i="14"/>
  <c r="T92" i="14" s="1"/>
  <c r="T93" i="14" s="1"/>
  <c r="R20" i="29" l="1"/>
  <c r="R498" i="29" s="1"/>
  <c r="R534" i="29" s="1"/>
  <c r="R18" i="29"/>
  <c r="R496" i="29" s="1"/>
  <c r="R19" i="29"/>
  <c r="R497" i="29" s="1"/>
  <c r="R533" i="29" s="1"/>
  <c r="AK434" i="29"/>
  <c r="AH521" i="29"/>
  <c r="AK521" i="29" s="1"/>
  <c r="AG560" i="29"/>
  <c r="AK437" i="29"/>
  <c r="AF448" i="29"/>
  <c r="AG448" i="29"/>
  <c r="AK537" i="29"/>
  <c r="AK280" i="29"/>
  <c r="AK456" i="29" s="1"/>
  <c r="AH456" i="29"/>
  <c r="AH527" i="29" s="1"/>
  <c r="AK527" i="29" s="1"/>
  <c r="AK436" i="29"/>
  <c r="AK286" i="29"/>
  <c r="AK452" i="29"/>
  <c r="AK462" i="29" s="1"/>
  <c r="AH536" i="29"/>
  <c r="AK536" i="29" s="1"/>
  <c r="AH532" i="29"/>
  <c r="AH546" i="29" s="1"/>
  <c r="AK330" i="29"/>
  <c r="AK331" i="29" s="1"/>
  <c r="AK271" i="29"/>
  <c r="AK272" i="29" s="1"/>
  <c r="AH285" i="29"/>
  <c r="AH446" i="29" s="1"/>
  <c r="AK446" i="29" s="1"/>
  <c r="AK441" i="29"/>
  <c r="Q257" i="14"/>
  <c r="AG561" i="29"/>
  <c r="AH529" i="29"/>
  <c r="AK529" i="29" s="1"/>
  <c r="AH530" i="29"/>
  <c r="AK530" i="29" s="1"/>
  <c r="AK275" i="29"/>
  <c r="AK444" i="29"/>
  <c r="AK439" i="29"/>
  <c r="AK443" i="29"/>
  <c r="AH535" i="29"/>
  <c r="AK535" i="29" s="1"/>
  <c r="AK442" i="29"/>
  <c r="AH538" i="29"/>
  <c r="AK538" i="29" s="1"/>
  <c r="AK445" i="29"/>
  <c r="O566" i="29"/>
  <c r="P558" i="29"/>
  <c r="O555" i="29"/>
  <c r="P553" i="29"/>
  <c r="S103" i="14"/>
  <c r="T101" i="14" s="1"/>
  <c r="T94" i="14"/>
  <c r="U95" i="14" s="1"/>
  <c r="T90" i="14"/>
  <c r="T91" i="14" s="1"/>
  <c r="U92" i="14" s="1"/>
  <c r="R117" i="14"/>
  <c r="R111" i="14" s="1"/>
  <c r="R105" i="14"/>
  <c r="R107" i="14" s="1"/>
  <c r="S106" i="14" s="1"/>
  <c r="S83" i="14"/>
  <c r="S228" i="14" s="1"/>
  <c r="R257" i="14" s="1"/>
  <c r="R261" i="14" s="1"/>
  <c r="S543" i="29" s="1"/>
  <c r="S544" i="29" s="1"/>
  <c r="S17" i="29"/>
  <c r="S20" i="29" l="1"/>
  <c r="S498" i="29" s="1"/>
  <c r="S534" i="29" s="1"/>
  <c r="S19" i="29"/>
  <c r="S497" i="29" s="1"/>
  <c r="S533" i="29" s="1"/>
  <c r="S18" i="29"/>
  <c r="S496" i="29" s="1"/>
  <c r="R519" i="29"/>
  <c r="R488" i="29"/>
  <c r="R501" i="29" s="1"/>
  <c r="R507" i="29" s="1"/>
  <c r="R520" i="29" s="1"/>
  <c r="AH560" i="29"/>
  <c r="AK560" i="29" s="1"/>
  <c r="AH461" i="29"/>
  <c r="AH463" i="29" s="1"/>
  <c r="AK532" i="29"/>
  <c r="AK285" i="29"/>
  <c r="AK451" i="29"/>
  <c r="AK461" i="29" s="1"/>
  <c r="AK463" i="29" s="1"/>
  <c r="AK546" i="29"/>
  <c r="AH447" i="29"/>
  <c r="AH517" i="29" s="1"/>
  <c r="R23" i="29"/>
  <c r="Q261" i="14"/>
  <c r="R543" i="29" s="1"/>
  <c r="R544" i="29" s="1"/>
  <c r="AH547" i="29"/>
  <c r="AH561" i="29" s="1"/>
  <c r="AK561" i="29" s="1"/>
  <c r="P566" i="29"/>
  <c r="Q558" i="29"/>
  <c r="Q566" i="29" s="1"/>
  <c r="P555" i="29"/>
  <c r="Q553" i="29"/>
  <c r="Q555" i="29" s="1"/>
  <c r="T87" i="14"/>
  <c r="T102" i="14" s="1"/>
  <c r="S105" i="14"/>
  <c r="S107" i="14" s="1"/>
  <c r="T106" i="14" s="1"/>
  <c r="S117" i="14"/>
  <c r="S111" i="14" s="1"/>
  <c r="R126" i="14"/>
  <c r="R128" i="14" s="1"/>
  <c r="S127" i="14" s="1"/>
  <c r="R138" i="14"/>
  <c r="R139" i="14" s="1"/>
  <c r="R548" i="29"/>
  <c r="R562" i="29" s="1"/>
  <c r="U96" i="14"/>
  <c r="U97" i="14" s="1"/>
  <c r="V98" i="14" s="1"/>
  <c r="V99" i="14" s="1"/>
  <c r="V100" i="14" s="1"/>
  <c r="S519" i="29" l="1"/>
  <c r="S488" i="29"/>
  <c r="S501" i="29" s="1"/>
  <c r="S507" i="29" s="1"/>
  <c r="S520" i="29" s="1"/>
  <c r="R522" i="29"/>
  <c r="AH448" i="29"/>
  <c r="AK447" i="29"/>
  <c r="AK517" i="29" s="1"/>
  <c r="S23" i="29"/>
  <c r="Q262" i="14"/>
  <c r="R262" i="14" s="1"/>
  <c r="AK547" i="29"/>
  <c r="T88" i="14"/>
  <c r="U89" i="14" s="1"/>
  <c r="S548" i="29"/>
  <c r="S562" i="29" s="1"/>
  <c r="T104" i="14"/>
  <c r="T103" i="14"/>
  <c r="U101" i="14" s="1"/>
  <c r="U93" i="14"/>
  <c r="U94" i="14" s="1"/>
  <c r="V95" i="14" s="1"/>
  <c r="S140" i="14"/>
  <c r="R141" i="14"/>
  <c r="R142" i="14" s="1"/>
  <c r="R552" i="29"/>
  <c r="R528" i="29"/>
  <c r="S126" i="14"/>
  <c r="S128" i="14" s="1"/>
  <c r="T127" i="14" s="1"/>
  <c r="S138" i="14"/>
  <c r="S139" i="14" s="1"/>
  <c r="S522" i="29" l="1"/>
  <c r="AK448" i="29"/>
  <c r="R540" i="29"/>
  <c r="R558" i="29"/>
  <c r="V96" i="14"/>
  <c r="V97" i="14" s="1"/>
  <c r="W98" i="14" s="1"/>
  <c r="W99" i="14" s="1"/>
  <c r="T140" i="14"/>
  <c r="T17" i="29"/>
  <c r="T83" i="14"/>
  <c r="T228" i="14" s="1"/>
  <c r="S257" i="14" s="1"/>
  <c r="S141" i="14"/>
  <c r="S142" i="14" s="1"/>
  <c r="U90" i="14"/>
  <c r="U91" i="14" s="1"/>
  <c r="V92" i="14" s="1"/>
  <c r="S528" i="29"/>
  <c r="S552" i="29"/>
  <c r="T18" i="29" l="1"/>
  <c r="T496" i="29" s="1"/>
  <c r="T20" i="29"/>
  <c r="T498" i="29" s="1"/>
  <c r="T534" i="29" s="1"/>
  <c r="T19" i="29"/>
  <c r="T497" i="29" s="1"/>
  <c r="T533" i="29" s="1"/>
  <c r="S261" i="14"/>
  <c r="T543" i="29" s="1"/>
  <c r="T544" i="29" s="1"/>
  <c r="W100" i="14"/>
  <c r="U87" i="14"/>
  <c r="S540" i="29"/>
  <c r="T105" i="14"/>
  <c r="T107" i="14" s="1"/>
  <c r="U106" i="14" s="1"/>
  <c r="T117" i="14"/>
  <c r="T111" i="14" s="1"/>
  <c r="R566" i="29"/>
  <c r="V93" i="14"/>
  <c r="V94" i="14" s="1"/>
  <c r="W95" i="14" s="1"/>
  <c r="W96" i="14" s="1"/>
  <c r="R553" i="29"/>
  <c r="T519" i="29" l="1"/>
  <c r="T488" i="29"/>
  <c r="T501" i="29" s="1"/>
  <c r="T507" i="29" s="1"/>
  <c r="T520" i="29" s="1"/>
  <c r="T23" i="29"/>
  <c r="S262" i="14"/>
  <c r="S558" i="29"/>
  <c r="S566" i="29" s="1"/>
  <c r="T138" i="14"/>
  <c r="T139" i="14" s="1"/>
  <c r="T126" i="14"/>
  <c r="T128" i="14" s="1"/>
  <c r="U127" i="14" s="1"/>
  <c r="W97" i="14"/>
  <c r="X98" i="14" s="1"/>
  <c r="R555" i="29"/>
  <c r="S553" i="29"/>
  <c r="S555" i="29" s="1"/>
  <c r="U102" i="14"/>
  <c r="U88" i="14"/>
  <c r="V89" i="14" s="1"/>
  <c r="T548" i="29"/>
  <c r="T562" i="29" s="1"/>
  <c r="T522" i="29" l="1"/>
  <c r="V90" i="14"/>
  <c r="V87" i="14" s="1"/>
  <c r="U104" i="14"/>
  <c r="U103" i="14"/>
  <c r="V101" i="14" s="1"/>
  <c r="X99" i="14"/>
  <c r="X100" i="14" s="1"/>
  <c r="T528" i="29"/>
  <c r="T552" i="29"/>
  <c r="T141" i="14"/>
  <c r="T142" i="14" s="1"/>
  <c r="U140" i="14"/>
  <c r="V102" i="14" l="1"/>
  <c r="V104" i="14" s="1"/>
  <c r="V88" i="14"/>
  <c r="W89" i="14" s="1"/>
  <c r="T558" i="29"/>
  <c r="T566" i="29" s="1"/>
  <c r="T540" i="29"/>
  <c r="U83" i="14"/>
  <c r="U228" i="14" s="1"/>
  <c r="T257" i="14" s="1"/>
  <c r="U17" i="29"/>
  <c r="V91" i="14"/>
  <c r="W92" i="14" s="1"/>
  <c r="U20" i="29" l="1"/>
  <c r="U498" i="29" s="1"/>
  <c r="U534" i="29" s="1"/>
  <c r="U19" i="29"/>
  <c r="U497" i="29" s="1"/>
  <c r="U533" i="29" s="1"/>
  <c r="U18" i="29"/>
  <c r="U496" i="29" s="1"/>
  <c r="T261" i="14"/>
  <c r="U543" i="29" s="1"/>
  <c r="U544" i="29" s="1"/>
  <c r="V103" i="14"/>
  <c r="W101" i="14" s="1"/>
  <c r="T553" i="29"/>
  <c r="T555" i="29" s="1"/>
  <c r="U105" i="14"/>
  <c r="U107" i="14" s="1"/>
  <c r="V106" i="14" s="1"/>
  <c r="U117" i="14"/>
  <c r="U111" i="14" s="1"/>
  <c r="W93" i="14"/>
  <c r="V17" i="29"/>
  <c r="V83" i="14"/>
  <c r="V228" i="14" s="1"/>
  <c r="U257" i="14" s="1"/>
  <c r="U261" i="14" s="1"/>
  <c r="V543" i="29" s="1"/>
  <c r="V544" i="29" s="1"/>
  <c r="V19" i="29" l="1"/>
  <c r="V497" i="29" s="1"/>
  <c r="V533" i="29" s="1"/>
  <c r="V20" i="29"/>
  <c r="V498" i="29" s="1"/>
  <c r="V534" i="29" s="1"/>
  <c r="V18" i="29"/>
  <c r="V496" i="29" s="1"/>
  <c r="U519" i="29"/>
  <c r="U488" i="29"/>
  <c r="U501" i="29" s="1"/>
  <c r="U507" i="29" s="1"/>
  <c r="U520" i="29" s="1"/>
  <c r="U23" i="29"/>
  <c r="T262" i="14"/>
  <c r="U262" i="14" s="1"/>
  <c r="U138" i="14"/>
  <c r="U139" i="14" s="1"/>
  <c r="U126" i="14"/>
  <c r="U128" i="14" s="1"/>
  <c r="V127" i="14" s="1"/>
  <c r="W90" i="14"/>
  <c r="W91" i="14" s="1"/>
  <c r="X92" i="14" s="1"/>
  <c r="W94" i="14"/>
  <c r="X95" i="14" s="1"/>
  <c r="V105" i="14"/>
  <c r="V107" i="14" s="1"/>
  <c r="W106" i="14" s="1"/>
  <c r="V117" i="14"/>
  <c r="V111" i="14" s="1"/>
  <c r="U548" i="29"/>
  <c r="U562" i="29" s="1"/>
  <c r="U522" i="29" l="1"/>
  <c r="V519" i="29"/>
  <c r="V488" i="29"/>
  <c r="V501" i="29" s="1"/>
  <c r="V507" i="29" s="1"/>
  <c r="V520" i="29" s="1"/>
  <c r="V23" i="29"/>
  <c r="W87" i="14"/>
  <c r="W88" i="14" s="1"/>
  <c r="X89" i="14" s="1"/>
  <c r="X96" i="14"/>
  <c r="X97" i="14" s="1"/>
  <c r="Y98" i="14" s="1"/>
  <c r="V126" i="14"/>
  <c r="V128" i="14" s="1"/>
  <c r="W127" i="14" s="1"/>
  <c r="V138" i="14"/>
  <c r="V139" i="14" s="1"/>
  <c r="V141" i="14" s="1"/>
  <c r="V142" i="14" s="1"/>
  <c r="U552" i="29"/>
  <c r="U528" i="29"/>
  <c r="V548" i="29"/>
  <c r="V562" i="29" s="1"/>
  <c r="V140" i="14"/>
  <c r="U141" i="14"/>
  <c r="U142" i="14" s="1"/>
  <c r="V522" i="29" l="1"/>
  <c r="W140" i="14"/>
  <c r="W102" i="14"/>
  <c r="W104" i="14" s="1"/>
  <c r="Y99" i="14"/>
  <c r="Y100" i="14" s="1"/>
  <c r="U558" i="29"/>
  <c r="U540" i="29"/>
  <c r="V528" i="29"/>
  <c r="V552" i="29"/>
  <c r="X93" i="14"/>
  <c r="X94" i="14" s="1"/>
  <c r="Y95" i="14" s="1"/>
  <c r="W103" i="14" l="1"/>
  <c r="X101" i="14" s="1"/>
  <c r="X90" i="14"/>
  <c r="X91" i="14" s="1"/>
  <c r="Y92" i="14" s="1"/>
  <c r="V540" i="29"/>
  <c r="U566" i="29"/>
  <c r="W83" i="14"/>
  <c r="W228" i="14" s="1"/>
  <c r="V257" i="14" s="1"/>
  <c r="W17" i="29"/>
  <c r="U553" i="29"/>
  <c r="Y96" i="14"/>
  <c r="W18" i="29" l="1"/>
  <c r="W496" i="29" s="1"/>
  <c r="W19" i="29"/>
  <c r="W20" i="29"/>
  <c r="V261" i="14"/>
  <c r="W543" i="29" s="1"/>
  <c r="W544" i="29" s="1"/>
  <c r="Y93" i="14"/>
  <c r="Y94" i="14" s="1"/>
  <c r="Z95" i="14" s="1"/>
  <c r="Z96" i="14" s="1"/>
  <c r="Z97" i="14" s="1"/>
  <c r="AA98" i="14" s="1"/>
  <c r="X87" i="14"/>
  <c r="X102" i="14" s="1"/>
  <c r="Y97" i="14"/>
  <c r="Z98" i="14" s="1"/>
  <c r="Z99" i="14" s="1"/>
  <c r="Z100" i="14" s="1"/>
  <c r="U555" i="29"/>
  <c r="V553" i="29"/>
  <c r="V555" i="29" s="1"/>
  <c r="V558" i="29"/>
  <c r="V566" i="29" s="1"/>
  <c r="W105" i="14"/>
  <c r="W107" i="14" s="1"/>
  <c r="X106" i="14" s="1"/>
  <c r="W117" i="14"/>
  <c r="W111" i="14" s="1"/>
  <c r="W519" i="29" l="1"/>
  <c r="W23" i="29"/>
  <c r="V262" i="14"/>
  <c r="X88" i="14"/>
  <c r="Y89" i="14" s="1"/>
  <c r="Y90" i="14" s="1"/>
  <c r="Y87" i="14" s="1"/>
  <c r="AA99" i="14"/>
  <c r="AA100" i="14" s="1"/>
  <c r="W498" i="29"/>
  <c r="W534" i="29" s="1"/>
  <c r="W497" i="29"/>
  <c r="X104" i="14"/>
  <c r="X103" i="14"/>
  <c r="Y101" i="14" s="1"/>
  <c r="W126" i="14"/>
  <c r="W128" i="14" s="1"/>
  <c r="X127" i="14" s="1"/>
  <c r="W138" i="14"/>
  <c r="W139" i="14" s="1"/>
  <c r="W488" i="29" l="1"/>
  <c r="W533" i="29"/>
  <c r="X140" i="14"/>
  <c r="W141" i="14"/>
  <c r="W142" i="14" s="1"/>
  <c r="Y102" i="14"/>
  <c r="Y104" i="14" s="1"/>
  <c r="Y88" i="14"/>
  <c r="Z89" i="14" s="1"/>
  <c r="Y91" i="14"/>
  <c r="Z92" i="14" s="1"/>
  <c r="X83" i="14"/>
  <c r="X228" i="14" s="1"/>
  <c r="X17" i="29"/>
  <c r="X20" i="29" l="1"/>
  <c r="X19" i="29"/>
  <c r="X18" i="29"/>
  <c r="X496" i="29" s="1"/>
  <c r="W257" i="14"/>
  <c r="AI228" i="14"/>
  <c r="D83" i="52" s="1"/>
  <c r="D85" i="52" s="1"/>
  <c r="Z204" i="52" s="1"/>
  <c r="W548" i="29"/>
  <c r="W562" i="29" s="1"/>
  <c r="Z93" i="14"/>
  <c r="Y83" i="14"/>
  <c r="Y228" i="14" s="1"/>
  <c r="X257" i="14" s="1"/>
  <c r="X261" i="14" s="1"/>
  <c r="Y543" i="29" s="1"/>
  <c r="Y544" i="29" s="1"/>
  <c r="Y17" i="29"/>
  <c r="W501" i="29"/>
  <c r="Y103" i="14"/>
  <c r="Z101" i="14" s="1"/>
  <c r="AJ17" i="29"/>
  <c r="X105" i="14"/>
  <c r="X107" i="14" s="1"/>
  <c r="Y106" i="14" s="1"/>
  <c r="X117" i="14"/>
  <c r="X111" i="14" s="1"/>
  <c r="Y20" i="29" l="1"/>
  <c r="Y498" i="29" s="1"/>
  <c r="Y534" i="29" s="1"/>
  <c r="Y18" i="29"/>
  <c r="Y496" i="29" s="1"/>
  <c r="Y19" i="29"/>
  <c r="Y497" i="29" s="1"/>
  <c r="Y533" i="29" s="1"/>
  <c r="AJ20" i="29"/>
  <c r="AJ19" i="29"/>
  <c r="AJ18" i="29"/>
  <c r="AJ496" i="29" s="1"/>
  <c r="X519" i="29"/>
  <c r="X23" i="29"/>
  <c r="Z3" i="52"/>
  <c r="W261" i="14"/>
  <c r="X543" i="29" s="1"/>
  <c r="X544" i="29" s="1"/>
  <c r="AH257" i="14"/>
  <c r="W507" i="29"/>
  <c r="W520" i="29" s="1"/>
  <c r="W522" i="29" s="1"/>
  <c r="X126" i="14"/>
  <c r="X128" i="14" s="1"/>
  <c r="Y127" i="14" s="1"/>
  <c r="X138" i="14"/>
  <c r="X139" i="14" s="1"/>
  <c r="X497" i="29"/>
  <c r="X533" i="29" s="1"/>
  <c r="Y105" i="14"/>
  <c r="Y107" i="14" s="1"/>
  <c r="Z106" i="14" s="1"/>
  <c r="Y117" i="14"/>
  <c r="Y111" i="14" s="1"/>
  <c r="X498" i="29"/>
  <c r="X534" i="29" s="1"/>
  <c r="Z90" i="14"/>
  <c r="Z91" i="14" s="1"/>
  <c r="AA92" i="14" s="1"/>
  <c r="Z94" i="14"/>
  <c r="AA95" i="14" s="1"/>
  <c r="Y519" i="29" l="1"/>
  <c r="Y488" i="29"/>
  <c r="Y501" i="29" s="1"/>
  <c r="Y507" i="29" s="1"/>
  <c r="Y520" i="29" s="1"/>
  <c r="AJ519" i="29"/>
  <c r="X488" i="29"/>
  <c r="AJ23" i="29"/>
  <c r="Y23" i="29"/>
  <c r="AH261" i="14"/>
  <c r="W262" i="14"/>
  <c r="Y548" i="29"/>
  <c r="AJ498" i="29"/>
  <c r="AJ534" i="29" s="1"/>
  <c r="Y126" i="14"/>
  <c r="Y128" i="14" s="1"/>
  <c r="Z127" i="14" s="1"/>
  <c r="Y138" i="14"/>
  <c r="Y139" i="14" s="1"/>
  <c r="Z140" i="14" s="1"/>
  <c r="AJ533" i="29"/>
  <c r="D210" i="52" s="1"/>
  <c r="AJ497" i="29"/>
  <c r="AA96" i="14"/>
  <c r="AA97" i="14" s="1"/>
  <c r="AB98" i="14" s="1"/>
  <c r="AB99" i="14" s="1"/>
  <c r="Z87" i="14"/>
  <c r="AI3" i="52"/>
  <c r="Z120" i="52" s="1"/>
  <c r="Y140" i="14"/>
  <c r="C140" i="14"/>
  <c r="T9" i="52" s="1"/>
  <c r="X141" i="14"/>
  <c r="X142" i="14" s="1"/>
  <c r="W552" i="29"/>
  <c r="W528" i="29"/>
  <c r="AJ488" i="29" l="1"/>
  <c r="Y522" i="29"/>
  <c r="AH262" i="14"/>
  <c r="X262" i="14"/>
  <c r="T153" i="52"/>
  <c r="Y141" i="14"/>
  <c r="Y142" i="14" s="1"/>
  <c r="Y552" i="29"/>
  <c r="Y528" i="29"/>
  <c r="X501" i="29"/>
  <c r="W540" i="29"/>
  <c r="Z102" i="14"/>
  <c r="Z88" i="14"/>
  <c r="AA89" i="14" s="1"/>
  <c r="X548" i="29"/>
  <c r="D211" i="52"/>
  <c r="D212" i="52" s="1"/>
  <c r="Z209" i="52" s="1"/>
  <c r="AB5" i="52" s="1"/>
  <c r="AB100" i="14"/>
  <c r="AA93" i="14"/>
  <c r="AA94" i="14" s="1"/>
  <c r="AB95" i="14" s="1"/>
  <c r="AB96" i="14" s="1"/>
  <c r="T13" i="52" l="1"/>
  <c r="S159" i="52" s="1"/>
  <c r="AA90" i="14"/>
  <c r="AA91" i="14" s="1"/>
  <c r="AB92" i="14" s="1"/>
  <c r="AB93" i="14" s="1"/>
  <c r="AB94" i="14" s="1"/>
  <c r="AC95" i="14" s="1"/>
  <c r="Z104" i="14"/>
  <c r="Z103" i="14"/>
  <c r="AA101" i="14" s="1"/>
  <c r="AB97" i="14"/>
  <c r="AC98" i="14" s="1"/>
  <c r="AC99" i="14" s="1"/>
  <c r="W558" i="29"/>
  <c r="X507" i="29"/>
  <c r="X520" i="29" s="1"/>
  <c r="X522" i="29" s="1"/>
  <c r="AJ501" i="29"/>
  <c r="AJ548" i="29"/>
  <c r="X562" i="29"/>
  <c r="Y540" i="29"/>
  <c r="AJ520" i="29" l="1"/>
  <c r="AJ522" i="29" s="1"/>
  <c r="AA87" i="14"/>
  <c r="AA88" i="14" s="1"/>
  <c r="AB89" i="14" s="1"/>
  <c r="Z83" i="14"/>
  <c r="Z228" i="14" s="1"/>
  <c r="Y257" i="14" s="1"/>
  <c r="Y261" i="14" s="1"/>
  <c r="Z17" i="29"/>
  <c r="AC96" i="14"/>
  <c r="AC97" i="14" s="1"/>
  <c r="AD98" i="14" s="1"/>
  <c r="AD99" i="14" s="1"/>
  <c r="AD100" i="14" s="1"/>
  <c r="Y562" i="29"/>
  <c r="AJ562" i="29"/>
  <c r="AC100" i="14"/>
  <c r="X528" i="29"/>
  <c r="AJ507" i="29"/>
  <c r="AJ509" i="29"/>
  <c r="W553" i="29"/>
  <c r="W566" i="29"/>
  <c r="Y262" i="14" l="1"/>
  <c r="Z543" i="29"/>
  <c r="Z544" i="29" s="1"/>
  <c r="Z19" i="29"/>
  <c r="Z497" i="29" s="1"/>
  <c r="Z533" i="29" s="1"/>
  <c r="Z20" i="29"/>
  <c r="Z498" i="29" s="1"/>
  <c r="Z534" i="29" s="1"/>
  <c r="Z18" i="29"/>
  <c r="Z496" i="29" s="1"/>
  <c r="AJ543" i="29"/>
  <c r="X552" i="29"/>
  <c r="AA102" i="14"/>
  <c r="AA104" i="14" s="1"/>
  <c r="AA83" i="14" s="1"/>
  <c r="AA228" i="14" s="1"/>
  <c r="Z257" i="14" s="1"/>
  <c r="Z261" i="14" s="1"/>
  <c r="AB90" i="14"/>
  <c r="AB87" i="14" s="1"/>
  <c r="X540" i="29"/>
  <c r="AJ528" i="29"/>
  <c r="W555" i="29"/>
  <c r="Z117" i="14"/>
  <c r="Z111" i="14" s="1"/>
  <c r="Z105" i="14"/>
  <c r="Z107" i="14" s="1"/>
  <c r="AA106" i="14" s="1"/>
  <c r="Z262" i="14" l="1"/>
  <c r="AA543" i="29"/>
  <c r="AA544" i="29" s="1"/>
  <c r="Z519" i="29"/>
  <c r="Z488" i="29"/>
  <c r="Z501" i="29" s="1"/>
  <c r="Z507" i="29" s="1"/>
  <c r="Z520" i="29" s="1"/>
  <c r="Z23" i="29"/>
  <c r="AA17" i="29"/>
  <c r="AA103" i="14"/>
  <c r="AB101" i="14" s="1"/>
  <c r="AJ540" i="29"/>
  <c r="AB88" i="14"/>
  <c r="AC89" i="14" s="1"/>
  <c r="AB102" i="14"/>
  <c r="AB104" i="14" s="1"/>
  <c r="AJ544" i="29"/>
  <c r="X558" i="29"/>
  <c r="AB91" i="14"/>
  <c r="AC92" i="14" s="1"/>
  <c r="Z138" i="14"/>
  <c r="Z139" i="14" s="1"/>
  <c r="Z126" i="14"/>
  <c r="Z128" i="14" s="1"/>
  <c r="AA127" i="14" s="1"/>
  <c r="Z548" i="29"/>
  <c r="Z562" i="29" s="1"/>
  <c r="AA105" i="14"/>
  <c r="AA107" i="14" s="1"/>
  <c r="AB106" i="14" s="1"/>
  <c r="AA117" i="14"/>
  <c r="AA111" i="14" s="1"/>
  <c r="AJ552" i="29" l="1"/>
  <c r="D200" i="52"/>
  <c r="AA19" i="29"/>
  <c r="AA497" i="29" s="1"/>
  <c r="AA533" i="29" s="1"/>
  <c r="AA18" i="29"/>
  <c r="AA496" i="29" s="1"/>
  <c r="AA20" i="29"/>
  <c r="AA498" i="29" s="1"/>
  <c r="AA534" i="29" s="1"/>
  <c r="Z522" i="29"/>
  <c r="Z552" i="29"/>
  <c r="Z528" i="29"/>
  <c r="X566" i="29"/>
  <c r="Y558" i="29"/>
  <c r="Y566" i="29" s="1"/>
  <c r="AJ558" i="29"/>
  <c r="AJ566" i="29" s="1"/>
  <c r="Z141" i="14"/>
  <c r="Z142" i="14" s="1"/>
  <c r="AA140" i="14"/>
  <c r="C554" i="29"/>
  <c r="T162" i="52" s="1"/>
  <c r="X553" i="29"/>
  <c r="AB83" i="14"/>
  <c r="AB228" i="14" s="1"/>
  <c r="AA257" i="14" s="1"/>
  <c r="AA261" i="14" s="1"/>
  <c r="AB17" i="29"/>
  <c r="AA126" i="14"/>
  <c r="AA128" i="14" s="1"/>
  <c r="AB127" i="14" s="1"/>
  <c r="AA138" i="14"/>
  <c r="AA139" i="14" s="1"/>
  <c r="AA141" i="14" s="1"/>
  <c r="AA142" i="14" s="1"/>
  <c r="AB103" i="14"/>
  <c r="AC101" i="14" s="1"/>
  <c r="Z205" i="52"/>
  <c r="AC93" i="14"/>
  <c r="AC90" i="14" s="1"/>
  <c r="AC87" i="14" s="1"/>
  <c r="AA262" i="14" l="1"/>
  <c r="AB543" i="29"/>
  <c r="AB544" i="29" s="1"/>
  <c r="AB20" i="29"/>
  <c r="AB498" i="29" s="1"/>
  <c r="AB534" i="29" s="1"/>
  <c r="AB18" i="29"/>
  <c r="AB496" i="29" s="1"/>
  <c r="AB19" i="29"/>
  <c r="AB497" i="29" s="1"/>
  <c r="AB533" i="29" s="1"/>
  <c r="AA519" i="29"/>
  <c r="AA488" i="29"/>
  <c r="AA501" i="29" s="1"/>
  <c r="AA507" i="29" s="1"/>
  <c r="AA23" i="29"/>
  <c r="AA548" i="29"/>
  <c r="AA562" i="29" s="1"/>
  <c r="AB140" i="14"/>
  <c r="AB105" i="14"/>
  <c r="AB107" i="14" s="1"/>
  <c r="AC106" i="14" s="1"/>
  <c r="AB117" i="14"/>
  <c r="AB111" i="14" s="1"/>
  <c r="AC102" i="14"/>
  <c r="AC104" i="14" s="1"/>
  <c r="AC88" i="14"/>
  <c r="AD89" i="14" s="1"/>
  <c r="AC91" i="14"/>
  <c r="AD92" i="14" s="1"/>
  <c r="X555" i="29"/>
  <c r="Y553" i="29"/>
  <c r="Y555" i="29" s="1"/>
  <c r="AC94" i="14"/>
  <c r="AD95" i="14" s="1"/>
  <c r="Z540" i="29"/>
  <c r="Z558" i="29"/>
  <c r="AB519" i="29" l="1"/>
  <c r="AB488" i="29"/>
  <c r="AB501" i="29" s="1"/>
  <c r="AB507" i="29" s="1"/>
  <c r="AB520" i="29" s="1"/>
  <c r="AB23" i="29"/>
  <c r="AA528" i="29"/>
  <c r="AA540" i="29" s="1"/>
  <c r="AA520" i="29"/>
  <c r="AA522" i="29" s="1"/>
  <c r="AA552" i="29"/>
  <c r="Z553" i="29"/>
  <c r="Z555" i="29" s="1"/>
  <c r="AC103" i="14"/>
  <c r="AD101" i="14" s="1"/>
  <c r="AB548" i="29"/>
  <c r="AB562" i="29" s="1"/>
  <c r="AD96" i="14"/>
  <c r="AD97" i="14" s="1"/>
  <c r="AE98" i="14" s="1"/>
  <c r="AC17" i="29"/>
  <c r="AC83" i="14"/>
  <c r="AC228" i="14" s="1"/>
  <c r="AB257" i="14" s="1"/>
  <c r="AB261" i="14" s="1"/>
  <c r="AB138" i="14"/>
  <c r="AB139" i="14" s="1"/>
  <c r="AB126" i="14"/>
  <c r="AB128" i="14" s="1"/>
  <c r="AC127" i="14" s="1"/>
  <c r="Z566" i="29"/>
  <c r="AB262" i="14" l="1"/>
  <c r="AC543" i="29"/>
  <c r="AC544" i="29" s="1"/>
  <c r="AC20" i="29"/>
  <c r="AC498" i="29" s="1"/>
  <c r="AC534" i="29" s="1"/>
  <c r="AC19" i="29"/>
  <c r="AC497" i="29" s="1"/>
  <c r="AC533" i="29" s="1"/>
  <c r="AC18" i="29"/>
  <c r="AC496" i="29" s="1"/>
  <c r="AB522" i="29"/>
  <c r="AA558" i="29"/>
  <c r="AA566" i="29" s="1"/>
  <c r="AA553" i="29"/>
  <c r="AA555" i="29" s="1"/>
  <c r="AE99" i="14"/>
  <c r="AE100" i="14" s="1"/>
  <c r="AD93" i="14"/>
  <c r="AD94" i="14" s="1"/>
  <c r="AE95" i="14" s="1"/>
  <c r="AE96" i="14" s="1"/>
  <c r="AC105" i="14"/>
  <c r="AC107" i="14" s="1"/>
  <c r="AD106" i="14" s="1"/>
  <c r="AC117" i="14"/>
  <c r="AC111" i="14" s="1"/>
  <c r="AB141" i="14"/>
  <c r="AB142" i="14" s="1"/>
  <c r="AC140" i="14"/>
  <c r="AB552" i="29"/>
  <c r="AB528" i="29"/>
  <c r="AC519" i="29" l="1"/>
  <c r="AC488" i="29"/>
  <c r="AC501" i="29" s="1"/>
  <c r="AC507" i="29" s="1"/>
  <c r="AC520" i="29" s="1"/>
  <c r="AC23" i="29"/>
  <c r="AD90" i="14"/>
  <c r="AE97" i="14"/>
  <c r="AF98" i="14" s="1"/>
  <c r="AB540" i="29"/>
  <c r="AB558" i="29"/>
  <c r="AC126" i="14"/>
  <c r="AC128" i="14" s="1"/>
  <c r="AD127" i="14" s="1"/>
  <c r="AC138" i="14"/>
  <c r="AC139" i="14" s="1"/>
  <c r="AC548" i="29"/>
  <c r="AC562" i="29" s="1"/>
  <c r="AC522" i="29" l="1"/>
  <c r="AC141" i="14"/>
  <c r="AC142" i="14" s="1"/>
  <c r="AD140" i="14"/>
  <c r="AB566" i="29"/>
  <c r="AB553" i="29"/>
  <c r="AF99" i="14"/>
  <c r="AF100" i="14" s="1"/>
  <c r="AC528" i="29"/>
  <c r="AC552" i="29"/>
  <c r="AD87" i="14"/>
  <c r="AD91" i="14"/>
  <c r="AE92" i="14" s="1"/>
  <c r="AE93" i="14" s="1"/>
  <c r="AB555" i="29" l="1"/>
  <c r="AE94" i="14"/>
  <c r="AF95" i="14" s="1"/>
  <c r="AD102" i="14"/>
  <c r="AD88" i="14"/>
  <c r="AE89" i="14" s="1"/>
  <c r="AE90" i="14" s="1"/>
  <c r="AC540" i="29"/>
  <c r="AE91" i="14" l="1"/>
  <c r="AF92" i="14" s="1"/>
  <c r="AE87" i="14"/>
  <c r="AD104" i="14"/>
  <c r="AD103" i="14"/>
  <c r="AE101" i="14" s="1"/>
  <c r="AC553" i="29"/>
  <c r="AC555" i="29" s="1"/>
  <c r="AC558" i="29"/>
  <c r="AC566" i="29" s="1"/>
  <c r="AF96" i="14"/>
  <c r="AF97" i="14" s="1"/>
  <c r="AG98" i="14" s="1"/>
  <c r="AG99" i="14" l="1"/>
  <c r="AD17" i="29"/>
  <c r="AD83" i="14"/>
  <c r="AD228" i="14" s="1"/>
  <c r="AC257" i="14" s="1"/>
  <c r="AC261" i="14" s="1"/>
  <c r="AF93" i="14"/>
  <c r="AF94" i="14" s="1"/>
  <c r="AG95" i="14" s="1"/>
  <c r="AE102" i="14"/>
  <c r="AE104" i="14" s="1"/>
  <c r="AE88" i="14"/>
  <c r="AF89" i="14" s="1"/>
  <c r="AC262" i="14" l="1"/>
  <c r="AD543" i="29"/>
  <c r="AD544" i="29" s="1"/>
  <c r="AD19" i="29"/>
  <c r="AD497" i="29" s="1"/>
  <c r="AD533" i="29" s="1"/>
  <c r="AD18" i="29"/>
  <c r="AD496" i="29" s="1"/>
  <c r="AD20" i="29"/>
  <c r="AD498" i="29" s="1"/>
  <c r="AD534" i="29" s="1"/>
  <c r="AG96" i="14"/>
  <c r="AG97" i="14" s="1"/>
  <c r="AH98" i="14" s="1"/>
  <c r="AE83" i="14"/>
  <c r="AE228" i="14" s="1"/>
  <c r="AD257" i="14" s="1"/>
  <c r="AD261" i="14" s="1"/>
  <c r="AE17" i="29"/>
  <c r="AF90" i="14"/>
  <c r="AF87" i="14" s="1"/>
  <c r="AE103" i="14"/>
  <c r="AF101" i="14" s="1"/>
  <c r="AD105" i="14"/>
  <c r="AD107" i="14" s="1"/>
  <c r="AE106" i="14" s="1"/>
  <c r="AD117" i="14"/>
  <c r="AD111" i="14" s="1"/>
  <c r="AG100" i="14"/>
  <c r="AD262" i="14" l="1"/>
  <c r="AE543" i="29"/>
  <c r="AE544" i="29" s="1"/>
  <c r="AE18" i="29"/>
  <c r="AE496" i="29" s="1"/>
  <c r="AE20" i="29"/>
  <c r="AE498" i="29" s="1"/>
  <c r="AE534" i="29" s="1"/>
  <c r="AE19" i="29"/>
  <c r="AE497" i="29" s="1"/>
  <c r="AE533" i="29" s="1"/>
  <c r="AD519" i="29"/>
  <c r="AD488" i="29"/>
  <c r="AD501" i="29" s="1"/>
  <c r="AD507" i="29" s="1"/>
  <c r="AD520" i="29" s="1"/>
  <c r="AD23" i="29"/>
  <c r="AF102" i="14"/>
  <c r="AF104" i="14" s="1"/>
  <c r="AF88" i="14"/>
  <c r="AG89" i="14" s="1"/>
  <c r="AF91" i="14"/>
  <c r="AG92" i="14" s="1"/>
  <c r="AG93" i="14" s="1"/>
  <c r="AE117" i="14"/>
  <c r="AE111" i="14" s="1"/>
  <c r="AE105" i="14"/>
  <c r="AE107" i="14" s="1"/>
  <c r="AF106" i="14" s="1"/>
  <c r="AD138" i="14"/>
  <c r="AD139" i="14" s="1"/>
  <c r="AD126" i="14"/>
  <c r="AD128" i="14" s="1"/>
  <c r="AE127" i="14" s="1"/>
  <c r="AH99" i="14"/>
  <c r="AH100" i="14" s="1"/>
  <c r="AD548" i="29"/>
  <c r="AD562" i="29" s="1"/>
  <c r="AD522" i="29" l="1"/>
  <c r="AE519" i="29"/>
  <c r="AE488" i="29"/>
  <c r="AE501" i="29" s="1"/>
  <c r="AE507" i="29" s="1"/>
  <c r="AE520" i="29" s="1"/>
  <c r="AE23" i="29"/>
  <c r="AF103" i="14"/>
  <c r="AG101" i="14" s="1"/>
  <c r="AG94" i="14"/>
  <c r="AH95" i="14" s="1"/>
  <c r="AH96" i="14" s="1"/>
  <c r="AG90" i="14"/>
  <c r="AG91" i="14" s="1"/>
  <c r="AH92" i="14" s="1"/>
  <c r="AE138" i="14"/>
  <c r="AE139" i="14" s="1"/>
  <c r="AE141" i="14" s="1"/>
  <c r="AE142" i="14" s="1"/>
  <c r="AE126" i="14"/>
  <c r="AE128" i="14" s="1"/>
  <c r="AF127" i="14" s="1"/>
  <c r="AE548" i="29"/>
  <c r="AE562" i="29" s="1"/>
  <c r="AD552" i="29"/>
  <c r="AD528" i="29"/>
  <c r="AE140" i="14"/>
  <c r="AD141" i="14"/>
  <c r="AD142" i="14" s="1"/>
  <c r="AF83" i="14"/>
  <c r="AF228" i="14" s="1"/>
  <c r="AE257" i="14" s="1"/>
  <c r="AE261" i="14" s="1"/>
  <c r="AF17" i="29"/>
  <c r="AE262" i="14" l="1"/>
  <c r="AF543" i="29"/>
  <c r="AF544" i="29" s="1"/>
  <c r="AF18" i="29"/>
  <c r="AF496" i="29" s="1"/>
  <c r="AF20" i="29"/>
  <c r="AF19" i="29"/>
  <c r="AE522" i="29"/>
  <c r="AF140" i="14"/>
  <c r="AG87" i="14"/>
  <c r="AG102" i="14" s="1"/>
  <c r="AF117" i="14"/>
  <c r="AF111" i="14" s="1"/>
  <c r="AF105" i="14"/>
  <c r="AD558" i="29"/>
  <c r="AD566" i="29" s="1"/>
  <c r="AD540" i="29"/>
  <c r="AH97" i="14"/>
  <c r="AH93" i="14"/>
  <c r="AH94" i="14" s="1"/>
  <c r="AE552" i="29"/>
  <c r="AE528" i="29"/>
  <c r="AF519" i="29" l="1"/>
  <c r="AF23" i="29"/>
  <c r="AG88" i="14"/>
  <c r="AH89" i="14" s="1"/>
  <c r="AH90" i="14" s="1"/>
  <c r="AH87" i="14" s="1"/>
  <c r="AD553" i="29"/>
  <c r="AD555" i="29" s="1"/>
  <c r="AF497" i="29"/>
  <c r="AF533" i="29" s="1"/>
  <c r="AF498" i="29"/>
  <c r="AF534" i="29" s="1"/>
  <c r="AE558" i="29"/>
  <c r="AE540" i="29"/>
  <c r="AF107" i="14"/>
  <c r="AG106" i="14" s="1"/>
  <c r="AG104" i="14"/>
  <c r="AG103" i="14"/>
  <c r="AH101" i="14" s="1"/>
  <c r="AF126" i="14"/>
  <c r="AF128" i="14" s="1"/>
  <c r="AG127" i="14" s="1"/>
  <c r="AF138" i="14"/>
  <c r="AF139" i="14" s="1"/>
  <c r="AF488" i="29" l="1"/>
  <c r="AE553" i="29"/>
  <c r="AE555" i="29" s="1"/>
  <c r="AG140" i="14"/>
  <c r="AF141" i="14"/>
  <c r="AF142" i="14" s="1"/>
  <c r="AE566" i="29"/>
  <c r="AG83" i="14"/>
  <c r="AG228" i="14" s="1"/>
  <c r="AF257" i="14" s="1"/>
  <c r="AF261" i="14" s="1"/>
  <c r="AG17" i="29"/>
  <c r="AH102" i="14"/>
  <c r="AH104" i="14" s="1"/>
  <c r="AH88" i="14"/>
  <c r="AH91" i="14"/>
  <c r="AF262" i="14" l="1"/>
  <c r="AG543" i="29"/>
  <c r="AG544" i="29" s="1"/>
  <c r="AG19" i="29"/>
  <c r="AG20" i="29"/>
  <c r="AG18" i="29"/>
  <c r="AG496" i="29" s="1"/>
  <c r="AF548" i="29"/>
  <c r="AF562" i="29" s="1"/>
  <c r="AH83" i="14"/>
  <c r="AH17" i="29"/>
  <c r="AG105" i="14"/>
  <c r="AG117" i="14"/>
  <c r="AG111" i="14" s="1"/>
  <c r="AH103" i="14"/>
  <c r="AF501" i="29"/>
  <c r="AH19" i="29" l="1"/>
  <c r="AH497" i="29" s="1"/>
  <c r="AH533" i="29" s="1"/>
  <c r="AH18" i="29"/>
  <c r="AH496" i="29" s="1"/>
  <c r="AH20" i="29"/>
  <c r="AH498" i="29" s="1"/>
  <c r="AH534" i="29" s="1"/>
  <c r="AG519" i="29"/>
  <c r="AG23" i="29"/>
  <c r="AI83" i="14"/>
  <c r="AH228" i="14"/>
  <c r="AG257" i="14" s="1"/>
  <c r="AG498" i="29"/>
  <c r="AG534" i="29" s="1"/>
  <c r="AH117" i="14"/>
  <c r="AH111" i="14" s="1"/>
  <c r="AH105" i="14"/>
  <c r="AG107" i="14"/>
  <c r="AH106" i="14" s="1"/>
  <c r="AG497" i="29"/>
  <c r="AG533" i="29" s="1"/>
  <c r="AF507" i="29"/>
  <c r="AF520" i="29" s="1"/>
  <c r="AF522" i="29" s="1"/>
  <c r="AG138" i="14"/>
  <c r="AG139" i="14" s="1"/>
  <c r="AG126" i="14"/>
  <c r="AG128" i="14" s="1"/>
  <c r="AH127" i="14" s="1"/>
  <c r="AK17" i="29"/>
  <c r="AK20" i="29" l="1"/>
  <c r="AK19" i="29"/>
  <c r="AK18" i="29"/>
  <c r="AK496" i="29" s="1"/>
  <c r="AH519" i="29"/>
  <c r="AH488" i="29"/>
  <c r="AH501" i="29" s="1"/>
  <c r="AH507" i="29" s="1"/>
  <c r="AH520" i="29" s="1"/>
  <c r="AG488" i="29"/>
  <c r="AH23" i="29"/>
  <c r="AG261" i="14"/>
  <c r="AH543" i="29" s="1"/>
  <c r="AH544" i="29" s="1"/>
  <c r="AI257" i="14"/>
  <c r="AH138" i="14"/>
  <c r="AH139" i="14" s="1"/>
  <c r="AH141" i="14" s="1"/>
  <c r="AH142" i="14" s="1"/>
  <c r="AH126" i="14"/>
  <c r="AI126" i="14" s="1"/>
  <c r="AH140" i="14"/>
  <c r="AG141" i="14"/>
  <c r="AG142" i="14" s="1"/>
  <c r="T11" i="52" s="1"/>
  <c r="U156" i="52" s="1"/>
  <c r="AF552" i="29"/>
  <c r="AF528" i="29"/>
  <c r="AK497" i="29"/>
  <c r="AH107" i="14"/>
  <c r="AI107" i="14" s="1"/>
  <c r="AI105" i="14"/>
  <c r="AK498" i="29"/>
  <c r="AK534" i="29" s="1"/>
  <c r="AH522" i="29" l="1"/>
  <c r="AK519" i="29"/>
  <c r="AK488" i="29"/>
  <c r="AK23" i="29"/>
  <c r="AI261" i="14"/>
  <c r="AG262" i="14"/>
  <c r="AI262" i="14" s="1"/>
  <c r="AG548" i="29"/>
  <c r="AG562" i="29" s="1"/>
  <c r="AK533" i="29"/>
  <c r="AF540" i="29"/>
  <c r="AH4" i="52"/>
  <c r="AC120" i="52" s="1"/>
  <c r="AH548" i="29"/>
  <c r="AG501" i="29"/>
  <c r="AH528" i="29"/>
  <c r="AH128" i="14"/>
  <c r="AH552" i="29" l="1"/>
  <c r="AK548" i="29"/>
  <c r="AH562" i="29"/>
  <c r="AK562" i="29" s="1"/>
  <c r="AG507" i="29"/>
  <c r="AG520" i="29" s="1"/>
  <c r="AG522" i="29" s="1"/>
  <c r="AK501" i="29"/>
  <c r="AH540" i="29"/>
  <c r="AF553" i="29"/>
  <c r="AF555" i="29" s="1"/>
  <c r="AF558" i="29"/>
  <c r="AK520" i="29" l="1"/>
  <c r="AK522" i="29" s="1"/>
  <c r="AF566" i="29"/>
  <c r="AG552" i="29"/>
  <c r="AG528" i="29"/>
  <c r="AK507" i="29"/>
  <c r="AK509" i="29"/>
  <c r="AG540" i="29" l="1"/>
  <c r="AG553" i="29"/>
  <c r="AK528" i="29"/>
  <c r="AK543" i="29"/>
  <c r="AK540" i="29" l="1"/>
  <c r="AG558" i="29"/>
  <c r="AK544" i="29"/>
  <c r="AK552" i="29" s="1"/>
  <c r="AG555" i="29"/>
  <c r="AH553" i="29"/>
  <c r="AH555" i="29" s="1"/>
  <c r="C555" i="29" l="1"/>
  <c r="U165" i="52" s="1"/>
  <c r="AG566" i="29"/>
  <c r="AH558" i="29"/>
  <c r="AH566" i="29" s="1"/>
  <c r="AK558" i="29" l="1"/>
  <c r="AK566" i="29" s="1"/>
</calcChain>
</file>

<file path=xl/comments1.xml><?xml version="1.0" encoding="utf-8"?>
<comments xmlns="http://schemas.openxmlformats.org/spreadsheetml/2006/main">
  <authors>
    <author>境澤亮祐</author>
  </authors>
  <commentList>
    <comment ref="G29" authorId="0" shapeId="0">
      <text>
        <r>
          <rPr>
            <b/>
            <sz val="9"/>
            <color indexed="81"/>
            <rFont val="ＭＳ Ｐゴシック"/>
            <family val="3"/>
            <charset val="128"/>
          </rPr>
          <t>境澤亮祐:仮置で根拠なしなので注意</t>
        </r>
      </text>
    </comment>
  </commentList>
</comments>
</file>

<file path=xl/comments2.xml><?xml version="1.0" encoding="utf-8"?>
<comments xmlns="http://schemas.openxmlformats.org/spreadsheetml/2006/main">
  <authors>
    <author>共通イントラ</author>
  </authors>
  <commentList>
    <comment ref="AI15" authorId="0" shapeId="0">
      <text>
        <r>
          <rPr>
            <b/>
            <sz val="9"/>
            <color indexed="81"/>
            <rFont val="ＭＳ Ｐゴシック"/>
            <family val="3"/>
            <charset val="128"/>
          </rPr>
          <t>2030年まで合計</t>
        </r>
      </text>
    </comment>
  </commentList>
</comments>
</file>

<file path=xl/sharedStrings.xml><?xml version="1.0" encoding="utf-8"?>
<sst xmlns="http://schemas.openxmlformats.org/spreadsheetml/2006/main" count="3001" uniqueCount="1219">
  <si>
    <t>円</t>
    <rPh sb="0" eb="1">
      <t>エン</t>
    </rPh>
    <phoneticPr fontId="5"/>
  </si>
  <si>
    <t>単位</t>
    <rPh sb="0" eb="2">
      <t>タンイ</t>
    </rPh>
    <phoneticPr fontId="5"/>
  </si>
  <si>
    <t>熱量</t>
    <rPh sb="0" eb="2">
      <t>ネツリョウ</t>
    </rPh>
    <phoneticPr fontId="5"/>
  </si>
  <si>
    <t>電気</t>
    <rPh sb="0" eb="2">
      <t>デンキ</t>
    </rPh>
    <phoneticPr fontId="5"/>
  </si>
  <si>
    <t>熱</t>
    <rPh sb="0" eb="1">
      <t>ネツ</t>
    </rPh>
    <phoneticPr fontId="5"/>
  </si>
  <si>
    <t>運用費（変動）</t>
    <rPh sb="0" eb="2">
      <t>ウンヨウ</t>
    </rPh>
    <rPh sb="2" eb="3">
      <t>ヒ</t>
    </rPh>
    <rPh sb="4" eb="6">
      <t>ヘンドウ</t>
    </rPh>
    <phoneticPr fontId="5"/>
  </si>
  <si>
    <t>円/トン</t>
    <rPh sb="0" eb="1">
      <t>エン</t>
    </rPh>
    <phoneticPr fontId="5"/>
  </si>
  <si>
    <t>運用費（固定）</t>
    <rPh sb="0" eb="2">
      <t>ウンヨウ</t>
    </rPh>
    <rPh sb="2" eb="3">
      <t>ヒ</t>
    </rPh>
    <rPh sb="4" eb="6">
      <t>コテイ</t>
    </rPh>
    <phoneticPr fontId="5"/>
  </si>
  <si>
    <t>金利</t>
    <rPh sb="0" eb="2">
      <t>キンリ</t>
    </rPh>
    <phoneticPr fontId="5"/>
  </si>
  <si>
    <r>
      <rPr>
        <b/>
        <sz val="10"/>
        <rFont val="ＭＳ Ｐゴシック"/>
        <family val="3"/>
        <charset val="128"/>
      </rPr>
      <t>年度</t>
    </r>
    <rPh sb="0" eb="2">
      <t>ネンド</t>
    </rPh>
    <phoneticPr fontId="5"/>
  </si>
  <si>
    <r>
      <rPr>
        <sz val="10"/>
        <rFont val="ＭＳ Ｐゴシック"/>
        <family val="3"/>
        <charset val="128"/>
      </rPr>
      <t>計</t>
    </r>
    <phoneticPr fontId="5"/>
  </si>
  <si>
    <r>
      <rPr>
        <sz val="10"/>
        <color theme="1"/>
        <rFont val="ＭＳ Ｐゴシック"/>
        <family val="3"/>
        <charset val="128"/>
      </rPr>
      <t>円</t>
    </r>
    <rPh sb="0" eb="1">
      <t>エン</t>
    </rPh>
    <phoneticPr fontId="5"/>
  </si>
  <si>
    <r>
      <rPr>
        <sz val="10"/>
        <color theme="0"/>
        <rFont val="ＭＳ Ｐゴシック"/>
        <family val="3"/>
        <charset val="128"/>
      </rPr>
      <t>収入計</t>
    </r>
    <rPh sb="0" eb="2">
      <t>シュウニュウ</t>
    </rPh>
    <rPh sb="2" eb="3">
      <t>ケイ</t>
    </rPh>
    <phoneticPr fontId="5"/>
  </si>
  <si>
    <r>
      <rPr>
        <sz val="10"/>
        <color theme="0"/>
        <rFont val="ＭＳ Ｐゴシック"/>
        <family val="3"/>
        <charset val="128"/>
      </rPr>
      <t>円</t>
    </r>
    <rPh sb="0" eb="1">
      <t>エン</t>
    </rPh>
    <phoneticPr fontId="5"/>
  </si>
  <si>
    <t>変動費</t>
    <rPh sb="0" eb="2">
      <t>ヘンドウ</t>
    </rPh>
    <rPh sb="2" eb="3">
      <t>ヒ</t>
    </rPh>
    <phoneticPr fontId="4"/>
  </si>
  <si>
    <t>固定費</t>
    <rPh sb="0" eb="3">
      <t>コテイヒ</t>
    </rPh>
    <phoneticPr fontId="4"/>
  </si>
  <si>
    <r>
      <rPr>
        <b/>
        <sz val="10"/>
        <color theme="0"/>
        <rFont val="ＭＳ Ｐゴシック"/>
        <family val="3"/>
        <charset val="128"/>
      </rPr>
      <t>円</t>
    </r>
    <rPh sb="0" eb="1">
      <t>エン</t>
    </rPh>
    <phoneticPr fontId="5"/>
  </si>
  <si>
    <r>
      <rPr>
        <sz val="10"/>
        <rFont val="ＭＳ Ｐゴシック"/>
        <family val="3"/>
        <charset val="128"/>
      </rPr>
      <t>経済性計算</t>
    </r>
    <rPh sb="0" eb="3">
      <t>ケイザイセイ</t>
    </rPh>
    <rPh sb="3" eb="5">
      <t>ケイサン</t>
    </rPh>
    <phoneticPr fontId="5"/>
  </si>
  <si>
    <r>
      <rPr>
        <sz val="10"/>
        <color theme="1"/>
        <rFont val="ＭＳ Ｐゴシック"/>
        <family val="3"/>
        <charset val="128"/>
      </rPr>
      <t>年度</t>
    </r>
    <rPh sb="0" eb="2">
      <t>ネンド</t>
    </rPh>
    <phoneticPr fontId="5"/>
  </si>
  <si>
    <t>Equity IRR</t>
    <phoneticPr fontId="5"/>
  </si>
  <si>
    <r>
      <rPr>
        <sz val="10"/>
        <rFont val="ＭＳ Ｐゴシック"/>
        <family val="3"/>
        <charset val="128"/>
      </rPr>
      <t>税後</t>
    </r>
    <r>
      <rPr>
        <sz val="10"/>
        <color theme="1"/>
        <rFont val="Arial"/>
        <family val="2"/>
      </rPr>
      <t>NET</t>
    </r>
    <r>
      <rPr>
        <sz val="10"/>
        <rFont val="ＭＳ Ｐゴシック"/>
        <family val="3"/>
        <charset val="128"/>
      </rPr>
      <t>キャッシュフロー</t>
    </r>
    <rPh sb="0" eb="1">
      <t>ゼイ</t>
    </rPh>
    <rPh sb="1" eb="2">
      <t>ゴ</t>
    </rPh>
    <phoneticPr fontId="5"/>
  </si>
  <si>
    <r>
      <t>Free Cash</t>
    </r>
    <r>
      <rPr>
        <sz val="10"/>
        <rFont val="ＭＳ Ｐゴシック"/>
        <family val="3"/>
        <charset val="128"/>
      </rPr>
      <t>　累計</t>
    </r>
    <rPh sb="10" eb="12">
      <t>ルイケイ</t>
    </rPh>
    <phoneticPr fontId="5"/>
  </si>
  <si>
    <r>
      <rPr>
        <sz val="10"/>
        <rFont val="ＭＳ Ｐゴシック"/>
        <family val="3"/>
        <charset val="128"/>
      </rPr>
      <t>配当可能</t>
    </r>
    <r>
      <rPr>
        <sz val="10"/>
        <color theme="1"/>
        <rFont val="Arial"/>
        <family val="2"/>
      </rPr>
      <t>Cash</t>
    </r>
    <rPh sb="0" eb="2">
      <t>ハイトウ</t>
    </rPh>
    <rPh sb="2" eb="3">
      <t>カ</t>
    </rPh>
    <rPh sb="3" eb="4">
      <t>ノウ</t>
    </rPh>
    <phoneticPr fontId="5"/>
  </si>
  <si>
    <r>
      <t>Equity</t>
    </r>
    <r>
      <rPr>
        <sz val="10"/>
        <rFont val="HGPｺﾞｼｯｸE"/>
        <family val="3"/>
        <charset val="128"/>
      </rPr>
      <t>　</t>
    </r>
    <r>
      <rPr>
        <sz val="10"/>
        <color theme="1"/>
        <rFont val="Arial"/>
        <family val="2"/>
      </rPr>
      <t>IRR</t>
    </r>
    <phoneticPr fontId="5"/>
  </si>
  <si>
    <r>
      <rPr>
        <sz val="10"/>
        <rFont val="ＭＳ Ｐゴシック"/>
        <family val="3"/>
        <charset val="128"/>
      </rPr>
      <t>返済可能資金</t>
    </r>
    <rPh sb="0" eb="2">
      <t>ヘンサイ</t>
    </rPh>
    <rPh sb="2" eb="4">
      <t>カノウ</t>
    </rPh>
    <rPh sb="4" eb="6">
      <t>シキン</t>
    </rPh>
    <phoneticPr fontId="5"/>
  </si>
  <si>
    <r>
      <rPr>
        <sz val="10"/>
        <rFont val="ＭＳ Ｐゴシック"/>
        <family val="3"/>
        <charset val="128"/>
      </rPr>
      <t>返済額</t>
    </r>
    <rPh sb="0" eb="2">
      <t>ヘンサイ</t>
    </rPh>
    <rPh sb="2" eb="3">
      <t>ガク</t>
    </rPh>
    <phoneticPr fontId="5"/>
  </si>
  <si>
    <t>DSCR</t>
    <phoneticPr fontId="5"/>
  </si>
  <si>
    <t>Average DSCR</t>
    <phoneticPr fontId="5"/>
  </si>
  <si>
    <r>
      <rPr>
        <sz val="10"/>
        <rFont val="ＭＳ Ｐゴシック"/>
        <family val="3"/>
        <charset val="128"/>
      </rPr>
      <t>年度</t>
    </r>
    <phoneticPr fontId="5"/>
  </si>
  <si>
    <t>Project IRR</t>
    <phoneticPr fontId="5"/>
  </si>
  <si>
    <r>
      <t>Net Equity Free</t>
    </r>
    <r>
      <rPr>
        <sz val="10"/>
        <rFont val="HGPｺﾞｼｯｸE"/>
        <family val="3"/>
        <charset val="128"/>
      </rPr>
      <t>　</t>
    </r>
    <r>
      <rPr>
        <sz val="10"/>
        <color theme="1"/>
        <rFont val="Arial"/>
        <family val="2"/>
      </rPr>
      <t>Cash Flow</t>
    </r>
    <phoneticPr fontId="5"/>
  </si>
  <si>
    <t>売電価格</t>
    <rPh sb="0" eb="4">
      <t>バイデンカカク</t>
    </rPh>
    <phoneticPr fontId="4"/>
  </si>
  <si>
    <t>売電収入</t>
    <rPh sb="0" eb="4">
      <t>バイデンシュウニュウ</t>
    </rPh>
    <phoneticPr fontId="4"/>
  </si>
  <si>
    <t>　売電量</t>
    <rPh sb="1" eb="4">
      <t>バイデンリョウ</t>
    </rPh>
    <phoneticPr fontId="4"/>
  </si>
  <si>
    <t>　売電価格</t>
    <rPh sb="1" eb="5">
      <t>バイデンカカク</t>
    </rPh>
    <phoneticPr fontId="4"/>
  </si>
  <si>
    <t>　発電量</t>
    <rPh sb="1" eb="3">
      <t>ハツデン</t>
    </rPh>
    <rPh sb="3" eb="4">
      <t>リョウ</t>
    </rPh>
    <phoneticPr fontId="4"/>
  </si>
  <si>
    <t>%</t>
    <phoneticPr fontId="4"/>
  </si>
  <si>
    <t>円</t>
    <rPh sb="0" eb="1">
      <t>エン</t>
    </rPh>
    <phoneticPr fontId="4"/>
  </si>
  <si>
    <r>
      <t>kWh/</t>
    </r>
    <r>
      <rPr>
        <sz val="10"/>
        <color theme="1"/>
        <rFont val="ＭＳ Ｐゴシック"/>
        <family val="3"/>
        <charset val="128"/>
      </rPr>
      <t>年</t>
    </r>
    <rPh sb="4" eb="5">
      <t>ネン</t>
    </rPh>
    <phoneticPr fontId="4"/>
  </si>
  <si>
    <t>売熱収入</t>
    <rPh sb="0" eb="1">
      <t>バイ</t>
    </rPh>
    <rPh sb="1" eb="2">
      <t>ネツ</t>
    </rPh>
    <rPh sb="2" eb="4">
      <t>シュウニュウ</t>
    </rPh>
    <phoneticPr fontId="4"/>
  </si>
  <si>
    <t>　売熱量</t>
    <rPh sb="1" eb="2">
      <t>ウ</t>
    </rPh>
    <rPh sb="2" eb="4">
      <t>ネツリョウ</t>
    </rPh>
    <phoneticPr fontId="4"/>
  </si>
  <si>
    <t>　売熱価格</t>
    <rPh sb="1" eb="2">
      <t>ウ</t>
    </rPh>
    <rPh sb="2" eb="5">
      <t>ネツカカク</t>
    </rPh>
    <phoneticPr fontId="4"/>
  </si>
  <si>
    <t>売熱価格</t>
    <rPh sb="0" eb="1">
      <t>ウ</t>
    </rPh>
    <rPh sb="1" eb="2">
      <t>ネツ</t>
    </rPh>
    <rPh sb="2" eb="4">
      <t>カカク</t>
    </rPh>
    <phoneticPr fontId="4"/>
  </si>
  <si>
    <r>
      <rPr>
        <sz val="10"/>
        <color theme="1"/>
        <rFont val="ＭＳ Ｐゴシック"/>
        <family val="3"/>
        <charset val="128"/>
      </rPr>
      <t>円</t>
    </r>
    <r>
      <rPr>
        <sz val="10"/>
        <color theme="1"/>
        <rFont val="Arial"/>
        <family val="2"/>
      </rPr>
      <t>/kWh</t>
    </r>
    <rPh sb="0" eb="1">
      <t>エン</t>
    </rPh>
    <phoneticPr fontId="4"/>
  </si>
  <si>
    <t>バイオマス調達費</t>
    <rPh sb="5" eb="7">
      <t>チョウタツ</t>
    </rPh>
    <rPh sb="7" eb="8">
      <t>ヒ</t>
    </rPh>
    <phoneticPr fontId="4"/>
  </si>
  <si>
    <t>設備費用</t>
    <rPh sb="0" eb="4">
      <t>セツビヒヨウ</t>
    </rPh>
    <phoneticPr fontId="5"/>
  </si>
  <si>
    <t>円</t>
    <rPh sb="0" eb="1">
      <t>エン</t>
    </rPh>
    <phoneticPr fontId="4"/>
  </si>
  <si>
    <t>固定資産税</t>
    <rPh sb="0" eb="5">
      <t>コテイシサンゼイ</t>
    </rPh>
    <phoneticPr fontId="4"/>
  </si>
  <si>
    <t>操業費</t>
    <rPh sb="0" eb="2">
      <t>ソウギョウ</t>
    </rPh>
    <rPh sb="2" eb="3">
      <t>ヒ</t>
    </rPh>
    <phoneticPr fontId="5"/>
  </si>
  <si>
    <t>EBITDA（税引前・利払前・償却前利益）</t>
    <rPh sb="7" eb="10">
      <t>ゼイビキマエ</t>
    </rPh>
    <rPh sb="11" eb="13">
      <t>リバラ</t>
    </rPh>
    <rPh sb="13" eb="14">
      <t>マエ</t>
    </rPh>
    <rPh sb="15" eb="18">
      <t>ショウキャクマエ</t>
    </rPh>
    <rPh sb="18" eb="20">
      <t>リエキ</t>
    </rPh>
    <phoneticPr fontId="4"/>
  </si>
  <si>
    <t>EBT（税引前利益）</t>
    <rPh sb="4" eb="7">
      <t>ゼイビキマエ</t>
    </rPh>
    <rPh sb="7" eb="9">
      <t>リエキ</t>
    </rPh>
    <phoneticPr fontId="4"/>
  </si>
  <si>
    <t>減価償却費</t>
    <rPh sb="0" eb="5">
      <t>ゲンカショウキャクヒ</t>
    </rPh>
    <phoneticPr fontId="4"/>
  </si>
  <si>
    <t>金利支払</t>
    <rPh sb="0" eb="4">
      <t>キンリシハラ</t>
    </rPh>
    <phoneticPr fontId="4"/>
  </si>
  <si>
    <t>期初の繰越利益</t>
    <rPh sb="0" eb="2">
      <t>キショ</t>
    </rPh>
    <rPh sb="3" eb="5">
      <t>クリコシ</t>
    </rPh>
    <rPh sb="5" eb="7">
      <t>リエキ</t>
    </rPh>
    <phoneticPr fontId="4"/>
  </si>
  <si>
    <t>期末の利益</t>
    <rPh sb="0" eb="2">
      <t>キマツ</t>
    </rPh>
    <rPh sb="3" eb="5">
      <t>リエキ</t>
    </rPh>
    <phoneticPr fontId="4"/>
  </si>
  <si>
    <t>営業キャッシュフロー</t>
    <rPh sb="0" eb="2">
      <t>エイギョウ</t>
    </rPh>
    <phoneticPr fontId="4"/>
  </si>
  <si>
    <t>投資キャッシュフロー</t>
    <rPh sb="0" eb="2">
      <t>トウシ</t>
    </rPh>
    <phoneticPr fontId="4"/>
  </si>
  <si>
    <t>財務キャッシュフロー</t>
    <rPh sb="0" eb="2">
      <t>ザイム</t>
    </rPh>
    <phoneticPr fontId="4"/>
  </si>
  <si>
    <t>　補助金</t>
    <rPh sb="1" eb="4">
      <t>ホジョキン</t>
    </rPh>
    <phoneticPr fontId="4"/>
  </si>
  <si>
    <t>　借入金</t>
    <rPh sb="1" eb="3">
      <t>シャクニュウ</t>
    </rPh>
    <rPh sb="3" eb="4">
      <t>キン</t>
    </rPh>
    <phoneticPr fontId="4"/>
  </si>
  <si>
    <t>　配当金支払</t>
    <rPh sb="1" eb="6">
      <t>ハイトウキンシハラ</t>
    </rPh>
    <phoneticPr fontId="4"/>
  </si>
  <si>
    <t>キャッシュ増減</t>
    <rPh sb="5" eb="7">
      <t>ゾウゲン</t>
    </rPh>
    <phoneticPr fontId="4"/>
  </si>
  <si>
    <t>初期投資費用</t>
    <rPh sb="0" eb="6">
      <t>ショキトウシヒヨウ</t>
    </rPh>
    <phoneticPr fontId="5"/>
  </si>
  <si>
    <t>税引後利益</t>
    <rPh sb="0" eb="2">
      <t>ゼイビ</t>
    </rPh>
    <rPh sb="2" eb="3">
      <t>ゴ</t>
    </rPh>
    <rPh sb="3" eb="5">
      <t>リエキ</t>
    </rPh>
    <phoneticPr fontId="4"/>
  </si>
  <si>
    <r>
      <rPr>
        <sz val="10"/>
        <rFont val="ＭＳ Ｐゴシック"/>
        <family val="3"/>
        <charset val="128"/>
      </rPr>
      <t>円</t>
    </r>
    <rPh sb="0" eb="1">
      <t>エン</t>
    </rPh>
    <phoneticPr fontId="5"/>
  </si>
  <si>
    <r>
      <t>Project</t>
    </r>
    <r>
      <rPr>
        <sz val="10"/>
        <rFont val="HGPｺﾞｼｯｸE"/>
        <family val="3"/>
        <charset val="128"/>
      </rPr>
      <t>　</t>
    </r>
    <r>
      <rPr>
        <sz val="10"/>
        <color theme="1"/>
        <rFont val="Arial"/>
        <family val="2"/>
      </rPr>
      <t>IRR</t>
    </r>
    <phoneticPr fontId="5"/>
  </si>
  <si>
    <t>営業キャッシュフロー</t>
    <rPh sb="0" eb="2">
      <t>エイギョウ</t>
    </rPh>
    <phoneticPr fontId="5"/>
  </si>
  <si>
    <t>スポンサーによる出資額</t>
  </si>
  <si>
    <t>補助金</t>
    <rPh sb="0" eb="3">
      <t>ホジョキン</t>
    </rPh>
    <phoneticPr fontId="4"/>
  </si>
  <si>
    <t>合計</t>
    <rPh sb="0" eb="2">
      <t>ゴウケイ</t>
    </rPh>
    <phoneticPr fontId="4"/>
  </si>
  <si>
    <t>kWh/年</t>
    <rPh sb="4" eb="5">
      <t>ネン</t>
    </rPh>
    <phoneticPr fontId="4"/>
  </si>
  <si>
    <t>円</t>
    <rPh sb="0" eb="1">
      <t>エン</t>
    </rPh>
    <phoneticPr fontId="4"/>
  </si>
  <si>
    <t>　源泉所得税率（復興特別所得税考慮）</t>
    <rPh sb="1" eb="6">
      <t>ゲンセンショトクゼイ</t>
    </rPh>
    <rPh sb="6" eb="7">
      <t>リツ</t>
    </rPh>
    <rPh sb="8" eb="10">
      <t>フッコウ</t>
    </rPh>
    <rPh sb="10" eb="12">
      <t>トクベツ</t>
    </rPh>
    <rPh sb="12" eb="15">
      <t>ショトクゼイ</t>
    </rPh>
    <rPh sb="15" eb="17">
      <t>コウリョ</t>
    </rPh>
    <phoneticPr fontId="4"/>
  </si>
  <si>
    <t>源泉所得税（復興特別所得税考慮）</t>
    <rPh sb="0" eb="5">
      <t>ゲンセンショトクゼイ</t>
    </rPh>
    <rPh sb="6" eb="8">
      <t>フッコウ</t>
    </rPh>
    <rPh sb="8" eb="10">
      <t>トクベツ</t>
    </rPh>
    <rPh sb="10" eb="13">
      <t>ショトクゼイ</t>
    </rPh>
    <rPh sb="13" eb="15">
      <t>コウリョ</t>
    </rPh>
    <phoneticPr fontId="4"/>
  </si>
  <si>
    <t>Ⅰ．営業収支</t>
    <rPh sb="2" eb="4">
      <t>エイギョウ</t>
    </rPh>
    <phoneticPr fontId="4"/>
  </si>
  <si>
    <t>Ⅱ．営業外収支</t>
    <rPh sb="2" eb="4">
      <t>エイギョウ</t>
    </rPh>
    <rPh sb="4" eb="5">
      <t>ガイ</t>
    </rPh>
    <phoneticPr fontId="4"/>
  </si>
  <si>
    <t>信用状発行手数料</t>
    <rPh sb="0" eb="3">
      <t>シンヨウジョウ</t>
    </rPh>
    <rPh sb="3" eb="5">
      <t>ハッコウ</t>
    </rPh>
    <rPh sb="5" eb="6">
      <t>テ</t>
    </rPh>
    <phoneticPr fontId="4"/>
  </si>
  <si>
    <t>%</t>
    <phoneticPr fontId="4"/>
  </si>
  <si>
    <t>　信用状発行手数料(%)</t>
    <rPh sb="1" eb="4">
      <t>シンヨウジョウ</t>
    </rPh>
    <rPh sb="4" eb="9">
      <t>ハッコウテスウリョウ</t>
    </rPh>
    <phoneticPr fontId="4"/>
  </si>
  <si>
    <t>　積立要求金額</t>
    <rPh sb="1" eb="7">
      <t>ツミタテヨウキュウキンガク</t>
    </rPh>
    <phoneticPr fontId="4"/>
  </si>
  <si>
    <t>-</t>
    <phoneticPr fontId="4"/>
  </si>
  <si>
    <t>固定資産残存額</t>
    <rPh sb="0" eb="2">
      <t>コテイ</t>
    </rPh>
    <rPh sb="2" eb="4">
      <t>シサン</t>
    </rPh>
    <rPh sb="4" eb="6">
      <t>ザンゾン</t>
    </rPh>
    <rPh sb="6" eb="7">
      <t>ガク</t>
    </rPh>
    <phoneticPr fontId="5"/>
  </si>
  <si>
    <t>　　1年前に生じた繰越欠損金額の期初残高</t>
    <rPh sb="3" eb="5">
      <t>ネンマエ</t>
    </rPh>
    <rPh sb="6" eb="7">
      <t>ショウ</t>
    </rPh>
    <rPh sb="9" eb="15">
      <t>クリコシケッソンキンガク</t>
    </rPh>
    <rPh sb="16" eb="18">
      <t>キショ</t>
    </rPh>
    <rPh sb="18" eb="20">
      <t>ザンダカ</t>
    </rPh>
    <phoneticPr fontId="4"/>
  </si>
  <si>
    <t>　　欠損金の控除額</t>
    <rPh sb="2" eb="5">
      <t>ケッソンキン</t>
    </rPh>
    <rPh sb="6" eb="9">
      <t>コウジョガク</t>
    </rPh>
    <phoneticPr fontId="4"/>
  </si>
  <si>
    <t>　　1年前に生じた繰越欠損金額の期末残高</t>
    <rPh sb="3" eb="5">
      <t>ネンマエ</t>
    </rPh>
    <rPh sb="6" eb="7">
      <t>ショウ</t>
    </rPh>
    <rPh sb="9" eb="15">
      <t>クリコシケッソンキンガク</t>
    </rPh>
    <rPh sb="16" eb="18">
      <t>キマツ</t>
    </rPh>
    <rPh sb="18" eb="20">
      <t>ザンダカ</t>
    </rPh>
    <phoneticPr fontId="4"/>
  </si>
  <si>
    <t>　　2年前に生じた繰越欠損金額の期初残高</t>
    <rPh sb="3" eb="5">
      <t>ネンマエ</t>
    </rPh>
    <rPh sb="6" eb="7">
      <t>ショウ</t>
    </rPh>
    <rPh sb="9" eb="15">
      <t>クリコシケッソンキンガク</t>
    </rPh>
    <rPh sb="16" eb="18">
      <t>キショ</t>
    </rPh>
    <rPh sb="18" eb="20">
      <t>ザンダカ</t>
    </rPh>
    <phoneticPr fontId="4"/>
  </si>
  <si>
    <t>　　2年前に生じた繰越欠損金額の期末残高</t>
    <rPh sb="3" eb="5">
      <t>ネンマエ</t>
    </rPh>
    <rPh sb="6" eb="7">
      <t>ショウ</t>
    </rPh>
    <rPh sb="9" eb="15">
      <t>クリコシケッソンキンガク</t>
    </rPh>
    <rPh sb="16" eb="18">
      <t>キマツ</t>
    </rPh>
    <rPh sb="18" eb="20">
      <t>ザンダカ</t>
    </rPh>
    <phoneticPr fontId="4"/>
  </si>
  <si>
    <t>　　3年前に生じた繰越欠損金額の期初残高</t>
    <rPh sb="3" eb="5">
      <t>ネンマエ</t>
    </rPh>
    <rPh sb="6" eb="7">
      <t>ショウ</t>
    </rPh>
    <rPh sb="9" eb="15">
      <t>クリコシケッソンキンガク</t>
    </rPh>
    <rPh sb="16" eb="18">
      <t>キショ</t>
    </rPh>
    <rPh sb="18" eb="20">
      <t>ザンダカ</t>
    </rPh>
    <phoneticPr fontId="4"/>
  </si>
  <si>
    <t>　　3年前に生じた繰越欠損金額の期末残高</t>
    <rPh sb="3" eb="5">
      <t>ネンマエ</t>
    </rPh>
    <rPh sb="6" eb="7">
      <t>ショウ</t>
    </rPh>
    <rPh sb="9" eb="15">
      <t>クリコシケッソンキンガク</t>
    </rPh>
    <rPh sb="16" eb="18">
      <t>キマツ</t>
    </rPh>
    <rPh sb="18" eb="20">
      <t>ザンダカ</t>
    </rPh>
    <phoneticPr fontId="4"/>
  </si>
  <si>
    <t>減価償却価格</t>
    <rPh sb="0" eb="4">
      <t>ゲンカショウキャク</t>
    </rPh>
    <rPh sb="4" eb="6">
      <t>カカク</t>
    </rPh>
    <phoneticPr fontId="4"/>
  </si>
  <si>
    <t>　　4年前に生じた繰越欠損金額の期初残高</t>
    <rPh sb="3" eb="5">
      <t>ネンマエ</t>
    </rPh>
    <rPh sb="6" eb="7">
      <t>ショウ</t>
    </rPh>
    <rPh sb="9" eb="15">
      <t>クリコシケッソンキンガク</t>
    </rPh>
    <rPh sb="16" eb="18">
      <t>キショ</t>
    </rPh>
    <rPh sb="18" eb="20">
      <t>ザンダカ</t>
    </rPh>
    <phoneticPr fontId="4"/>
  </si>
  <si>
    <t>　　4年前に生じた繰越欠損金額の期末残高</t>
    <rPh sb="3" eb="5">
      <t>ネンマエ</t>
    </rPh>
    <rPh sb="6" eb="7">
      <t>ショウ</t>
    </rPh>
    <rPh sb="9" eb="15">
      <t>クリコシケッソンキンガク</t>
    </rPh>
    <rPh sb="16" eb="18">
      <t>キマツ</t>
    </rPh>
    <rPh sb="18" eb="20">
      <t>ザンダカ</t>
    </rPh>
    <phoneticPr fontId="4"/>
  </si>
  <si>
    <t>　　5年前に生じた繰越欠損金額の期初残高</t>
    <rPh sb="3" eb="5">
      <t>ネンマエ</t>
    </rPh>
    <rPh sb="6" eb="7">
      <t>ショウ</t>
    </rPh>
    <rPh sb="9" eb="15">
      <t>クリコシケッソンキンガク</t>
    </rPh>
    <rPh sb="16" eb="18">
      <t>キショ</t>
    </rPh>
    <rPh sb="18" eb="20">
      <t>ザンダカ</t>
    </rPh>
    <phoneticPr fontId="4"/>
  </si>
  <si>
    <t>　　5年前に生じた繰越欠損金額の期末残高</t>
    <rPh sb="3" eb="5">
      <t>ネンマエ</t>
    </rPh>
    <rPh sb="6" eb="7">
      <t>ショウ</t>
    </rPh>
    <rPh sb="9" eb="15">
      <t>クリコシケッソンキンガク</t>
    </rPh>
    <rPh sb="16" eb="18">
      <t>キマツ</t>
    </rPh>
    <rPh sb="18" eb="20">
      <t>ザンダカ</t>
    </rPh>
    <phoneticPr fontId="4"/>
  </si>
  <si>
    <t>　当年初繰越欠損金合計金額</t>
    <rPh sb="1" eb="2">
      <t>トウ</t>
    </rPh>
    <rPh sb="2" eb="4">
      <t>ネンショ</t>
    </rPh>
    <rPh sb="4" eb="9">
      <t>クリコシケッソンキン</t>
    </rPh>
    <rPh sb="9" eb="13">
      <t>ゴウケイキンガク</t>
    </rPh>
    <phoneticPr fontId="4"/>
  </si>
  <si>
    <t>　当年課税所得</t>
    <rPh sb="1" eb="3">
      <t>トウネン</t>
    </rPh>
    <rPh sb="3" eb="5">
      <t>カゼイ</t>
    </rPh>
    <rPh sb="5" eb="7">
      <t>ショトク</t>
    </rPh>
    <phoneticPr fontId="4"/>
  </si>
  <si>
    <t>　当年欠損額</t>
    <rPh sb="1" eb="3">
      <t>トウネン</t>
    </rPh>
    <rPh sb="3" eb="6">
      <t>ケッソンガク</t>
    </rPh>
    <phoneticPr fontId="4"/>
  </si>
  <si>
    <t>　当年繰越欠損金繰戻額</t>
    <rPh sb="1" eb="3">
      <t>トウネン</t>
    </rPh>
    <rPh sb="3" eb="5">
      <t>クリコシ</t>
    </rPh>
    <rPh sb="5" eb="8">
      <t>ケッソンキン</t>
    </rPh>
    <rPh sb="8" eb="9">
      <t>ク</t>
    </rPh>
    <rPh sb="9" eb="10">
      <t>モド</t>
    </rPh>
    <rPh sb="10" eb="11">
      <t>ガク</t>
    </rPh>
    <phoneticPr fontId="4"/>
  </si>
  <si>
    <t>　当年末繰越欠損金合計金額</t>
    <rPh sb="1" eb="2">
      <t>トウ</t>
    </rPh>
    <rPh sb="2" eb="4">
      <t>ネンマツ</t>
    </rPh>
    <rPh sb="4" eb="6">
      <t>クリコシ</t>
    </rPh>
    <rPh sb="6" eb="9">
      <t>ケッソンキン</t>
    </rPh>
    <rPh sb="9" eb="11">
      <t>ゴウケイ</t>
    </rPh>
    <rPh sb="11" eb="13">
      <t>キンガク</t>
    </rPh>
    <phoneticPr fontId="4"/>
  </si>
  <si>
    <t>-</t>
    <phoneticPr fontId="4"/>
  </si>
  <si>
    <t>　繰越欠損金考慮後の課税所得</t>
    <rPh sb="1" eb="3">
      <t>クリコシ</t>
    </rPh>
    <rPh sb="3" eb="6">
      <t>ケッソンキン</t>
    </rPh>
    <rPh sb="6" eb="8">
      <t>コウリョ</t>
    </rPh>
    <rPh sb="8" eb="9">
      <t>ゴ</t>
    </rPh>
    <rPh sb="10" eb="12">
      <t>カゼイ</t>
    </rPh>
    <rPh sb="12" eb="14">
      <t>ショトク</t>
    </rPh>
    <phoneticPr fontId="4"/>
  </si>
  <si>
    <t>法人税(定率考慮なし）</t>
    <rPh sb="4" eb="6">
      <t>テイリツ</t>
    </rPh>
    <rPh sb="6" eb="8">
      <t>コウリョ</t>
    </rPh>
    <phoneticPr fontId="4"/>
  </si>
  <si>
    <t>損益計算書</t>
    <rPh sb="0" eb="2">
      <t>ソンエキ</t>
    </rPh>
    <rPh sb="2" eb="5">
      <t>ケイサンショ</t>
    </rPh>
    <phoneticPr fontId="5"/>
  </si>
  <si>
    <t>キャッシュフロー計算書</t>
    <rPh sb="8" eb="11">
      <t>ケイサンショ</t>
    </rPh>
    <phoneticPr fontId="5"/>
  </si>
  <si>
    <t>　売電利益</t>
    <rPh sb="1" eb="3">
      <t>バイデン</t>
    </rPh>
    <rPh sb="3" eb="5">
      <t>リエキ</t>
    </rPh>
    <phoneticPr fontId="4"/>
  </si>
  <si>
    <t>　売熱利益</t>
    <rPh sb="1" eb="5">
      <t>バイネツリエキ</t>
    </rPh>
    <phoneticPr fontId="4"/>
  </si>
  <si>
    <t>　燃料コスト</t>
    <rPh sb="1" eb="3">
      <t>ネンリョウ</t>
    </rPh>
    <phoneticPr fontId="4"/>
  </si>
  <si>
    <t>　操業コスト</t>
    <rPh sb="1" eb="3">
      <t>ソウギョウ</t>
    </rPh>
    <phoneticPr fontId="4"/>
  </si>
  <si>
    <t xml:space="preserve">  元利合計支払額（源泉徴収税含む）</t>
    <rPh sb="2" eb="4">
      <t>ガンリ</t>
    </rPh>
    <rPh sb="4" eb="6">
      <t>ゴウケイ</t>
    </rPh>
    <rPh sb="6" eb="8">
      <t>シハライ</t>
    </rPh>
    <rPh sb="8" eb="9">
      <t>ガク</t>
    </rPh>
    <rPh sb="10" eb="12">
      <t>ゲンセン</t>
    </rPh>
    <rPh sb="12" eb="14">
      <t>チョウシュウ</t>
    </rPh>
    <rPh sb="14" eb="15">
      <t>ゼイ</t>
    </rPh>
    <rPh sb="15" eb="16">
      <t>フク</t>
    </rPh>
    <phoneticPr fontId="4"/>
  </si>
  <si>
    <t>　準備講座へのキャッシュ充当額</t>
    <rPh sb="1" eb="5">
      <t>ジュンビコウザ</t>
    </rPh>
    <rPh sb="12" eb="15">
      <t>ジュウトウガク</t>
    </rPh>
    <phoneticPr fontId="4"/>
  </si>
  <si>
    <t>　信用状発行手数料</t>
    <rPh sb="1" eb="9">
      <t>シンヨウジョウハッコウテスウリョウ</t>
    </rPh>
    <phoneticPr fontId="4"/>
  </si>
  <si>
    <t>　法人税・固定資産税</t>
    <rPh sb="1" eb="4">
      <t>ホウジンゼイ</t>
    </rPh>
    <rPh sb="5" eb="10">
      <t>コテイシサンゼイ</t>
    </rPh>
    <phoneticPr fontId="4"/>
  </si>
  <si>
    <t>期初現金残高</t>
    <rPh sb="0" eb="6">
      <t>キショゲンキンザンダカ</t>
    </rPh>
    <phoneticPr fontId="4"/>
  </si>
  <si>
    <t>期末現金残高</t>
    <rPh sb="0" eb="6">
      <t>キマツゲンキンザンダカ</t>
    </rPh>
    <phoneticPr fontId="4"/>
  </si>
  <si>
    <t>期末借入金残高</t>
    <rPh sb="0" eb="2">
      <t>キマツ</t>
    </rPh>
    <phoneticPr fontId="5"/>
  </si>
  <si>
    <t>プロジェクトにおけるＮＥＴキャッシュフロー</t>
    <phoneticPr fontId="5"/>
  </si>
  <si>
    <r>
      <t>DSCR</t>
    </r>
    <r>
      <rPr>
        <sz val="10"/>
        <rFont val="ＭＳ Ｐゴシック"/>
        <family val="3"/>
        <charset val="128"/>
      </rPr>
      <t>計算</t>
    </r>
    <rPh sb="4" eb="6">
      <t>ケイサン</t>
    </rPh>
    <phoneticPr fontId="5"/>
  </si>
  <si>
    <t>発電量</t>
    <rPh sb="0" eb="3">
      <t>ハツデンリョウ</t>
    </rPh>
    <phoneticPr fontId="5"/>
  </si>
  <si>
    <t>合計</t>
    <rPh sb="0" eb="2">
      <t>ゴウケイ</t>
    </rPh>
    <phoneticPr fontId="5"/>
  </si>
  <si>
    <t>燃料費</t>
    <rPh sb="0" eb="3">
      <t>ネンリョウヒ</t>
    </rPh>
    <phoneticPr fontId="5"/>
  </si>
  <si>
    <t>固定資産税等</t>
    <rPh sb="0" eb="5">
      <t>コテイシサンゼイ</t>
    </rPh>
    <rPh sb="5" eb="6">
      <t>ナド</t>
    </rPh>
    <phoneticPr fontId="5"/>
  </si>
  <si>
    <t>費目</t>
    <rPh sb="0" eb="2">
      <t>ヒモク</t>
    </rPh>
    <phoneticPr fontId="5"/>
  </si>
  <si>
    <t>定格出力</t>
    <rPh sb="0" eb="4">
      <t>テイカクシュツリョク</t>
    </rPh>
    <phoneticPr fontId="5"/>
  </si>
  <si>
    <t>設備利用率</t>
    <rPh sb="0" eb="5">
      <t>セツビリヨウリツ</t>
    </rPh>
    <phoneticPr fontId="5"/>
  </si>
  <si>
    <t>単価</t>
    <rPh sb="0" eb="2">
      <t>タンカ</t>
    </rPh>
    <phoneticPr fontId="5"/>
  </si>
  <si>
    <t>含水率</t>
    <rPh sb="0" eb="3">
      <t>ガンスイリツ</t>
    </rPh>
    <phoneticPr fontId="5"/>
  </si>
  <si>
    <t>トン/年</t>
    <rPh sb="3" eb="4">
      <t>ネン</t>
    </rPh>
    <phoneticPr fontId="5"/>
  </si>
  <si>
    <t>運用費</t>
    <rPh sb="0" eb="3">
      <t>ウンヨウヒ</t>
    </rPh>
    <phoneticPr fontId="5"/>
  </si>
  <si>
    <t>バイオマス⑤</t>
    <phoneticPr fontId="5"/>
  </si>
  <si>
    <t>設備①</t>
    <rPh sb="0" eb="2">
      <t>セツビ</t>
    </rPh>
    <phoneticPr fontId="5"/>
  </si>
  <si>
    <t>残存価値</t>
    <rPh sb="0" eb="4">
      <t>ザンゾンカチ</t>
    </rPh>
    <phoneticPr fontId="5"/>
  </si>
  <si>
    <t>償却期間</t>
    <rPh sb="0" eb="4">
      <t>ショウキャクキカン</t>
    </rPh>
    <phoneticPr fontId="5"/>
  </si>
  <si>
    <t>年</t>
    <rPh sb="0" eb="1">
      <t>ネン</t>
    </rPh>
    <phoneticPr fontId="4"/>
  </si>
  <si>
    <t>設備②</t>
    <rPh sb="0" eb="2">
      <t>セツビ</t>
    </rPh>
    <phoneticPr fontId="5"/>
  </si>
  <si>
    <t>設備③</t>
    <rPh sb="0" eb="2">
      <t>セツビ</t>
    </rPh>
    <phoneticPr fontId="5"/>
  </si>
  <si>
    <t>設備④</t>
    <rPh sb="0" eb="2">
      <t>セツビ</t>
    </rPh>
    <phoneticPr fontId="5"/>
  </si>
  <si>
    <t>設備⑤</t>
    <rPh sb="0" eb="2">
      <t>セツビ</t>
    </rPh>
    <phoneticPr fontId="5"/>
  </si>
  <si>
    <t>設備⑥</t>
    <rPh sb="0" eb="2">
      <t>セツビ</t>
    </rPh>
    <phoneticPr fontId="5"/>
  </si>
  <si>
    <t>設備⑦</t>
    <rPh sb="0" eb="2">
      <t>セツビ</t>
    </rPh>
    <phoneticPr fontId="5"/>
  </si>
  <si>
    <t>借入金・補助金・税率等</t>
    <rPh sb="0" eb="1">
      <t>カ</t>
    </rPh>
    <rPh sb="1" eb="2">
      <t>イ</t>
    </rPh>
    <rPh sb="2" eb="3">
      <t>キン</t>
    </rPh>
    <rPh sb="4" eb="7">
      <t>ホジョキン</t>
    </rPh>
    <rPh sb="8" eb="10">
      <t>ゼイリツ</t>
    </rPh>
    <rPh sb="10" eb="11">
      <t>ナド</t>
    </rPh>
    <phoneticPr fontId="5"/>
  </si>
  <si>
    <t>補助金</t>
    <rPh sb="0" eb="3">
      <t>ホジョキン</t>
    </rPh>
    <phoneticPr fontId="5"/>
  </si>
  <si>
    <t>借入金①</t>
    <rPh sb="0" eb="3">
      <t>カリイレキン</t>
    </rPh>
    <phoneticPr fontId="5"/>
  </si>
  <si>
    <t>金額</t>
    <rPh sb="0" eb="2">
      <t>キンガク</t>
    </rPh>
    <phoneticPr fontId="5"/>
  </si>
  <si>
    <t>返済期間</t>
    <rPh sb="0" eb="4">
      <t>ヘンサイキカン</t>
    </rPh>
    <phoneticPr fontId="5"/>
  </si>
  <si>
    <t>利子</t>
    <rPh sb="0" eb="2">
      <t>リシ</t>
    </rPh>
    <phoneticPr fontId="5"/>
  </si>
  <si>
    <t>年</t>
    <rPh sb="0" eb="1">
      <t>ネン</t>
    </rPh>
    <phoneticPr fontId="5"/>
  </si>
  <si>
    <t>借入金②</t>
    <rPh sb="0" eb="3">
      <t>カリイレキン</t>
    </rPh>
    <phoneticPr fontId="5"/>
  </si>
  <si>
    <t>借入金③</t>
    <rPh sb="0" eb="3">
      <t>カリイレキン</t>
    </rPh>
    <phoneticPr fontId="5"/>
  </si>
  <si>
    <t>固定資産税</t>
    <rPh sb="0" eb="5">
      <t>コテイシサンゼイ</t>
    </rPh>
    <phoneticPr fontId="5"/>
  </si>
  <si>
    <t>税率</t>
    <rPh sb="0" eb="2">
      <t>ゼイリツ</t>
    </rPh>
    <phoneticPr fontId="5"/>
  </si>
  <si>
    <t>減価償却計算</t>
    <rPh sb="0" eb="4">
      <t>ゲンカショウキャク</t>
    </rPh>
    <rPh sb="4" eb="6">
      <t>ケイサン</t>
    </rPh>
    <phoneticPr fontId="5"/>
  </si>
  <si>
    <t>　償却価格</t>
    <rPh sb="1" eb="5">
      <t>ショウキャクカカク</t>
    </rPh>
    <phoneticPr fontId="5"/>
  </si>
  <si>
    <t>　残存価値</t>
    <rPh sb="1" eb="5">
      <t>ザンゾンカチ</t>
    </rPh>
    <phoneticPr fontId="4"/>
  </si>
  <si>
    <t>借入金計算</t>
    <rPh sb="0" eb="2">
      <t>カリイレ</t>
    </rPh>
    <rPh sb="2" eb="3">
      <t>キン</t>
    </rPh>
    <rPh sb="3" eb="5">
      <t>ケイサン</t>
    </rPh>
    <phoneticPr fontId="5"/>
  </si>
  <si>
    <t>　返済価格</t>
    <rPh sb="1" eb="5">
      <t>ヘンサイカカク</t>
    </rPh>
    <phoneticPr fontId="5"/>
  </si>
  <si>
    <t>　発生金利</t>
    <rPh sb="1" eb="5">
      <t>ハッセイキンリ</t>
    </rPh>
    <phoneticPr fontId="4"/>
  </si>
  <si>
    <r>
      <t>20</t>
    </r>
    <r>
      <rPr>
        <sz val="10"/>
        <color theme="1"/>
        <rFont val="ＭＳ Ｐゴシック"/>
        <family val="3"/>
        <charset val="128"/>
      </rPr>
      <t>年累計</t>
    </r>
    <rPh sb="2" eb="5">
      <t>ネンルイケイ</t>
    </rPh>
    <phoneticPr fontId="4"/>
  </si>
  <si>
    <t>円</t>
    <rPh sb="0" eb="1">
      <t>エン</t>
    </rPh>
    <phoneticPr fontId="4"/>
  </si>
  <si>
    <t>トン/時間</t>
    <rPh sb="3" eb="5">
      <t>ジカン</t>
    </rPh>
    <phoneticPr fontId="5"/>
  </si>
  <si>
    <t>稼働率（直接入力）</t>
    <rPh sb="0" eb="3">
      <t>カドウリツ</t>
    </rPh>
    <rPh sb="4" eb="8">
      <t>チョクセツニュウリョク</t>
    </rPh>
    <phoneticPr fontId="4"/>
  </si>
  <si>
    <t>MWh</t>
    <phoneticPr fontId="4"/>
  </si>
  <si>
    <t>販売価格</t>
    <rPh sb="0" eb="4">
      <t>ハンバイカカク</t>
    </rPh>
    <phoneticPr fontId="5"/>
  </si>
  <si>
    <t>販売量</t>
    <rPh sb="0" eb="3">
      <t>ハンバイリョウ</t>
    </rPh>
    <phoneticPr fontId="5"/>
  </si>
  <si>
    <t>計算方法オプション</t>
    <rPh sb="0" eb="4">
      <t>ケイサンホウホウ</t>
    </rPh>
    <phoneticPr fontId="5"/>
  </si>
  <si>
    <r>
      <t xml:space="preserve">2  </t>
    </r>
    <r>
      <rPr>
        <sz val="10"/>
        <color indexed="8"/>
        <rFont val="ＭＳ Ｐゴシック"/>
        <family val="3"/>
        <charset val="128"/>
      </rPr>
      <t>出力から直接計算</t>
    </r>
    <rPh sb="3" eb="5">
      <t>シュツリョク</t>
    </rPh>
    <rPh sb="7" eb="11">
      <t>チョクセツケイサン</t>
    </rPh>
    <phoneticPr fontId="5"/>
  </si>
  <si>
    <t>　その他利益</t>
    <rPh sb="3" eb="6">
      <t>タリエキ</t>
    </rPh>
    <phoneticPr fontId="4"/>
  </si>
  <si>
    <t>その他収益</t>
    <rPh sb="2" eb="3">
      <t>タ</t>
    </rPh>
    <rPh sb="3" eb="5">
      <t>シュウエキ</t>
    </rPh>
    <phoneticPr fontId="4"/>
  </si>
  <si>
    <t>その他出費</t>
    <rPh sb="2" eb="3">
      <t>タ</t>
    </rPh>
    <rPh sb="3" eb="5">
      <t>シュッピ</t>
    </rPh>
    <phoneticPr fontId="4"/>
  </si>
  <si>
    <t>変動費①</t>
    <rPh sb="0" eb="3">
      <t>ヘンドウヒ</t>
    </rPh>
    <phoneticPr fontId="5"/>
  </si>
  <si>
    <t>変動費②</t>
    <rPh sb="0" eb="3">
      <t>ヘンドウヒ</t>
    </rPh>
    <phoneticPr fontId="5"/>
  </si>
  <si>
    <t>変動費③</t>
    <rPh sb="0" eb="3">
      <t>ヘンドウヒ</t>
    </rPh>
    <phoneticPr fontId="5"/>
  </si>
  <si>
    <t>変動費④</t>
    <rPh sb="0" eb="3">
      <t>ヘンドウヒ</t>
    </rPh>
    <phoneticPr fontId="5"/>
  </si>
  <si>
    <t>変動費⑤</t>
    <rPh sb="0" eb="3">
      <t>ヘンドウヒ</t>
    </rPh>
    <phoneticPr fontId="5"/>
  </si>
  <si>
    <t>円</t>
    <rPh sb="0" eb="1">
      <t>エン</t>
    </rPh>
    <phoneticPr fontId="4"/>
  </si>
  <si>
    <t>変動費⑥</t>
    <rPh sb="0" eb="3">
      <t>ヘンドウヒ</t>
    </rPh>
    <phoneticPr fontId="5"/>
  </si>
  <si>
    <t>％</t>
    <phoneticPr fontId="4"/>
  </si>
  <si>
    <t>％</t>
    <phoneticPr fontId="4"/>
  </si>
  <si>
    <t>％</t>
    <phoneticPr fontId="5"/>
  </si>
  <si>
    <t>実効税率</t>
    <rPh sb="0" eb="4">
      <t>ジッコウゼイリツ</t>
    </rPh>
    <phoneticPr fontId="5"/>
  </si>
  <si>
    <t>エネルギー生産量</t>
    <rPh sb="5" eb="8">
      <t>セイサンリョウ</t>
    </rPh>
    <phoneticPr fontId="5"/>
  </si>
  <si>
    <t>kW</t>
  </si>
  <si>
    <t>販売価格</t>
    <rPh sb="0" eb="2">
      <t>ハンバイ</t>
    </rPh>
    <rPh sb="2" eb="4">
      <t>カカク</t>
    </rPh>
    <phoneticPr fontId="5"/>
  </si>
  <si>
    <t>バイオマス調達</t>
    <rPh sb="5" eb="7">
      <t>チョウタツ</t>
    </rPh>
    <phoneticPr fontId="5"/>
  </si>
  <si>
    <t>バイオマス①</t>
    <phoneticPr fontId="5"/>
  </si>
  <si>
    <t>固定費③</t>
    <phoneticPr fontId="5"/>
  </si>
  <si>
    <t>変換効率</t>
    <rPh sb="0" eb="4">
      <t>ヘンカンコウリツ</t>
    </rPh>
    <phoneticPr fontId="4"/>
  </si>
  <si>
    <t>%</t>
    <phoneticPr fontId="4"/>
  </si>
  <si>
    <t>その他収益②</t>
    <rPh sb="2" eb="3">
      <t>タ</t>
    </rPh>
    <rPh sb="3" eb="5">
      <t>シュウエキ</t>
    </rPh>
    <phoneticPr fontId="5"/>
  </si>
  <si>
    <t>その他収益③</t>
    <rPh sb="2" eb="3">
      <t>タ</t>
    </rPh>
    <rPh sb="3" eb="5">
      <t>シュウエキ</t>
    </rPh>
    <phoneticPr fontId="5"/>
  </si>
  <si>
    <t>％</t>
  </si>
  <si>
    <t>バイオマス②</t>
    <phoneticPr fontId="5"/>
  </si>
  <si>
    <t>バイオマス③</t>
    <phoneticPr fontId="5"/>
  </si>
  <si>
    <t>バイオマス④</t>
    <phoneticPr fontId="5"/>
  </si>
  <si>
    <t>説明</t>
    <rPh sb="0" eb="2">
      <t>セツメイ</t>
    </rPh>
    <phoneticPr fontId="5"/>
  </si>
  <si>
    <t>固定費④</t>
    <phoneticPr fontId="5"/>
  </si>
  <si>
    <t>所得税</t>
    <rPh sb="0" eb="3">
      <t>ショトクゼイ</t>
    </rPh>
    <phoneticPr fontId="4"/>
  </si>
  <si>
    <r>
      <rPr>
        <sz val="12"/>
        <color indexed="8"/>
        <rFont val="ＭＳ Ｐゴシック"/>
        <family val="3"/>
        <charset val="128"/>
      </rPr>
      <t>日</t>
    </r>
    <r>
      <rPr>
        <sz val="12"/>
        <color indexed="8"/>
        <rFont val="Arial"/>
        <family val="2"/>
      </rPr>
      <t>/</t>
    </r>
    <r>
      <rPr>
        <sz val="12"/>
        <color indexed="8"/>
        <rFont val="ＭＳ Ｐゴシック"/>
        <family val="3"/>
        <charset val="128"/>
      </rPr>
      <t>年</t>
    </r>
    <rPh sb="0" eb="1">
      <t>ニチ</t>
    </rPh>
    <rPh sb="2" eb="3">
      <t>ネン</t>
    </rPh>
    <phoneticPr fontId="5"/>
  </si>
  <si>
    <r>
      <t>円</t>
    </r>
    <r>
      <rPr>
        <sz val="12"/>
        <color indexed="8"/>
        <rFont val="Arial"/>
        <family val="2"/>
      </rPr>
      <t>/kWh</t>
    </r>
    <rPh sb="0" eb="1">
      <t>エン</t>
    </rPh>
    <phoneticPr fontId="5"/>
  </si>
  <si>
    <t>IRR（20年）</t>
    <rPh sb="6" eb="7">
      <t>ネン</t>
    </rPh>
    <phoneticPr fontId="5"/>
  </si>
  <si>
    <t>人件費</t>
    <rPh sb="0" eb="3">
      <t>ジンケンヒ</t>
    </rPh>
    <phoneticPr fontId="4"/>
  </si>
  <si>
    <t>段階</t>
    <rPh sb="0" eb="2">
      <t>ダンカイ</t>
    </rPh>
    <phoneticPr fontId="4"/>
  </si>
  <si>
    <t>バリューチェーン</t>
    <phoneticPr fontId="4"/>
  </si>
  <si>
    <t>システム製造</t>
    <rPh sb="4" eb="6">
      <t>セイゾウ</t>
    </rPh>
    <phoneticPr fontId="4"/>
  </si>
  <si>
    <t>計画・導入</t>
    <rPh sb="0" eb="2">
      <t>ケイカク</t>
    </rPh>
    <rPh sb="3" eb="5">
      <t>ドウニュウ</t>
    </rPh>
    <phoneticPr fontId="4"/>
  </si>
  <si>
    <t>運転・維持</t>
    <rPh sb="0" eb="2">
      <t>ウンテン</t>
    </rPh>
    <rPh sb="3" eb="5">
      <t>イジ</t>
    </rPh>
    <phoneticPr fontId="4"/>
  </si>
  <si>
    <t>燃料　調達</t>
    <rPh sb="0" eb="2">
      <t>ネンリョウ</t>
    </rPh>
    <rPh sb="3" eb="5">
      <t>チョウタツ</t>
    </rPh>
    <phoneticPr fontId="4"/>
  </si>
  <si>
    <t>事業マネージメント</t>
    <rPh sb="0" eb="2">
      <t>ジギョウ</t>
    </rPh>
    <phoneticPr fontId="4"/>
  </si>
  <si>
    <t>支払利息</t>
    <rPh sb="0" eb="4">
      <t>シハライリソク</t>
    </rPh>
    <phoneticPr fontId="4"/>
  </si>
  <si>
    <t>電気事業税</t>
    <rPh sb="0" eb="5">
      <t>デンキジギョウゼイ</t>
    </rPh>
    <phoneticPr fontId="4"/>
  </si>
  <si>
    <t>建設業</t>
    <rPh sb="0" eb="3">
      <t>ケンセツギョウ</t>
    </rPh>
    <phoneticPr fontId="4"/>
  </si>
  <si>
    <t>ユーティリティー費用</t>
    <rPh sb="8" eb="10">
      <t>ヒヨウ</t>
    </rPh>
    <phoneticPr fontId="4"/>
  </si>
  <si>
    <t>計算条件</t>
    <rPh sb="0" eb="4">
      <t>ケイサンジョウケン</t>
    </rPh>
    <phoneticPr fontId="4"/>
  </si>
  <si>
    <t>関係事業者</t>
    <rPh sb="0" eb="5">
      <t>カンケイジギョウシャ</t>
    </rPh>
    <phoneticPr fontId="4"/>
  </si>
  <si>
    <t>その他の学術研究、専門・技術サービス業</t>
    <rPh sb="2" eb="3">
      <t>タ</t>
    </rPh>
    <rPh sb="4" eb="8">
      <t>ガクジュツケンキュウ</t>
    </rPh>
    <rPh sb="9" eb="11">
      <t>センモン</t>
    </rPh>
    <rPh sb="12" eb="14">
      <t>ギジュツ</t>
    </rPh>
    <rPh sb="18" eb="19">
      <t>ギョウ</t>
    </rPh>
    <phoneticPr fontId="4"/>
  </si>
  <si>
    <t>国と地方の主な税金</t>
    <rPh sb="0" eb="1">
      <t>クニ</t>
    </rPh>
    <rPh sb="2" eb="4">
      <t>チホウ</t>
    </rPh>
    <rPh sb="5" eb="6">
      <t>オモ</t>
    </rPh>
    <rPh sb="7" eb="9">
      <t>ゼイキン</t>
    </rPh>
    <phoneticPr fontId="4"/>
  </si>
  <si>
    <t>国税</t>
    <rPh sb="0" eb="2">
      <t>コクゼイ</t>
    </rPh>
    <phoneticPr fontId="4"/>
  </si>
  <si>
    <t>法人税</t>
    <rPh sb="0" eb="3">
      <t>ホウジンゼイ</t>
    </rPh>
    <phoneticPr fontId="4"/>
  </si>
  <si>
    <t>地方税</t>
    <rPh sb="0" eb="3">
      <t>チホウゼイ</t>
    </rPh>
    <phoneticPr fontId="4"/>
  </si>
  <si>
    <t>個人住民税（均等割※）</t>
    <rPh sb="0" eb="5">
      <t>コジンジュウミンゼイ</t>
    </rPh>
    <rPh sb="6" eb="9">
      <t>キントウワリ</t>
    </rPh>
    <phoneticPr fontId="4"/>
  </si>
  <si>
    <t>都道府県</t>
    <rPh sb="0" eb="4">
      <t>トドウフケン</t>
    </rPh>
    <phoneticPr fontId="4"/>
  </si>
  <si>
    <t>市町村</t>
    <rPh sb="0" eb="3">
      <t>シチョウソン</t>
    </rPh>
    <phoneticPr fontId="4"/>
  </si>
  <si>
    <t>財産税</t>
    <rPh sb="0" eb="3">
      <t>ザイサンゼイ</t>
    </rPh>
    <phoneticPr fontId="4"/>
  </si>
  <si>
    <t>消費税</t>
    <rPh sb="0" eb="3">
      <t>ショウヒゼイ</t>
    </rPh>
    <phoneticPr fontId="4"/>
  </si>
  <si>
    <t>売上高に対する可処分所得</t>
    <rPh sb="0" eb="3">
      <t>ウリアゲダカ</t>
    </rPh>
    <rPh sb="4" eb="5">
      <t>タイ</t>
    </rPh>
    <rPh sb="7" eb="12">
      <t>カショブンショトク</t>
    </rPh>
    <phoneticPr fontId="4"/>
  </si>
  <si>
    <t>売上高に対する企業の税引き後純利益</t>
    <rPh sb="0" eb="3">
      <t>ウリアゲダカ</t>
    </rPh>
    <rPh sb="4" eb="5">
      <t>タイ</t>
    </rPh>
    <rPh sb="7" eb="9">
      <t>キギョウ</t>
    </rPh>
    <rPh sb="10" eb="12">
      <t>ゼイビ</t>
    </rPh>
    <rPh sb="13" eb="14">
      <t>ゴ</t>
    </rPh>
    <rPh sb="14" eb="17">
      <t>ジュンリエキ</t>
    </rPh>
    <phoneticPr fontId="4"/>
  </si>
  <si>
    <t>売上高に対する都道府県の税収入</t>
    <rPh sb="0" eb="3">
      <t>ウリアゲダカ</t>
    </rPh>
    <rPh sb="4" eb="5">
      <t>タイ</t>
    </rPh>
    <rPh sb="7" eb="11">
      <t>トドウフケン</t>
    </rPh>
    <rPh sb="12" eb="15">
      <t>ゼイシュウニュウ</t>
    </rPh>
    <phoneticPr fontId="4"/>
  </si>
  <si>
    <t>売上高に対する市町村の税収入</t>
    <rPh sb="0" eb="3">
      <t>ウリアゲダカ</t>
    </rPh>
    <rPh sb="4" eb="5">
      <t>タイ</t>
    </rPh>
    <rPh sb="7" eb="10">
      <t>シチョウソン</t>
    </rPh>
    <rPh sb="11" eb="14">
      <t>ゼイシュウニュウ</t>
    </rPh>
    <phoneticPr fontId="4"/>
  </si>
  <si>
    <t>内訳</t>
    <rPh sb="0" eb="2">
      <t>ウチワケ</t>
    </rPh>
    <phoneticPr fontId="4"/>
  </si>
  <si>
    <t>電気業</t>
    <rPh sb="0" eb="2">
      <t>デンキ</t>
    </rPh>
    <rPh sb="2" eb="3">
      <t>ギョウ</t>
    </rPh>
    <phoneticPr fontId="4"/>
  </si>
  <si>
    <t>農業、林業</t>
    <rPh sb="0" eb="2">
      <t>ノウギョウ</t>
    </rPh>
    <rPh sb="3" eb="5">
      <t>リンギョウ</t>
    </rPh>
    <phoneticPr fontId="4"/>
  </si>
  <si>
    <t>陸運業</t>
    <rPh sb="0" eb="3">
      <t>リクウンギョウ</t>
    </rPh>
    <phoneticPr fontId="4"/>
  </si>
  <si>
    <t>銀行業</t>
    <rPh sb="0" eb="3">
      <t>ギンコウギョウ</t>
    </rPh>
    <phoneticPr fontId="4"/>
  </si>
  <si>
    <t>売上高に対する可処分所得</t>
    <rPh sb="0" eb="3">
      <t>ウリアゲダカ</t>
    </rPh>
    <rPh sb="4" eb="5">
      <t>タイ</t>
    </rPh>
    <rPh sb="7" eb="12">
      <t>カショブンショトク</t>
    </rPh>
    <phoneticPr fontId="4"/>
  </si>
  <si>
    <t>備考</t>
    <rPh sb="0" eb="2">
      <t>ビコウ</t>
    </rPh>
    <phoneticPr fontId="4"/>
  </si>
  <si>
    <t>自動入力</t>
    <rPh sb="0" eb="4">
      <t>ジドウニュウリョク</t>
    </rPh>
    <phoneticPr fontId="4"/>
  </si>
  <si>
    <t>金額</t>
    <rPh sb="0" eb="2">
      <t>キンガク</t>
    </rPh>
    <phoneticPr fontId="4"/>
  </si>
  <si>
    <t>地域外事業者</t>
    <rPh sb="0" eb="6">
      <t>チイキガイジギョウシャ</t>
    </rPh>
    <phoneticPr fontId="4"/>
  </si>
  <si>
    <t>千円（総額）</t>
    <rPh sb="3" eb="5">
      <t>ソウガク</t>
    </rPh>
    <phoneticPr fontId="4"/>
  </si>
  <si>
    <t>千円/年</t>
    <rPh sb="3" eb="4">
      <t>ネン</t>
    </rPh>
    <phoneticPr fontId="4"/>
  </si>
  <si>
    <t>円</t>
    <rPh sb="0" eb="1">
      <t>エン</t>
    </rPh>
    <phoneticPr fontId="4"/>
  </si>
  <si>
    <r>
      <rPr>
        <sz val="9"/>
        <rFont val="ＭＳ Ｐゴシック"/>
        <family val="3"/>
        <charset val="128"/>
      </rPr>
      <t>年度</t>
    </r>
    <phoneticPr fontId="5"/>
  </si>
  <si>
    <t>売電収入</t>
    <rPh sb="0" eb="4">
      <t>バイデンシュウニュウ</t>
    </rPh>
    <phoneticPr fontId="4"/>
  </si>
  <si>
    <t>売熱収入</t>
    <rPh sb="0" eb="4">
      <t>バイネツシュウニュウ</t>
    </rPh>
    <phoneticPr fontId="4"/>
  </si>
  <si>
    <t>kWh</t>
    <phoneticPr fontId="4"/>
  </si>
  <si>
    <r>
      <rPr>
        <sz val="9"/>
        <color theme="1"/>
        <rFont val="ＭＳ Ｐゴシック"/>
        <family val="3"/>
        <charset val="128"/>
      </rPr>
      <t>円</t>
    </r>
    <r>
      <rPr>
        <sz val="9"/>
        <color theme="1"/>
        <rFont val="Arial"/>
        <family val="2"/>
      </rPr>
      <t>/kWh</t>
    </r>
    <rPh sb="0" eb="1">
      <t>エン</t>
    </rPh>
    <phoneticPr fontId="4"/>
  </si>
  <si>
    <t>MJ</t>
    <phoneticPr fontId="4"/>
  </si>
  <si>
    <r>
      <rPr>
        <sz val="9"/>
        <color theme="1"/>
        <rFont val="ＭＳ Ｐゴシック"/>
        <family val="3"/>
        <charset val="128"/>
      </rPr>
      <t>円</t>
    </r>
    <r>
      <rPr>
        <sz val="9"/>
        <color theme="1"/>
        <rFont val="Arial"/>
        <family val="2"/>
      </rPr>
      <t>/MJ</t>
    </r>
    <rPh sb="0" eb="1">
      <t>エン</t>
    </rPh>
    <phoneticPr fontId="4"/>
  </si>
  <si>
    <t>　発電量</t>
    <rPh sb="1" eb="4">
      <t>ハツデンリョウ</t>
    </rPh>
    <phoneticPr fontId="4"/>
  </si>
  <si>
    <t>　売電量</t>
    <rPh sb="1" eb="4">
      <t>バイデンリョウ</t>
    </rPh>
    <phoneticPr fontId="4"/>
  </si>
  <si>
    <t>　売電価格</t>
    <rPh sb="1" eb="5">
      <t>バイデンカカク</t>
    </rPh>
    <phoneticPr fontId="4"/>
  </si>
  <si>
    <t>　熱利用可能量</t>
    <rPh sb="1" eb="7">
      <t>ネツリヨウカノウリョウ</t>
    </rPh>
    <phoneticPr fontId="4"/>
  </si>
  <si>
    <t>　売熱量</t>
    <rPh sb="1" eb="3">
      <t>バイネツ</t>
    </rPh>
    <rPh sb="3" eb="4">
      <t>リョウ</t>
    </rPh>
    <phoneticPr fontId="4"/>
  </si>
  <si>
    <t>　売熱価格</t>
    <rPh sb="1" eb="5">
      <t>バイネツカカク</t>
    </rPh>
    <phoneticPr fontId="4"/>
  </si>
  <si>
    <t>電気事業税（都道府県）</t>
    <rPh sb="0" eb="5">
      <t>デンキジギョウゼイ</t>
    </rPh>
    <rPh sb="6" eb="10">
      <t>トドウフケン</t>
    </rPh>
    <phoneticPr fontId="4"/>
  </si>
  <si>
    <t>都道府県税収</t>
    <rPh sb="0" eb="4">
      <t>トドウフケン</t>
    </rPh>
    <rPh sb="4" eb="6">
      <t>ゼイシュウ</t>
    </rPh>
    <phoneticPr fontId="4"/>
  </si>
  <si>
    <t>市町村税収</t>
    <rPh sb="0" eb="5">
      <t>シチョウソンゼイシュウ</t>
    </rPh>
    <phoneticPr fontId="4"/>
  </si>
  <si>
    <t>従業員給与</t>
    <rPh sb="0" eb="3">
      <t>ジュウギョウイン</t>
    </rPh>
    <rPh sb="3" eb="5">
      <t>キュウヨ</t>
    </rPh>
    <phoneticPr fontId="4"/>
  </si>
  <si>
    <t>役員給与</t>
    <rPh sb="0" eb="4">
      <t>ヤクインキュウヨ</t>
    </rPh>
    <phoneticPr fontId="4"/>
  </si>
  <si>
    <t>福利厚生費</t>
    <rPh sb="0" eb="5">
      <t>フクリコウセイヒ</t>
    </rPh>
    <phoneticPr fontId="4"/>
  </si>
  <si>
    <t>可処分所得</t>
    <rPh sb="0" eb="5">
      <t>カショブンショトク</t>
    </rPh>
    <phoneticPr fontId="4"/>
  </si>
  <si>
    <t>売電収入</t>
    <rPh sb="0" eb="2">
      <t>バイデン</t>
    </rPh>
    <rPh sb="2" eb="4">
      <t>シュウニュウ</t>
    </rPh>
    <phoneticPr fontId="4"/>
  </si>
  <si>
    <t>20年計</t>
    <rPh sb="2" eb="3">
      <t>ネン</t>
    </rPh>
    <rPh sb="3" eb="4">
      <t>ケイ</t>
    </rPh>
    <phoneticPr fontId="5"/>
  </si>
  <si>
    <t>30年計</t>
    <rPh sb="2" eb="3">
      <t>ネン</t>
    </rPh>
    <rPh sb="3" eb="4">
      <t>ケイ</t>
    </rPh>
    <phoneticPr fontId="5"/>
  </si>
  <si>
    <t>都道府県税収</t>
    <rPh sb="0" eb="6">
      <t>トドウフケンゼイシュウ</t>
    </rPh>
    <phoneticPr fontId="4"/>
  </si>
  <si>
    <t>税引き後準利益</t>
    <rPh sb="0" eb="2">
      <t>ゼイビ</t>
    </rPh>
    <rPh sb="3" eb="7">
      <t>ゴジュンリエキ</t>
    </rPh>
    <phoneticPr fontId="4"/>
  </si>
  <si>
    <t>年度</t>
    <phoneticPr fontId="5"/>
  </si>
  <si>
    <t>合計</t>
    <rPh sb="0" eb="2">
      <t>ゴウケイ</t>
    </rPh>
    <phoneticPr fontId="4"/>
  </si>
  <si>
    <t>自動入力</t>
    <rPh sb="0" eb="4">
      <t>ジドウニュウリョク</t>
    </rPh>
    <phoneticPr fontId="4"/>
  </si>
  <si>
    <t>金利支払い</t>
    <rPh sb="0" eb="4">
      <t>キンリシハラ</t>
    </rPh>
    <phoneticPr fontId="4"/>
  </si>
  <si>
    <t>従業員の可処分所得（金利）</t>
    <rPh sb="0" eb="3">
      <t>ジュウギョウイン</t>
    </rPh>
    <rPh sb="4" eb="9">
      <t>カショブンショトク</t>
    </rPh>
    <rPh sb="10" eb="12">
      <t>キンリ</t>
    </rPh>
    <phoneticPr fontId="4"/>
  </si>
  <si>
    <t>企業の税引後利益（金利）</t>
    <rPh sb="0" eb="2">
      <t>キギョウ</t>
    </rPh>
    <rPh sb="3" eb="8">
      <t>ゼイビキゴリエキ</t>
    </rPh>
    <rPh sb="9" eb="11">
      <t>キンリ</t>
    </rPh>
    <phoneticPr fontId="4"/>
  </si>
  <si>
    <t>○地域内で循環するキャッシュの内訳</t>
    <rPh sb="1" eb="4">
      <t>チイキナイ</t>
    </rPh>
    <rPh sb="5" eb="7">
      <t>ジュンカン</t>
    </rPh>
    <rPh sb="15" eb="17">
      <t>ウチワケ</t>
    </rPh>
    <phoneticPr fontId="4"/>
  </si>
  <si>
    <t>消費税（内訳）</t>
    <rPh sb="0" eb="3">
      <t>ショウヒゼイ</t>
    </rPh>
    <rPh sb="4" eb="6">
      <t>ウチワケ</t>
    </rPh>
    <phoneticPr fontId="4"/>
  </si>
  <si>
    <t>固定資産税（市町村）</t>
    <rPh sb="0" eb="5">
      <t>コテイシサンゼイ</t>
    </rPh>
    <rPh sb="6" eb="9">
      <t>シチョウソン</t>
    </rPh>
    <phoneticPr fontId="4"/>
  </si>
  <si>
    <t>○事業種別のまとめ</t>
    <rPh sb="1" eb="3">
      <t>ジギョウ</t>
    </rPh>
    <rPh sb="3" eb="5">
      <t>シュベツ</t>
    </rPh>
    <phoneticPr fontId="4"/>
  </si>
  <si>
    <t>地域内事業者売上</t>
    <rPh sb="0" eb="3">
      <t>チイキナイ</t>
    </rPh>
    <rPh sb="3" eb="6">
      <t>ジギョウシャ</t>
    </rPh>
    <rPh sb="6" eb="8">
      <t>ウリアゲ</t>
    </rPh>
    <phoneticPr fontId="4"/>
  </si>
  <si>
    <t>合計額</t>
    <rPh sb="0" eb="3">
      <t>ゴウケイガク</t>
    </rPh>
    <phoneticPr fontId="4"/>
  </si>
  <si>
    <t>運転維持(バイオマス調達)</t>
    <rPh sb="0" eb="4">
      <t>ウンテンイジ</t>
    </rPh>
    <phoneticPr fontId="4"/>
  </si>
  <si>
    <t>運転維持(その他）</t>
    <rPh sb="0" eb="4">
      <t>ウンテンイジ</t>
    </rPh>
    <rPh sb="7" eb="8">
      <t>タ</t>
    </rPh>
    <phoneticPr fontId="4"/>
  </si>
  <si>
    <t>バイオマス供給元スループット</t>
    <rPh sb="5" eb="8">
      <t>キョウキュウモト</t>
    </rPh>
    <phoneticPr fontId="4"/>
  </si>
  <si>
    <t>○事業者内でのキャッシュのまとめ</t>
    <rPh sb="1" eb="4">
      <t>ジギョウシャ</t>
    </rPh>
    <rPh sb="4" eb="5">
      <t>ナイ</t>
    </rPh>
    <phoneticPr fontId="4"/>
  </si>
  <si>
    <t>収入</t>
    <rPh sb="0" eb="2">
      <t>シュウニュウ</t>
    </rPh>
    <phoneticPr fontId="4"/>
  </si>
  <si>
    <t>支出</t>
    <rPh sb="0" eb="2">
      <t>シシュツ</t>
    </rPh>
    <phoneticPr fontId="4"/>
  </si>
  <si>
    <t>イニシャル</t>
    <phoneticPr fontId="4"/>
  </si>
  <si>
    <t>変動費</t>
    <rPh sb="0" eb="3">
      <t>ヘンドウヒ</t>
    </rPh>
    <phoneticPr fontId="4"/>
  </si>
  <si>
    <t>　うち都道府県税収</t>
    <rPh sb="3" eb="9">
      <t>トドウフケンゼイシュウ</t>
    </rPh>
    <phoneticPr fontId="4"/>
  </si>
  <si>
    <t>　うち市町村税収</t>
    <rPh sb="3" eb="8">
      <t>シチョウソンゼイシュウ</t>
    </rPh>
    <phoneticPr fontId="4"/>
  </si>
  <si>
    <t>　うち福利厚生費</t>
    <rPh sb="3" eb="8">
      <t>フクリコウセイヒ</t>
    </rPh>
    <phoneticPr fontId="4"/>
  </si>
  <si>
    <t>法人税（都道府県）</t>
    <rPh sb="0" eb="3">
      <t>ホウジンゼイ</t>
    </rPh>
    <rPh sb="4" eb="8">
      <t>トドウフケン</t>
    </rPh>
    <phoneticPr fontId="4"/>
  </si>
  <si>
    <t>法人税（市町村）</t>
    <rPh sb="0" eb="3">
      <t>ホウジンゼイ</t>
    </rPh>
    <rPh sb="4" eb="7">
      <t>シチョウソン</t>
    </rPh>
    <phoneticPr fontId="4"/>
  </si>
  <si>
    <t>借入金返済</t>
    <rPh sb="0" eb="5">
      <t>カリイレキンヘンサイ</t>
    </rPh>
    <phoneticPr fontId="4"/>
  </si>
  <si>
    <t>地域内で循環するキャッシュの総量</t>
  </si>
  <si>
    <t>合計額（営業キャッシュ・フロー）</t>
    <rPh sb="0" eb="3">
      <t>ゴウケイガク</t>
    </rPh>
    <rPh sb="4" eb="6">
      <t>エイギョウ</t>
    </rPh>
    <phoneticPr fontId="4"/>
  </si>
  <si>
    <t>財務キャッシュ・フロー（支出のみ）</t>
    <rPh sb="0" eb="2">
      <t>ザイム</t>
    </rPh>
    <rPh sb="12" eb="14">
      <t>シシュツ</t>
    </rPh>
    <phoneticPr fontId="4"/>
  </si>
  <si>
    <t>合計額（財務キャッシュ・フロー）</t>
    <rPh sb="0" eb="3">
      <t>ゴウケイガク</t>
    </rPh>
    <rPh sb="4" eb="6">
      <t>ザイム</t>
    </rPh>
    <phoneticPr fontId="4"/>
  </si>
  <si>
    <t>繰越欠損金考慮後の課税所得</t>
    <phoneticPr fontId="4"/>
  </si>
  <si>
    <t>円/kWh</t>
    <rPh sb="0" eb="1">
      <t>エン</t>
    </rPh>
    <phoneticPr fontId="4"/>
  </si>
  <si>
    <t>百万円</t>
    <rPh sb="0" eb="3">
      <t>ヒャクマンエン</t>
    </rPh>
    <phoneticPr fontId="4"/>
  </si>
  <si>
    <t>10年計</t>
    <rPh sb="2" eb="3">
      <t>ネン</t>
    </rPh>
    <rPh sb="3" eb="4">
      <t>ケイ</t>
    </rPh>
    <phoneticPr fontId="5"/>
  </si>
  <si>
    <t>円</t>
    <rPh sb="0" eb="1">
      <t>エン</t>
    </rPh>
    <phoneticPr fontId="4"/>
  </si>
  <si>
    <t>10年間合計</t>
  </si>
  <si>
    <t>20年間合計</t>
  </si>
  <si>
    <t>電力費用低減効果</t>
    <rPh sb="0" eb="8">
      <t>デンリョクヒヨウテイゲンコウカ</t>
    </rPh>
    <phoneticPr fontId="4"/>
  </si>
  <si>
    <t>熱費用低減効果</t>
    <rPh sb="0" eb="1">
      <t>ネツ</t>
    </rPh>
    <rPh sb="1" eb="3">
      <t>ヒヨウ</t>
    </rPh>
    <rPh sb="3" eb="5">
      <t>テイゲン</t>
    </rPh>
    <rPh sb="5" eb="7">
      <t>コウカ</t>
    </rPh>
    <phoneticPr fontId="4"/>
  </si>
  <si>
    <t>↓必要に応じて名称を変更してください</t>
    <rPh sb="1" eb="3">
      <t>ヒツヨウ</t>
    </rPh>
    <rPh sb="4" eb="5">
      <t>オウ</t>
    </rPh>
    <rPh sb="7" eb="9">
      <t>メイショウ</t>
    </rPh>
    <rPh sb="10" eb="12">
      <t>ヘンコウ</t>
    </rPh>
    <phoneticPr fontId="4"/>
  </si>
  <si>
    <t>↓手動入力</t>
    <rPh sb="1" eb="5">
      <t>シュドウニュウリョク</t>
    </rPh>
    <phoneticPr fontId="4"/>
  </si>
  <si>
    <t>地域経済性の分析</t>
    <rPh sb="0" eb="2">
      <t>チイキ</t>
    </rPh>
    <rPh sb="2" eb="4">
      <t>ケイザイ</t>
    </rPh>
    <rPh sb="4" eb="5">
      <t>セイ</t>
    </rPh>
    <rPh sb="6" eb="8">
      <t>ブンセキ</t>
    </rPh>
    <phoneticPr fontId="4"/>
  </si>
  <si>
    <t>円/t</t>
    <rPh sb="0" eb="1">
      <t>エン</t>
    </rPh>
    <phoneticPr fontId="4"/>
  </si>
  <si>
    <t>最終出力</t>
    <rPh sb="0" eb="4">
      <t>サイシュウシュツリョク</t>
    </rPh>
    <phoneticPr fontId="5"/>
  </si>
  <si>
    <t>1次波及</t>
    <rPh sb="1" eb="4">
      <t>ジハキュウ</t>
    </rPh>
    <phoneticPr fontId="5"/>
  </si>
  <si>
    <t>地域関連事業者の
売上高にしめる可処分所得
（1次）</t>
    <rPh sb="0" eb="2">
      <t>チイキ</t>
    </rPh>
    <rPh sb="2" eb="4">
      <t>カンレン</t>
    </rPh>
    <rPh sb="4" eb="7">
      <t>ジギョウシャ</t>
    </rPh>
    <rPh sb="9" eb="12">
      <t>ウリアゲダカ</t>
    </rPh>
    <rPh sb="16" eb="19">
      <t>カショブン</t>
    </rPh>
    <rPh sb="19" eb="21">
      <t>ショトク</t>
    </rPh>
    <rPh sb="24" eb="25">
      <t>ジ</t>
    </rPh>
    <phoneticPr fontId="5"/>
  </si>
  <si>
    <t>地域関連事業者の
売上高にしめる企業利益
（1次）</t>
    <rPh sb="0" eb="2">
      <t>チイキ</t>
    </rPh>
    <rPh sb="2" eb="4">
      <t>カンレン</t>
    </rPh>
    <rPh sb="4" eb="7">
      <t>ジギョウシャ</t>
    </rPh>
    <rPh sb="9" eb="12">
      <t>ウリアゲダカ</t>
    </rPh>
    <rPh sb="16" eb="20">
      <t>キギョウリエキ</t>
    </rPh>
    <rPh sb="23" eb="24">
      <t>ジ</t>
    </rPh>
    <phoneticPr fontId="5"/>
  </si>
  <si>
    <t>地域関連事業者の
売上高にしめる
都道府県税収（1次）</t>
    <rPh sb="0" eb="2">
      <t>チイキ</t>
    </rPh>
    <rPh sb="2" eb="4">
      <t>カンレン</t>
    </rPh>
    <rPh sb="4" eb="7">
      <t>ジギョウシャ</t>
    </rPh>
    <rPh sb="9" eb="12">
      <t>ウリアゲダカ</t>
    </rPh>
    <rPh sb="17" eb="23">
      <t>トドウフケンゼイシュウ</t>
    </rPh>
    <rPh sb="25" eb="26">
      <t>ジ</t>
    </rPh>
    <phoneticPr fontId="5"/>
  </si>
  <si>
    <t>地域関連事業者の
売上高にしめる
市町村税収（1次）</t>
    <rPh sb="0" eb="2">
      <t>チイキ</t>
    </rPh>
    <rPh sb="2" eb="4">
      <t>カンレン</t>
    </rPh>
    <rPh sb="4" eb="7">
      <t>ジギョウシャ</t>
    </rPh>
    <rPh sb="9" eb="12">
      <t>ウリアゲダカ</t>
    </rPh>
    <rPh sb="17" eb="22">
      <t>シチョウソンゼイシュウ</t>
    </rPh>
    <rPh sb="24" eb="25">
      <t>ジ</t>
    </rPh>
    <phoneticPr fontId="5"/>
  </si>
  <si>
    <t>地域関連事業者の
売上高にしめる雇用所得
（2次）</t>
    <rPh sb="0" eb="2">
      <t>チイキ</t>
    </rPh>
    <rPh sb="2" eb="4">
      <t>カンレン</t>
    </rPh>
    <rPh sb="4" eb="7">
      <t>ジギョウシャ</t>
    </rPh>
    <rPh sb="9" eb="12">
      <t>ウリアゲダカ</t>
    </rPh>
    <rPh sb="16" eb="20">
      <t>コヨウショトク</t>
    </rPh>
    <phoneticPr fontId="5"/>
  </si>
  <si>
    <t>地域関連事業者の
売上高にしめる企業利益
（2次）</t>
    <rPh sb="0" eb="2">
      <t>チイキ</t>
    </rPh>
    <rPh sb="2" eb="4">
      <t>カンレン</t>
    </rPh>
    <rPh sb="4" eb="7">
      <t>ジギョウシャ</t>
    </rPh>
    <rPh sb="9" eb="12">
      <t>ウリアゲダカ</t>
    </rPh>
    <rPh sb="16" eb="20">
      <t>キギョウリエキ</t>
    </rPh>
    <phoneticPr fontId="5"/>
  </si>
  <si>
    <t>地域関連事業者の
売上高にしめる
都道府県税収（2次）</t>
    <rPh sb="0" eb="2">
      <t>チイキ</t>
    </rPh>
    <rPh sb="2" eb="4">
      <t>カンレン</t>
    </rPh>
    <rPh sb="4" eb="7">
      <t>ジギョウシャ</t>
    </rPh>
    <rPh sb="9" eb="12">
      <t>ウリアゲダカ</t>
    </rPh>
    <rPh sb="17" eb="23">
      <t>トドウフケンゼイシュウ</t>
    </rPh>
    <phoneticPr fontId="5"/>
  </si>
  <si>
    <t>地域関連事業者の
売上高にしめる
市町村税収（2次）</t>
    <rPh sb="0" eb="2">
      <t>チイキ</t>
    </rPh>
    <rPh sb="2" eb="4">
      <t>カンレン</t>
    </rPh>
    <rPh sb="4" eb="7">
      <t>ジギョウシャ</t>
    </rPh>
    <rPh sb="9" eb="12">
      <t>ウリアゲダカ</t>
    </rPh>
    <rPh sb="17" eb="22">
      <t>シチョウソンゼイシュウ</t>
    </rPh>
    <phoneticPr fontId="5"/>
  </si>
  <si>
    <t>売上高にしめる雇用所得</t>
    <rPh sb="0" eb="3">
      <t>ウリアゲダカ</t>
    </rPh>
    <rPh sb="7" eb="11">
      <t>コヨウショトク</t>
    </rPh>
    <phoneticPr fontId="5"/>
  </si>
  <si>
    <t>売上高に占める営業余剰</t>
    <rPh sb="0" eb="3">
      <t>ウリアゲダカ</t>
    </rPh>
    <rPh sb="4" eb="5">
      <t>シ</t>
    </rPh>
    <rPh sb="7" eb="11">
      <t>エイギョウヨジョウ</t>
    </rPh>
    <phoneticPr fontId="5"/>
  </si>
  <si>
    <t>売上高に占める
個人住民税＋住民課税
（都道府県）</t>
    <rPh sb="0" eb="3">
      <t>ウリアゲダカ</t>
    </rPh>
    <rPh sb="4" eb="5">
      <t>シ</t>
    </rPh>
    <rPh sb="8" eb="13">
      <t>コジンジュウミンゼイ</t>
    </rPh>
    <rPh sb="14" eb="16">
      <t>ジュウミン</t>
    </rPh>
    <rPh sb="16" eb="18">
      <t>カゼイ</t>
    </rPh>
    <rPh sb="20" eb="24">
      <t>トドウフケン</t>
    </rPh>
    <phoneticPr fontId="5"/>
  </si>
  <si>
    <t>売上高に占める
個人住民税＋住民課税
（市町村）</t>
    <rPh sb="0" eb="3">
      <t>ウリアゲダカ</t>
    </rPh>
    <rPh sb="4" eb="5">
      <t>シ</t>
    </rPh>
    <rPh sb="8" eb="13">
      <t>コジンジュウミンゼイ</t>
    </rPh>
    <rPh sb="14" eb="16">
      <t>ジュウミン</t>
    </rPh>
    <rPh sb="16" eb="18">
      <t>カゼイ</t>
    </rPh>
    <rPh sb="20" eb="23">
      <t>シチョウソン</t>
    </rPh>
    <phoneticPr fontId="5"/>
  </si>
  <si>
    <t>売上高に占める
法人住民税＋法人事業税
（都道府県）</t>
    <rPh sb="0" eb="3">
      <t>ウリアゲダカ</t>
    </rPh>
    <rPh sb="4" eb="5">
      <t>シ</t>
    </rPh>
    <rPh sb="8" eb="10">
      <t>ホウジン</t>
    </rPh>
    <rPh sb="10" eb="13">
      <t>ジュウミンゼイ</t>
    </rPh>
    <rPh sb="14" eb="18">
      <t>ホウジンジギョウ</t>
    </rPh>
    <rPh sb="18" eb="19">
      <t>ゼイ</t>
    </rPh>
    <rPh sb="21" eb="25">
      <t>トドウフケン</t>
    </rPh>
    <phoneticPr fontId="5"/>
  </si>
  <si>
    <t>売上高に占める
法人住民税＋法人事業税
（市町村）</t>
    <rPh sb="0" eb="3">
      <t>ウリアゲダカ</t>
    </rPh>
    <rPh sb="4" eb="5">
      <t>シ</t>
    </rPh>
    <rPh sb="8" eb="10">
      <t>ホウジン</t>
    </rPh>
    <rPh sb="10" eb="13">
      <t>ジュウミンゼイ</t>
    </rPh>
    <rPh sb="14" eb="18">
      <t>ホウジンジギョウ</t>
    </rPh>
    <rPh sb="18" eb="19">
      <t>ゼイ</t>
    </rPh>
    <rPh sb="21" eb="24">
      <t>シチョウソン</t>
    </rPh>
    <phoneticPr fontId="5"/>
  </si>
  <si>
    <t>売上高に対する
2次雇用所得</t>
    <rPh sb="0" eb="3">
      <t>ウリアゲダカ</t>
    </rPh>
    <rPh sb="9" eb="10">
      <t>ジ</t>
    </rPh>
    <rPh sb="10" eb="14">
      <t>コヨウショトク</t>
    </rPh>
    <phoneticPr fontId="5"/>
  </si>
  <si>
    <t>売上高に占める
2次営業余剰</t>
    <rPh sb="0" eb="3">
      <t>ウリアゲダカ</t>
    </rPh>
    <rPh sb="4" eb="5">
      <t>シ</t>
    </rPh>
    <rPh sb="9" eb="10">
      <t>ジ</t>
    </rPh>
    <rPh sb="10" eb="14">
      <t>エイギョウヨジョウ</t>
    </rPh>
    <phoneticPr fontId="5"/>
  </si>
  <si>
    <t>↓手動入力（R列からコピー可）</t>
    <rPh sb="1" eb="5">
      <t>シュドウニュウリョク</t>
    </rPh>
    <rPh sb="7" eb="8">
      <t>レツ</t>
    </rPh>
    <rPh sb="13" eb="14">
      <t>カ</t>
    </rPh>
    <phoneticPr fontId="4"/>
  </si>
  <si>
    <t>1次波及効果</t>
    <rPh sb="1" eb="6">
      <t>ジハキュウコウカ</t>
    </rPh>
    <phoneticPr fontId="4"/>
  </si>
  <si>
    <t>２次波及効果</t>
    <rPh sb="1" eb="6">
      <t>ジハキュウコウカ</t>
    </rPh>
    <phoneticPr fontId="4"/>
  </si>
  <si>
    <t>従業員の可処分所得（一次）</t>
    <rPh sb="0" eb="3">
      <t>ジュウギョウイン</t>
    </rPh>
    <rPh sb="4" eb="9">
      <t>カショブンショトク</t>
    </rPh>
    <rPh sb="10" eb="11">
      <t>イチ</t>
    </rPh>
    <rPh sb="11" eb="12">
      <t>ジ</t>
    </rPh>
    <phoneticPr fontId="4"/>
  </si>
  <si>
    <t>企業の税引後利益（一次）</t>
    <rPh sb="0" eb="2">
      <t>キギョウ</t>
    </rPh>
    <rPh sb="3" eb="8">
      <t>ゼイビキゴリエキ</t>
    </rPh>
    <rPh sb="9" eb="11">
      <t>イチジ</t>
    </rPh>
    <phoneticPr fontId="4"/>
  </si>
  <si>
    <t>都道府県税収（一次）</t>
    <rPh sb="0" eb="4">
      <t>トドウフケン</t>
    </rPh>
    <rPh sb="4" eb="6">
      <t>ゼイシュウ</t>
    </rPh>
    <phoneticPr fontId="4"/>
  </si>
  <si>
    <t>市町村税収（一次）</t>
    <rPh sb="0" eb="5">
      <t>シチョウソンゼイシュウ</t>
    </rPh>
    <phoneticPr fontId="4"/>
  </si>
  <si>
    <t>円</t>
    <rPh sb="0" eb="1">
      <t>エン</t>
    </rPh>
    <phoneticPr fontId="4"/>
  </si>
  <si>
    <t>従業員の可処分所得（二次以降）</t>
    <rPh sb="0" eb="3">
      <t>ジュウギョウイン</t>
    </rPh>
    <rPh sb="4" eb="9">
      <t>カショブンショトク</t>
    </rPh>
    <phoneticPr fontId="4"/>
  </si>
  <si>
    <t>企業の税引後利益（二次以降）</t>
    <rPh sb="0" eb="2">
      <t>キギョウ</t>
    </rPh>
    <rPh sb="3" eb="8">
      <t>ゼイビキゴリエキ</t>
    </rPh>
    <phoneticPr fontId="4"/>
  </si>
  <si>
    <t>都道府県税収（二次以降）</t>
    <rPh sb="0" eb="4">
      <t>トドウフケン</t>
    </rPh>
    <rPh sb="4" eb="6">
      <t>ゼイシュウ</t>
    </rPh>
    <phoneticPr fontId="4"/>
  </si>
  <si>
    <t>市町村税収（二次以降）</t>
    <rPh sb="0" eb="5">
      <t>シチョウソンゼイシュウ</t>
    </rPh>
    <phoneticPr fontId="4"/>
  </si>
  <si>
    <t>再エネ事業者の所得</t>
    <rPh sb="0" eb="1">
      <t>サイ</t>
    </rPh>
    <rPh sb="3" eb="6">
      <t>ジギョウシャ</t>
    </rPh>
    <rPh sb="7" eb="9">
      <t>ショトク</t>
    </rPh>
    <phoneticPr fontId="4"/>
  </si>
  <si>
    <t>従業員給与</t>
    <rPh sb="0" eb="5">
      <t>ジュウギョウインキュウヨ</t>
    </rPh>
    <phoneticPr fontId="4"/>
  </si>
  <si>
    <t>福利厚生</t>
    <rPh sb="0" eb="4">
      <t>フクリコウセイ</t>
    </rPh>
    <phoneticPr fontId="4"/>
  </si>
  <si>
    <t>借入金返済（域外）</t>
    <rPh sb="6" eb="8">
      <t>イキガイ</t>
    </rPh>
    <phoneticPr fontId="4"/>
  </si>
  <si>
    <t>都道府県税収（一次）</t>
    <rPh sb="0" eb="4">
      <t>トドウフケン</t>
    </rPh>
    <rPh sb="4" eb="6">
      <t>ゼイシュウ</t>
    </rPh>
    <rPh sb="7" eb="9">
      <t>イチジ</t>
    </rPh>
    <phoneticPr fontId="4"/>
  </si>
  <si>
    <t>市町村税収（一次）</t>
    <rPh sb="0" eb="3">
      <t>シチョウソン</t>
    </rPh>
    <rPh sb="3" eb="5">
      <t>ゼイシュウ</t>
    </rPh>
    <rPh sb="6" eb="8">
      <t>イチジ</t>
    </rPh>
    <phoneticPr fontId="4"/>
  </si>
  <si>
    <t>他事業の従業員所得（二次以降）</t>
    <rPh sb="0" eb="3">
      <t>タジギョウ</t>
    </rPh>
    <rPh sb="4" eb="7">
      <t>ジュウギョウイン</t>
    </rPh>
    <rPh sb="7" eb="9">
      <t>ショトク</t>
    </rPh>
    <phoneticPr fontId="4"/>
  </si>
  <si>
    <t>他事業の事業利益（二次以降）</t>
    <rPh sb="0" eb="3">
      <t>タジギョウ</t>
    </rPh>
    <rPh sb="4" eb="8">
      <t>ジギョウリエキ</t>
    </rPh>
    <phoneticPr fontId="4"/>
  </si>
  <si>
    <t>都道府県税収（二次以降）</t>
    <rPh sb="0" eb="4">
      <t>トドウフケン</t>
    </rPh>
    <rPh sb="4" eb="6">
      <t>ゼイシュウ</t>
    </rPh>
    <phoneticPr fontId="4"/>
  </si>
  <si>
    <t>売上高に占める
所得税（国税）</t>
    <rPh sb="0" eb="3">
      <t>ウリアゲダカ</t>
    </rPh>
    <rPh sb="4" eb="5">
      <t>シ</t>
    </rPh>
    <rPh sb="8" eb="11">
      <t>ショトクゼイ</t>
    </rPh>
    <rPh sb="12" eb="14">
      <t>コクゼイ</t>
    </rPh>
    <phoneticPr fontId="5"/>
  </si>
  <si>
    <t>売上高に占める
法人税（国税）</t>
    <rPh sb="0" eb="3">
      <t>ウリアゲダカ</t>
    </rPh>
    <rPh sb="4" eb="5">
      <t>シ</t>
    </rPh>
    <rPh sb="8" eb="11">
      <t>ホウジンゼイ</t>
    </rPh>
    <rPh sb="12" eb="14">
      <t>コクゼイ</t>
    </rPh>
    <phoneticPr fontId="5"/>
  </si>
  <si>
    <t>2次以降の波及効果</t>
    <rPh sb="1" eb="4">
      <t>ジイコウ</t>
    </rPh>
    <rPh sb="5" eb="7">
      <t>ハキュウ</t>
    </rPh>
    <rPh sb="7" eb="9">
      <t>コウカ</t>
    </rPh>
    <phoneticPr fontId="5"/>
  </si>
  <si>
    <t>法人税（国税）</t>
    <rPh sb="0" eb="3">
      <t>ホウジンゼイ</t>
    </rPh>
    <rPh sb="4" eb="6">
      <t>コクゼイ</t>
    </rPh>
    <phoneticPr fontId="4"/>
  </si>
  <si>
    <t>所得税（国税）</t>
    <rPh sb="0" eb="3">
      <t>ショトクゼイ</t>
    </rPh>
    <rPh sb="4" eb="6">
      <t>コクゼイ</t>
    </rPh>
    <phoneticPr fontId="4"/>
  </si>
  <si>
    <t>一次波及国税</t>
    <rPh sb="0" eb="2">
      <t>イチジ</t>
    </rPh>
    <rPh sb="2" eb="4">
      <t>ハキュウ</t>
    </rPh>
    <rPh sb="4" eb="6">
      <t>コクゼイ</t>
    </rPh>
    <phoneticPr fontId="4"/>
  </si>
  <si>
    <t>市町村税収（二次以降）</t>
    <rPh sb="0" eb="3">
      <t>シチョウソン</t>
    </rPh>
    <rPh sb="1" eb="3">
      <t>チョウソン</t>
    </rPh>
    <rPh sb="3" eb="5">
      <t>ゼイシュウ</t>
    </rPh>
    <phoneticPr fontId="4"/>
  </si>
  <si>
    <t>バイオマス原料処理委託費用</t>
    <rPh sb="5" eb="7">
      <t>ゲンリョウ</t>
    </rPh>
    <rPh sb="7" eb="13">
      <t>ショリイタクヒヨウ</t>
    </rPh>
    <phoneticPr fontId="4"/>
  </si>
  <si>
    <t>円</t>
    <rPh sb="0" eb="1">
      <t>エン</t>
    </rPh>
    <phoneticPr fontId="4"/>
  </si>
  <si>
    <t>　うち国税</t>
    <rPh sb="3" eb="5">
      <t>コクゼイ</t>
    </rPh>
    <phoneticPr fontId="4"/>
  </si>
  <si>
    <t>値</t>
    <rPh sb="0" eb="1">
      <t>アタイ</t>
    </rPh>
    <phoneticPr fontId="4"/>
  </si>
  <si>
    <t>発電量</t>
    <rPh sb="0" eb="2">
      <t>ハツデン</t>
    </rPh>
    <rPh sb="2" eb="3">
      <t>リョウ</t>
    </rPh>
    <phoneticPr fontId="4"/>
  </si>
  <si>
    <t>発熱量</t>
    <rPh sb="0" eb="3">
      <t>ハツネツリョウ</t>
    </rPh>
    <phoneticPr fontId="4"/>
  </si>
  <si>
    <t>電力変換効率</t>
    <rPh sb="0" eb="6">
      <t>デンリョクヘンカンコウリツ</t>
    </rPh>
    <phoneticPr fontId="4"/>
  </si>
  <si>
    <t>熱変換効率</t>
    <rPh sb="0" eb="1">
      <t>ネツ</t>
    </rPh>
    <rPh sb="1" eb="5">
      <t>ヘンカンコウリツ</t>
    </rPh>
    <phoneticPr fontId="4"/>
  </si>
  <si>
    <t>年間稼働日数</t>
    <rPh sb="0" eb="6">
      <t>ネンカンカドウニッスウ</t>
    </rPh>
    <phoneticPr fontId="4"/>
  </si>
  <si>
    <t>年間稼働時間</t>
    <rPh sb="0" eb="2">
      <t>ネンカン</t>
    </rPh>
    <rPh sb="2" eb="6">
      <t>カドウジカン</t>
    </rPh>
    <phoneticPr fontId="4"/>
  </si>
  <si>
    <t>売熱価格</t>
    <rPh sb="0" eb="4">
      <t>バイネツカカク</t>
    </rPh>
    <phoneticPr fontId="3"/>
  </si>
  <si>
    <t>↓設備名を記入</t>
    <rPh sb="1" eb="4">
      <t>セツビメイ</t>
    </rPh>
    <rPh sb="5" eb="7">
      <t>キニュウ</t>
    </rPh>
    <phoneticPr fontId="4"/>
  </si>
  <si>
    <t>値</t>
    <rPh sb="0" eb="1">
      <t>アタイ</t>
    </rPh>
    <phoneticPr fontId="3"/>
  </si>
  <si>
    <t>人件費（他地域）</t>
    <rPh sb="0" eb="3">
      <t>ジンケンヒ</t>
    </rPh>
    <rPh sb="4" eb="7">
      <t>タチイキ</t>
    </rPh>
    <phoneticPr fontId="4"/>
  </si>
  <si>
    <t>キャッシュフロー分析</t>
    <rPh sb="8" eb="10">
      <t>ブンセキ</t>
    </rPh>
    <phoneticPr fontId="4"/>
  </si>
  <si>
    <r>
      <t>0</t>
    </r>
    <r>
      <rPr>
        <sz val="10"/>
        <color theme="1"/>
        <rFont val="ＭＳ Ｐゴシック"/>
        <family val="3"/>
        <charset val="128"/>
      </rPr>
      <t>年目</t>
    </r>
    <rPh sb="1" eb="3">
      <t>ネンメ</t>
    </rPh>
    <phoneticPr fontId="4"/>
  </si>
  <si>
    <r>
      <t>1年目</t>
    </r>
    <r>
      <rPr>
        <sz val="10"/>
        <color theme="1"/>
        <rFont val="ＭＳ Ｐゴシック"/>
        <family val="3"/>
        <charset val="128"/>
      </rPr>
      <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</si>
  <si>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</si>
  <si>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</si>
  <si>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</si>
  <si>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</si>
  <si>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</si>
  <si>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</si>
  <si>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</si>
  <si>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</si>
  <si>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</si>
  <si>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</si>
  <si>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</si>
  <si>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</si>
  <si>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</si>
  <si>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</si>
  <si>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</si>
  <si>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</si>
  <si>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</si>
  <si>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</si>
  <si>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</si>
  <si>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</si>
  <si>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</si>
  <si>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</si>
  <si>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</si>
  <si>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</si>
  <si>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</si>
  <si>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</si>
  <si>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</si>
  <si>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</si>
  <si>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</si>
  <si>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t>　販売割合（100%-自家消費率）</t>
    <rPh sb="1" eb="3">
      <t>ハンバイ</t>
    </rPh>
    <rPh sb="3" eb="5">
      <t>ワリアイ</t>
    </rPh>
    <phoneticPr fontId="4"/>
  </si>
  <si>
    <t>発電した電力量のうち、収入として計上を行なわないもの</t>
    <rPh sb="0" eb="2">
      <t>ハツデン</t>
    </rPh>
    <rPh sb="4" eb="6">
      <t>デンリョク</t>
    </rPh>
    <rPh sb="6" eb="7">
      <t>リョウ</t>
    </rPh>
    <rPh sb="11" eb="13">
      <t>シュウニュウ</t>
    </rPh>
    <rPh sb="16" eb="18">
      <t>ケイジョウ</t>
    </rPh>
    <rPh sb="19" eb="20">
      <t>オコ</t>
    </rPh>
    <phoneticPr fontId="4"/>
  </si>
  <si>
    <t>発生した熱量のうち、収入として計上を行なわないもの</t>
    <rPh sb="0" eb="2">
      <t>ハッセイ</t>
    </rPh>
    <rPh sb="4" eb="6">
      <t>ネツリョウ</t>
    </rPh>
    <rPh sb="6" eb="7">
      <t>リキリョウ</t>
    </rPh>
    <rPh sb="10" eb="12">
      <t>シュウニュウ</t>
    </rPh>
    <rPh sb="15" eb="17">
      <t>ケイジョウ</t>
    </rPh>
    <rPh sb="18" eb="19">
      <t>オコ</t>
    </rPh>
    <phoneticPr fontId="4"/>
  </si>
  <si>
    <t>電力所内率</t>
    <rPh sb="0" eb="2">
      <t>デンリョク</t>
    </rPh>
    <rPh sb="2" eb="4">
      <t>ショナイ</t>
    </rPh>
    <rPh sb="4" eb="5">
      <t>リツ</t>
    </rPh>
    <phoneticPr fontId="3"/>
  </si>
  <si>
    <t>熱所内率＋排熱比率</t>
    <rPh sb="0" eb="1">
      <t>ネツ</t>
    </rPh>
    <rPh sb="1" eb="3">
      <t>ショナイ</t>
    </rPh>
    <rPh sb="3" eb="4">
      <t>リツ</t>
    </rPh>
    <rPh sb="5" eb="7">
      <t>ハイネツ</t>
    </rPh>
    <rPh sb="7" eb="9">
      <t>ヒリツ</t>
    </rPh>
    <phoneticPr fontId="4"/>
  </si>
  <si>
    <t>所内率・排熱比率</t>
    <rPh sb="0" eb="2">
      <t>ショナイ</t>
    </rPh>
    <rPh sb="2" eb="3">
      <t>リツ</t>
    </rPh>
    <rPh sb="4" eb="6">
      <t>ハイネツ</t>
    </rPh>
    <rPh sb="6" eb="8">
      <t>ヒリツ</t>
    </rPh>
    <phoneticPr fontId="4"/>
  </si>
  <si>
    <r>
      <t>バイオマスの投入熱量から熱への変換効率を記入（計算方式を「</t>
    </r>
    <r>
      <rPr>
        <sz val="12"/>
        <rFont val="Arial"/>
        <family val="2"/>
      </rPr>
      <t>1.</t>
    </r>
    <r>
      <rPr>
        <sz val="12"/>
        <rFont val="ＭＳ Ｐゴシック"/>
        <family val="3"/>
        <charset val="128"/>
      </rPr>
      <t>バイオマス投入量から計算」にする場合必要）</t>
    </r>
    <rPh sb="12" eb="13">
      <t>ネツ</t>
    </rPh>
    <rPh sb="36" eb="39">
      <t>トウニュウリョウ</t>
    </rPh>
    <phoneticPr fontId="5"/>
  </si>
  <si>
    <r>
      <t>バイオマスの投入熱量から電力への変換効率を記入（計算方式を「</t>
    </r>
    <r>
      <rPr>
        <sz val="12"/>
        <rFont val="Arial"/>
        <family val="2"/>
      </rPr>
      <t>1.</t>
    </r>
    <r>
      <rPr>
        <sz val="12"/>
        <rFont val="ＭＳ Ｐゴシック"/>
        <family val="3"/>
        <charset val="128"/>
      </rPr>
      <t>バイオマス投入量から計算」にする場合必要）</t>
    </r>
    <rPh sb="37" eb="40">
      <t>トウニュウリョウ</t>
    </rPh>
    <phoneticPr fontId="5"/>
  </si>
  <si>
    <r>
      <rPr>
        <sz val="12"/>
        <color indexed="8"/>
        <rFont val="ＭＳ Ｐゴシック"/>
        <family val="3"/>
        <charset val="128"/>
      </rPr>
      <t>時間</t>
    </r>
    <r>
      <rPr>
        <sz val="12"/>
        <color indexed="8"/>
        <rFont val="Arial"/>
        <family val="2"/>
      </rPr>
      <t>/</t>
    </r>
    <r>
      <rPr>
        <sz val="12"/>
        <color indexed="8"/>
        <rFont val="ＭＳ Ｐゴシック"/>
        <family val="3"/>
        <charset val="128"/>
      </rPr>
      <t>日</t>
    </r>
    <rPh sb="0" eb="2">
      <t>ジカン</t>
    </rPh>
    <rPh sb="3" eb="4">
      <t>ニチ</t>
    </rPh>
    <phoneticPr fontId="5"/>
  </si>
  <si>
    <t>年間の稼働日数</t>
    <rPh sb="0" eb="2">
      <t>ネンカン</t>
    </rPh>
    <rPh sb="3" eb="5">
      <t>カドウ</t>
    </rPh>
    <rPh sb="5" eb="7">
      <t>ニッスウ</t>
    </rPh>
    <phoneticPr fontId="4"/>
  </si>
  <si>
    <r>
      <t>1</t>
    </r>
    <r>
      <rPr>
        <sz val="12"/>
        <color indexed="8"/>
        <rFont val="ＭＳ Ｐゴシック"/>
        <family val="3"/>
        <charset val="128"/>
      </rPr>
      <t>日の稼働時間</t>
    </r>
    <rPh sb="1" eb="2">
      <t>ニチ</t>
    </rPh>
    <rPh sb="3" eb="5">
      <t>カドウ</t>
    </rPh>
    <rPh sb="5" eb="7">
      <t>ジカン</t>
    </rPh>
    <phoneticPr fontId="4"/>
  </si>
  <si>
    <t>時間あたりの発電量（計算方式を「2.出力から計算」にする場合必要）</t>
    <rPh sb="0" eb="2">
      <t>ジカン</t>
    </rPh>
    <rPh sb="6" eb="9">
      <t>ハツデンリョウ</t>
    </rPh>
    <rPh sb="10" eb="14">
      <t>ケイサンホウシキ</t>
    </rPh>
    <rPh sb="18" eb="20">
      <t>シュツリョク</t>
    </rPh>
    <rPh sb="22" eb="24">
      <t>ケイサン</t>
    </rPh>
    <rPh sb="28" eb="32">
      <t>バアイヒツヨウ</t>
    </rPh>
    <phoneticPr fontId="5"/>
  </si>
  <si>
    <t>時間あたりの発熱量（計算方式を「2.出力から計算」にする場合必要）</t>
    <rPh sb="0" eb="2">
      <t>ジカン</t>
    </rPh>
    <rPh sb="6" eb="9">
      <t>ハツネツリョウ</t>
    </rPh>
    <phoneticPr fontId="5"/>
  </si>
  <si>
    <t>その他収益</t>
    <rPh sb="2" eb="3">
      <t>タ</t>
    </rPh>
    <rPh sb="3" eb="5">
      <t>シュウエキ</t>
    </rPh>
    <phoneticPr fontId="4"/>
  </si>
  <si>
    <t>＜名称を入力＞</t>
    <rPh sb="1" eb="3">
      <t>メイショウ</t>
    </rPh>
    <rPh sb="4" eb="6">
      <t>ニュウリョク</t>
    </rPh>
    <phoneticPr fontId="4"/>
  </si>
  <si>
    <t>販売価格を入力</t>
    <rPh sb="0" eb="4">
      <t>ハンバイカカク</t>
    </rPh>
    <rPh sb="5" eb="7">
      <t>ニュウリョク</t>
    </rPh>
    <phoneticPr fontId="5"/>
  </si>
  <si>
    <r>
      <rPr>
        <b/>
        <sz val="12"/>
        <color rgb="FFFF0000"/>
        <rFont val="ＭＳ Ｐゴシック"/>
        <family val="3"/>
        <charset val="128"/>
      </rPr>
      <t>1日あたり</t>
    </r>
    <r>
      <rPr>
        <sz val="12"/>
        <color theme="1"/>
        <rFont val="ＭＳ Ｐゴシック"/>
        <family val="3"/>
        <charset val="128"/>
      </rPr>
      <t>の販売量</t>
    </r>
    <rPh sb="1" eb="2">
      <t>ニチ</t>
    </rPh>
    <rPh sb="6" eb="8">
      <t>ハンバイ</t>
    </rPh>
    <rPh sb="8" eb="9">
      <t>リョウ</t>
    </rPh>
    <phoneticPr fontId="5"/>
  </si>
  <si>
    <t>収益計上するものがあれば以下に入力</t>
    <rPh sb="0" eb="2">
      <t>シュウエキ</t>
    </rPh>
    <rPh sb="2" eb="4">
      <t>ケイジョウ</t>
    </rPh>
    <rPh sb="12" eb="14">
      <t>イカ</t>
    </rPh>
    <rPh sb="15" eb="17">
      <t>ニュウリョク</t>
    </rPh>
    <phoneticPr fontId="4"/>
  </si>
  <si>
    <t>その他収益④</t>
    <rPh sb="2" eb="3">
      <t>タ</t>
    </rPh>
    <rPh sb="3" eb="5">
      <t>シュウエキ</t>
    </rPh>
    <phoneticPr fontId="5"/>
  </si>
  <si>
    <t>その他収益⑤</t>
    <rPh sb="2" eb="3">
      <t>タ</t>
    </rPh>
    <rPh sb="3" eb="5">
      <t>シュウエキ</t>
    </rPh>
    <phoneticPr fontId="5"/>
  </si>
  <si>
    <t>（単位を入力）/日</t>
    <rPh sb="8" eb="9">
      <t>ニチ</t>
    </rPh>
    <phoneticPr fontId="5"/>
  </si>
  <si>
    <r>
      <t>円</t>
    </r>
    <r>
      <rPr>
        <sz val="11"/>
        <color indexed="8"/>
        <rFont val="Arial"/>
        <family val="2"/>
      </rPr>
      <t>/</t>
    </r>
    <r>
      <rPr>
        <sz val="11"/>
        <color indexed="8"/>
        <rFont val="ＭＳ Ｐゴシック"/>
        <family val="3"/>
        <charset val="128"/>
      </rPr>
      <t>（単位を入力）</t>
    </r>
    <rPh sb="0" eb="1">
      <t>エン</t>
    </rPh>
    <rPh sb="3" eb="5">
      <t>タンイ</t>
    </rPh>
    <rPh sb="6" eb="8">
      <t>ニュウリョク</t>
    </rPh>
    <phoneticPr fontId="5"/>
  </si>
  <si>
    <t>＜資源名を入力＞</t>
    <rPh sb="1" eb="3">
      <t>シゲン</t>
    </rPh>
    <rPh sb="3" eb="4">
      <t>メイ</t>
    </rPh>
    <rPh sb="5" eb="7">
      <t>ニュウリョク</t>
    </rPh>
    <phoneticPr fontId="4"/>
  </si>
  <si>
    <t>とる？</t>
    <phoneticPr fontId="4"/>
  </si>
  <si>
    <t>バイオマス⑥</t>
    <phoneticPr fontId="5"/>
  </si>
  <si>
    <t>バイオマス⑦</t>
    <phoneticPr fontId="5"/>
  </si>
  <si>
    <t>MJ/トン</t>
    <phoneticPr fontId="4"/>
  </si>
  <si>
    <t>投入量</t>
    <rPh sb="0" eb="3">
      <t>トウニュウリョウ</t>
    </rPh>
    <phoneticPr fontId="5"/>
  </si>
  <si>
    <r>
      <rPr>
        <b/>
        <sz val="12"/>
        <color rgb="FFFF0000"/>
        <rFont val="Arial"/>
        <family val="2"/>
      </rPr>
      <t>1</t>
    </r>
    <r>
      <rPr>
        <b/>
        <sz val="12"/>
        <color rgb="FFFF0000"/>
        <rFont val="ＭＳ Ｐゴシック"/>
        <family val="3"/>
        <charset val="128"/>
      </rPr>
      <t>トンあたり</t>
    </r>
    <r>
      <rPr>
        <sz val="12"/>
        <color indexed="8"/>
        <rFont val="ＭＳ Ｐゴシック"/>
        <family val="3"/>
        <charset val="128"/>
      </rPr>
      <t>のバイオマス熱量（</t>
    </r>
    <r>
      <rPr>
        <sz val="12"/>
        <color indexed="8"/>
        <rFont val="Arial"/>
        <family val="2"/>
      </rPr>
      <t>MJ</t>
    </r>
    <r>
      <rPr>
        <sz val="12"/>
        <color indexed="8"/>
        <rFont val="ＭＳ Ｐゴシック"/>
        <family val="3"/>
        <charset val="128"/>
      </rPr>
      <t>ベース）</t>
    </r>
    <rPh sb="12" eb="14">
      <t>ネツリョウ</t>
    </rPh>
    <phoneticPr fontId="4"/>
  </si>
  <si>
    <r>
      <rPr>
        <b/>
        <sz val="12"/>
        <color rgb="FFFF0000"/>
        <rFont val="Arial"/>
        <family val="2"/>
      </rPr>
      <t>1</t>
    </r>
    <r>
      <rPr>
        <b/>
        <sz val="12"/>
        <color rgb="FFFF0000"/>
        <rFont val="ＭＳ Ｐゴシック"/>
        <family val="3"/>
        <charset val="128"/>
      </rPr>
      <t>時間あたりの</t>
    </r>
    <r>
      <rPr>
        <sz val="12"/>
        <color indexed="8"/>
        <rFont val="ＭＳ Ｐゴシック"/>
        <family val="3"/>
        <charset val="128"/>
      </rPr>
      <t>設備への投入量</t>
    </r>
    <rPh sb="1" eb="3">
      <t>ジカン</t>
    </rPh>
    <rPh sb="7" eb="9">
      <t>セツビ</t>
    </rPh>
    <rPh sb="11" eb="14">
      <t>トウニュウリョウ</t>
    </rPh>
    <phoneticPr fontId="4"/>
  </si>
  <si>
    <r>
      <rPr>
        <b/>
        <sz val="12"/>
        <color rgb="FFFF0000"/>
        <rFont val="Arial"/>
        <family val="2"/>
      </rPr>
      <t>1</t>
    </r>
    <r>
      <rPr>
        <b/>
        <sz val="12"/>
        <color rgb="FFFF0000"/>
        <rFont val="ＭＳ Ｐゴシック"/>
        <family val="3"/>
        <charset val="128"/>
      </rPr>
      <t>トンあたり</t>
    </r>
    <r>
      <rPr>
        <sz val="12"/>
        <color indexed="8"/>
        <rFont val="ＭＳ Ｐゴシック"/>
        <family val="3"/>
        <charset val="128"/>
      </rPr>
      <t>の調達価格</t>
    </r>
    <rPh sb="7" eb="9">
      <t>チョウタツ</t>
    </rPh>
    <rPh sb="9" eb="11">
      <t>カカク</t>
    </rPh>
    <phoneticPr fontId="4"/>
  </si>
  <si>
    <t>円/年</t>
    <rPh sb="0" eb="1">
      <t>エン</t>
    </rPh>
    <rPh sb="2" eb="3">
      <t>ネン</t>
    </rPh>
    <phoneticPr fontId="5"/>
  </si>
  <si>
    <t>固定費①</t>
    <phoneticPr fontId="5"/>
  </si>
  <si>
    <t>固定費②</t>
    <phoneticPr fontId="5"/>
  </si>
  <si>
    <t>固定費⑤</t>
    <phoneticPr fontId="5"/>
  </si>
  <si>
    <t>＜その他・費目を入力＞</t>
    <rPh sb="3" eb="4">
      <t>タ</t>
    </rPh>
    <rPh sb="5" eb="7">
      <t>ヒモク</t>
    </rPh>
    <rPh sb="8" eb="10">
      <t>ニュウリョク</t>
    </rPh>
    <phoneticPr fontId="4"/>
  </si>
  <si>
    <t>損害保険、土地賃借料、灰処分費、事務費・調査費・通信費等</t>
    <rPh sb="27" eb="28">
      <t>ナド</t>
    </rPh>
    <phoneticPr fontId="4"/>
  </si>
  <si>
    <t>メンテナンス費、ボイラ・タービン点検、電気計装点検、その他機器</t>
    <phoneticPr fontId="4"/>
  </si>
  <si>
    <t>薬品代、設備の稼働状況に応じて変動する費用</t>
    <rPh sb="4" eb="6">
      <t>セツビ</t>
    </rPh>
    <rPh sb="7" eb="11">
      <t>カドウジョウキョウ</t>
    </rPh>
    <rPh sb="12" eb="13">
      <t>オウ</t>
    </rPh>
    <rPh sb="15" eb="17">
      <t>ヘンドウ</t>
    </rPh>
    <rPh sb="19" eb="21">
      <t>ヒヨウ</t>
    </rPh>
    <phoneticPr fontId="4"/>
  </si>
  <si>
    <t>電気代、水道代、設備の稼働状況に応じて変動する費用</t>
    <phoneticPr fontId="4"/>
  </si>
  <si>
    <t>＜設備費目を入力＞</t>
    <rPh sb="1" eb="3">
      <t>セツビ</t>
    </rPh>
    <rPh sb="3" eb="5">
      <t>ヒモク</t>
    </rPh>
    <rPh sb="6" eb="8">
      <t>ニュウリョク</t>
    </rPh>
    <phoneticPr fontId="4"/>
  </si>
  <si>
    <t>バイオマス事業開始後の売電予定価格</t>
    <rPh sb="5" eb="7">
      <t>ジギョウ</t>
    </rPh>
    <rPh sb="7" eb="9">
      <t>カイシ</t>
    </rPh>
    <rPh sb="9" eb="10">
      <t>ゴ</t>
    </rPh>
    <rPh sb="11" eb="13">
      <t>バイデン</t>
    </rPh>
    <rPh sb="13" eb="17">
      <t>ヨテイカカク</t>
    </rPh>
    <phoneticPr fontId="4"/>
  </si>
  <si>
    <t>バイオマス事業開始後の熱販売予定価格</t>
    <rPh sb="5" eb="7">
      <t>ジギョウ</t>
    </rPh>
    <rPh sb="7" eb="9">
      <t>カイシ</t>
    </rPh>
    <rPh sb="9" eb="10">
      <t>ゴ</t>
    </rPh>
    <rPh sb="11" eb="12">
      <t>ネツ</t>
    </rPh>
    <rPh sb="12" eb="14">
      <t>ハンバイ</t>
    </rPh>
    <rPh sb="14" eb="18">
      <t>ヨテイカカク</t>
    </rPh>
    <phoneticPr fontId="4"/>
  </si>
  <si>
    <t>熱販売価格</t>
    <rPh sb="0" eb="1">
      <t>ネツ</t>
    </rPh>
    <rPh sb="1" eb="3">
      <t>ハンバイ</t>
    </rPh>
    <rPh sb="3" eb="5">
      <t>カカク</t>
    </rPh>
    <phoneticPr fontId="4"/>
  </si>
  <si>
    <t>　発熱量</t>
    <rPh sb="1" eb="4">
      <t>ハツネツリョウ</t>
    </rPh>
    <phoneticPr fontId="4"/>
  </si>
  <si>
    <t>年間値</t>
    <rPh sb="0" eb="2">
      <t>ネンカン</t>
    </rPh>
    <rPh sb="2" eb="3">
      <t>チ</t>
    </rPh>
    <phoneticPr fontId="4"/>
  </si>
  <si>
    <t>販売価格</t>
    <rPh sb="0" eb="4">
      <t>ハンバイカカク</t>
    </rPh>
    <phoneticPr fontId="4"/>
  </si>
  <si>
    <t>販売量</t>
    <rPh sb="0" eb="3">
      <t>ハンバイリョウ</t>
    </rPh>
    <phoneticPr fontId="4"/>
  </si>
  <si>
    <t>売電収益</t>
    <rPh sb="0" eb="2">
      <t>バイデン</t>
    </rPh>
    <rPh sb="2" eb="4">
      <t>シュウエキ</t>
    </rPh>
    <phoneticPr fontId="4"/>
  </si>
  <si>
    <t>熱販売収益</t>
    <rPh sb="0" eb="1">
      <t>ネツ</t>
    </rPh>
    <rPh sb="1" eb="3">
      <t>ハンバイ</t>
    </rPh>
    <rPh sb="3" eb="5">
      <t>シュウエキ</t>
    </rPh>
    <phoneticPr fontId="4"/>
  </si>
  <si>
    <t>売熱量</t>
    <rPh sb="0" eb="1">
      <t>ウ</t>
    </rPh>
    <rPh sb="1" eb="3">
      <t>ネツリョウ</t>
    </rPh>
    <phoneticPr fontId="4"/>
  </si>
  <si>
    <t>助成金</t>
    <rPh sb="0" eb="3">
      <t>ジョセイキン</t>
    </rPh>
    <phoneticPr fontId="4"/>
  </si>
  <si>
    <t>円</t>
    <rPh sb="0" eb="1">
      <t>エン</t>
    </rPh>
    <phoneticPr fontId="4"/>
  </si>
  <si>
    <t>MJ/年</t>
    <rPh sb="3" eb="4">
      <t>ネン</t>
    </rPh>
    <phoneticPr fontId="4"/>
  </si>
  <si>
    <t>キャッシュフロー</t>
    <phoneticPr fontId="4"/>
  </si>
  <si>
    <t>収支</t>
    <rPh sb="0" eb="2">
      <t>シュウシ</t>
    </rPh>
    <phoneticPr fontId="4"/>
  </si>
  <si>
    <r>
      <t>0</t>
    </r>
    <r>
      <rPr>
        <sz val="10"/>
        <color theme="1"/>
        <rFont val="ＭＳ Ｐゴシック"/>
        <family val="3"/>
        <charset val="128"/>
      </rPr>
      <t>年目</t>
    </r>
    <rPh sb="1" eb="3">
      <t>ネンメ</t>
    </rPh>
    <phoneticPr fontId="4"/>
  </si>
  <si>
    <r>
      <t>1</t>
    </r>
    <r>
      <rPr>
        <sz val="10"/>
        <color theme="1"/>
        <rFont val="ＭＳ Ｐゴシック"/>
        <family val="3"/>
        <charset val="128"/>
      </rPr>
      <t>年目</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</si>
  <si>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</si>
  <si>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</si>
  <si>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</si>
  <si>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</si>
  <si>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</si>
  <si>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</si>
  <si>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</si>
  <si>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</si>
  <si>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</si>
  <si>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</si>
  <si>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</si>
  <si>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</si>
  <si>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</si>
  <si>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</si>
  <si>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</si>
  <si>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</si>
  <si>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</si>
  <si>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</si>
  <si>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</si>
  <si>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</si>
  <si>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</si>
  <si>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</si>
  <si>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</si>
  <si>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</si>
  <si>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</si>
  <si>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</si>
  <si>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</si>
  <si>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</si>
  <si>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</si>
  <si>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t>投資回収年数</t>
    <rPh sb="0" eb="4">
      <t>トウシカイシュウ</t>
    </rPh>
    <rPh sb="4" eb="6">
      <t>ネンスウ</t>
    </rPh>
    <phoneticPr fontId="4"/>
  </si>
  <si>
    <t>事業性分析に
かかる指標</t>
    <rPh sb="0" eb="2">
      <t>ジギョウ</t>
    </rPh>
    <rPh sb="2" eb="3">
      <t>セイ</t>
    </rPh>
    <rPh sb="3" eb="5">
      <t>ブンセキ</t>
    </rPh>
    <rPh sb="10" eb="12">
      <t>シヒョウ</t>
    </rPh>
    <phoneticPr fontId="4"/>
  </si>
  <si>
    <r>
      <t>30</t>
    </r>
    <r>
      <rPr>
        <sz val="10"/>
        <color theme="1"/>
        <rFont val="ＭＳ Ｐゴシック"/>
        <family val="3"/>
        <charset val="128"/>
      </rPr>
      <t>年累計</t>
    </r>
    <rPh sb="2" eb="5">
      <t>ネンルイケイ</t>
    </rPh>
    <phoneticPr fontId="4"/>
  </si>
  <si>
    <t>収益</t>
    <rPh sb="0" eb="2">
      <t>シュウエキ</t>
    </rPh>
    <phoneticPr fontId="4"/>
  </si>
  <si>
    <t>設備費用</t>
    <rPh sb="0" eb="2">
      <t>セツビ</t>
    </rPh>
    <rPh sb="2" eb="4">
      <t>ヒヨウ</t>
    </rPh>
    <phoneticPr fontId="4"/>
  </si>
  <si>
    <t>固定費</t>
    <rPh sb="0" eb="3">
      <t>コテイヒ</t>
    </rPh>
    <phoneticPr fontId="4"/>
  </si>
  <si>
    <t>再エネ事業者</t>
    <rPh sb="0" eb="1">
      <t>サイ</t>
    </rPh>
    <rPh sb="3" eb="6">
      <t>ジギョウシャ</t>
    </rPh>
    <phoneticPr fontId="4"/>
  </si>
  <si>
    <t>現状の買取価格</t>
    <rPh sb="0" eb="2">
      <t>ゲンジョウ</t>
    </rPh>
    <rPh sb="3" eb="5">
      <t>カイトリ</t>
    </rPh>
    <rPh sb="5" eb="7">
      <t>カカク</t>
    </rPh>
    <phoneticPr fontId="4"/>
  </si>
  <si>
    <t>地域関連事業者の内訳1</t>
    <rPh sb="0" eb="2">
      <t>チイキ</t>
    </rPh>
    <rPh sb="2" eb="4">
      <t>カンレン</t>
    </rPh>
    <rPh sb="4" eb="7">
      <t>ジギョウシャ</t>
    </rPh>
    <rPh sb="8" eb="10">
      <t>ウチワケ</t>
    </rPh>
    <phoneticPr fontId="4"/>
  </si>
  <si>
    <t>地域関連事業者の内訳3</t>
    <rPh sb="0" eb="2">
      <t>チイキ</t>
    </rPh>
    <rPh sb="2" eb="4">
      <t>カンレン</t>
    </rPh>
    <rPh sb="4" eb="7">
      <t>ジギョウシャ</t>
    </rPh>
    <rPh sb="8" eb="10">
      <t>ウチワケ</t>
    </rPh>
    <phoneticPr fontId="4"/>
  </si>
  <si>
    <t>地域関連事業者の内訳2</t>
    <rPh sb="0" eb="2">
      <t>チイキ</t>
    </rPh>
    <rPh sb="2" eb="4">
      <t>カンレン</t>
    </rPh>
    <rPh sb="4" eb="7">
      <t>ジギョウシャ</t>
    </rPh>
    <rPh sb="8" eb="10">
      <t>ウチワケ</t>
    </rPh>
    <phoneticPr fontId="4"/>
  </si>
  <si>
    <t>地域外事業者割合：</t>
    <rPh sb="0" eb="3">
      <t>チイキガイ</t>
    </rPh>
    <rPh sb="3" eb="6">
      <t>ジギョウシャ</t>
    </rPh>
    <rPh sb="6" eb="8">
      <t>ワリアイ</t>
    </rPh>
    <phoneticPr fontId="4"/>
  </si>
  <si>
    <t>地域内事業者割合合計：</t>
    <rPh sb="0" eb="3">
      <t>チイキナイ</t>
    </rPh>
    <rPh sb="3" eb="6">
      <t>ジギョウシャ</t>
    </rPh>
    <rPh sb="6" eb="8">
      <t>ワリアイ</t>
    </rPh>
    <rPh sb="8" eb="10">
      <t>ゴウケイ</t>
    </rPh>
    <phoneticPr fontId="4"/>
  </si>
  <si>
    <t>地域経済性分析に係る指標</t>
    <rPh sb="0" eb="4">
      <t>チイキケイザイ</t>
    </rPh>
    <rPh sb="4" eb="5">
      <t>セイ</t>
    </rPh>
    <rPh sb="5" eb="7">
      <t>ブンセキ</t>
    </rPh>
    <rPh sb="8" eb="9">
      <t>カカ</t>
    </rPh>
    <rPh sb="10" eb="12">
      <t>シヒョウ</t>
    </rPh>
    <phoneticPr fontId="4"/>
  </si>
  <si>
    <t>＜名称を入力＞</t>
    <phoneticPr fontId="4"/>
  </si>
  <si>
    <t>単位：百万円</t>
    <rPh sb="0" eb="2">
      <t>タンイ</t>
    </rPh>
    <rPh sb="3" eb="5">
      <t>ヒャクマン</t>
    </rPh>
    <rPh sb="5" eb="6">
      <t>エン</t>
    </rPh>
    <phoneticPr fontId="4"/>
  </si>
  <si>
    <t>事業性・地域経済性評価ツール（インプット）</t>
    <rPh sb="0" eb="2">
      <t>ジギョウ</t>
    </rPh>
    <rPh sb="2" eb="3">
      <t>セイ</t>
    </rPh>
    <rPh sb="4" eb="8">
      <t>チイキケイザイ</t>
    </rPh>
    <rPh sb="8" eb="9">
      <t>セイ</t>
    </rPh>
    <rPh sb="9" eb="11">
      <t>ヒョウカ</t>
    </rPh>
    <phoneticPr fontId="4"/>
  </si>
  <si>
    <r>
      <t>円</t>
    </r>
    <r>
      <rPr>
        <sz val="11"/>
        <color indexed="8"/>
        <rFont val="Arial"/>
        <family val="2"/>
      </rPr>
      <t>/</t>
    </r>
    <r>
      <rPr>
        <sz val="11"/>
        <color indexed="8"/>
        <rFont val="ＭＳ Ｐゴシック"/>
        <family val="3"/>
        <charset val="128"/>
      </rPr>
      <t>トン</t>
    </r>
    <rPh sb="0" eb="1">
      <t>エン</t>
    </rPh>
    <phoneticPr fontId="5"/>
  </si>
  <si>
    <t>トン/日</t>
    <rPh sb="3" eb="4">
      <t>ニチ</t>
    </rPh>
    <phoneticPr fontId="5"/>
  </si>
  <si>
    <t>助成金</t>
    <rPh sb="0" eb="3">
      <t>ジョセイキン</t>
    </rPh>
    <phoneticPr fontId="4"/>
  </si>
  <si>
    <t>円</t>
    <rPh sb="0" eb="1">
      <t>エン</t>
    </rPh>
    <phoneticPr fontId="4"/>
  </si>
  <si>
    <t>kW</t>
    <phoneticPr fontId="4"/>
  </si>
  <si>
    <t>ｔ/日</t>
    <rPh sb="2" eb="3">
      <t>ニチ</t>
    </rPh>
    <phoneticPr fontId="4"/>
  </si>
  <si>
    <t>含水率</t>
    <rPh sb="0" eb="3">
      <t>ガンスイリツ</t>
    </rPh>
    <phoneticPr fontId="4"/>
  </si>
  <si>
    <t>発電出力</t>
    <rPh sb="0" eb="4">
      <t>ハツデンシュツリョク</t>
    </rPh>
    <phoneticPr fontId="4"/>
  </si>
  <si>
    <t>熱出力</t>
    <rPh sb="0" eb="1">
      <t>ネツ</t>
    </rPh>
    <rPh sb="1" eb="3">
      <t>シュツリョク</t>
    </rPh>
    <phoneticPr fontId="4"/>
  </si>
  <si>
    <t>工事費</t>
    <rPh sb="0" eb="3">
      <t>コウジヒ</t>
    </rPh>
    <phoneticPr fontId="4"/>
  </si>
  <si>
    <t>売電価格</t>
    <rPh sb="0" eb="2">
      <t>バイデン</t>
    </rPh>
    <rPh sb="2" eb="4">
      <t>カカク</t>
    </rPh>
    <phoneticPr fontId="4"/>
  </si>
  <si>
    <t>日</t>
    <rPh sb="0" eb="1">
      <t>ニチ</t>
    </rPh>
    <phoneticPr fontId="4"/>
  </si>
  <si>
    <t>設備費</t>
    <rPh sb="0" eb="2">
      <t>セツビ</t>
    </rPh>
    <phoneticPr fontId="4"/>
  </si>
  <si>
    <t>売熱収入</t>
    <rPh sb="0" eb="2">
      <t>バイネツ</t>
    </rPh>
    <rPh sb="2" eb="4">
      <t>シュウニュウ</t>
    </rPh>
    <phoneticPr fontId="4"/>
  </si>
  <si>
    <t>固定資産税等</t>
    <rPh sb="0" eb="5">
      <t>コテイシサンゼイ</t>
    </rPh>
    <rPh sb="5" eb="6">
      <t>ナド</t>
    </rPh>
    <phoneticPr fontId="4"/>
  </si>
  <si>
    <t>その他収益</t>
    <rPh sb="2" eb="3">
      <t>タ</t>
    </rPh>
    <rPh sb="3" eb="5">
      <t>シュウエキ</t>
    </rPh>
    <phoneticPr fontId="5"/>
  </si>
  <si>
    <t>単位</t>
    <rPh sb="0" eb="2">
      <t>タンイ</t>
    </rPh>
    <phoneticPr fontId="4"/>
  </si>
  <si>
    <t>経済性</t>
    <rPh sb="0" eb="3">
      <t>ケイザイセイ</t>
    </rPh>
    <phoneticPr fontId="4"/>
  </si>
  <si>
    <t>【結果】20年間のバイオマス事業の効果</t>
    <rPh sb="1" eb="3">
      <t>ケッカ</t>
    </rPh>
    <rPh sb="6" eb="8">
      <t>ネンカン</t>
    </rPh>
    <rPh sb="14" eb="16">
      <t>ジギョウ</t>
    </rPh>
    <rPh sb="17" eb="19">
      <t>コウカ</t>
    </rPh>
    <phoneticPr fontId="4"/>
  </si>
  <si>
    <t>地域経済効果（次頁）</t>
    <rPh sb="0" eb="4">
      <t>チイキケイザイ</t>
    </rPh>
    <rPh sb="4" eb="6">
      <t>コウカ</t>
    </rPh>
    <rPh sb="7" eb="9">
      <t>ジページ</t>
    </rPh>
    <phoneticPr fontId="4"/>
  </si>
  <si>
    <t>事業収入</t>
    <rPh sb="0" eb="4">
      <t>ジギョウシュウニュウ</t>
    </rPh>
    <phoneticPr fontId="4"/>
  </si>
  <si>
    <t>地域経済効果
＋事業収入</t>
    <rPh sb="0" eb="4">
      <t>チイキケイザイ</t>
    </rPh>
    <rPh sb="4" eb="6">
      <t>コウカ</t>
    </rPh>
    <rPh sb="8" eb="12">
      <t>ジギョウシュウニュウ</t>
    </rPh>
    <phoneticPr fontId="4"/>
  </si>
  <si>
    <t>投資額</t>
    <rPh sb="0" eb="3">
      <t>トウシガク</t>
    </rPh>
    <phoneticPr fontId="4"/>
  </si>
  <si>
    <t>CO2削減効果
（化石燃料代替分）</t>
    <rPh sb="3" eb="7">
      <t>サクゲンコウカ</t>
    </rPh>
    <rPh sb="9" eb="13">
      <t>カセキネンリョウ</t>
    </rPh>
    <rPh sb="13" eb="15">
      <t>ダイタイ</t>
    </rPh>
    <rPh sb="15" eb="16">
      <t>ブン</t>
    </rPh>
    <phoneticPr fontId="4"/>
  </si>
  <si>
    <t>発電量</t>
    <rPh sb="0" eb="3">
      <t>ハツデンリョウ</t>
    </rPh>
    <phoneticPr fontId="4"/>
  </si>
  <si>
    <t>熱供給量</t>
    <rPh sb="0" eb="1">
      <t>ネツ</t>
    </rPh>
    <rPh sb="1" eb="4">
      <t>キョウキュウリョウ</t>
    </rPh>
    <phoneticPr fontId="4"/>
  </si>
  <si>
    <t>○計算条件の想定</t>
    <rPh sb="1" eb="3">
      <t>ケイサン</t>
    </rPh>
    <rPh sb="3" eb="5">
      <t>ジョウケン</t>
    </rPh>
    <rPh sb="6" eb="8">
      <t>ソウテイ</t>
    </rPh>
    <phoneticPr fontId="4"/>
  </si>
  <si>
    <r>
      <rPr>
        <sz val="14"/>
        <color theme="1"/>
        <rFont val="ＭＳ Ｐゴシック"/>
        <family val="3"/>
        <charset val="128"/>
      </rPr>
      <t>円</t>
    </r>
    <r>
      <rPr>
        <sz val="14"/>
        <color theme="1"/>
        <rFont val="Arial"/>
        <family val="2"/>
      </rPr>
      <t>/kWh</t>
    </r>
    <rPh sb="0" eb="1">
      <t>エン</t>
    </rPh>
    <phoneticPr fontId="4"/>
  </si>
  <si>
    <t>t-CO2</t>
    <phoneticPr fontId="4"/>
  </si>
  <si>
    <r>
      <t>CO2</t>
    </r>
    <r>
      <rPr>
        <sz val="12"/>
        <color theme="1"/>
        <rFont val="ＭＳ Ｐゴシック"/>
        <family val="3"/>
        <charset val="128"/>
      </rPr>
      <t>削減効果（化石燃料代替分）</t>
    </r>
    <rPh sb="3" eb="7">
      <t>サクゲンコウカ</t>
    </rPh>
    <rPh sb="8" eb="12">
      <t>カセキネンリョウ</t>
    </rPh>
    <rPh sb="12" eb="14">
      <t>ダイタイ</t>
    </rPh>
    <rPh sb="14" eb="15">
      <t>ブン</t>
    </rPh>
    <phoneticPr fontId="4"/>
  </si>
  <si>
    <r>
      <rPr>
        <sz val="14"/>
        <color theme="1"/>
        <rFont val="ＭＳ Ｐゴシック"/>
        <family val="3"/>
        <charset val="128"/>
      </rPr>
      <t>百万円</t>
    </r>
    <r>
      <rPr>
        <sz val="14"/>
        <color theme="1"/>
        <rFont val="Arial"/>
        <family val="2"/>
      </rPr>
      <t>/</t>
    </r>
    <r>
      <rPr>
        <sz val="14"/>
        <color theme="1"/>
        <rFont val="ＭＳ Ｐゴシック"/>
        <family val="3"/>
        <charset val="128"/>
      </rPr>
      <t>年</t>
    </r>
    <rPh sb="0" eb="3">
      <t>ヒャクマンエン</t>
    </rPh>
    <rPh sb="4" eb="5">
      <t>ネン</t>
    </rPh>
    <phoneticPr fontId="4"/>
  </si>
  <si>
    <t>百万円</t>
    <rPh sb="0" eb="3">
      <t>ヒャクマンエン</t>
    </rPh>
    <phoneticPr fontId="4"/>
  </si>
  <si>
    <t>従来価格</t>
    <rPh sb="0" eb="2">
      <t>ジュウライ</t>
    </rPh>
    <rPh sb="2" eb="4">
      <t>カカク</t>
    </rPh>
    <phoneticPr fontId="4"/>
  </si>
  <si>
    <t>事業モデルでの想定</t>
    <rPh sb="0" eb="2">
      <t>ジギョウ</t>
    </rPh>
    <rPh sb="7" eb="9">
      <t>ソウテイ</t>
    </rPh>
    <phoneticPr fontId="5"/>
  </si>
  <si>
    <t>【入力】事業開始に伴う資金調達の内訳</t>
    <rPh sb="1" eb="3">
      <t>ニュウリョク</t>
    </rPh>
    <rPh sb="4" eb="8">
      <t>ジギョウカイシ</t>
    </rPh>
    <rPh sb="9" eb="10">
      <t>トモナ</t>
    </rPh>
    <rPh sb="11" eb="15">
      <t>シキンチョウタツ</t>
    </rPh>
    <rPh sb="16" eb="18">
      <t>ウチワケ</t>
    </rPh>
    <phoneticPr fontId="5"/>
  </si>
  <si>
    <t>地域内スポンサー出資</t>
    <rPh sb="0" eb="2">
      <t>チイキ</t>
    </rPh>
    <rPh sb="2" eb="3">
      <t>ナイ</t>
    </rPh>
    <rPh sb="8" eb="10">
      <t>シュッシ</t>
    </rPh>
    <phoneticPr fontId="4"/>
  </si>
  <si>
    <t>地域外スポンサー出資</t>
    <rPh sb="0" eb="2">
      <t>チイキ</t>
    </rPh>
    <rPh sb="2" eb="3">
      <t>ガイ</t>
    </rPh>
    <rPh sb="8" eb="10">
      <t>シュッシ</t>
    </rPh>
    <phoneticPr fontId="4"/>
  </si>
  <si>
    <t>①バイオマス事業者の最終利益（地域外配当減算後）</t>
    <phoneticPr fontId="4"/>
  </si>
  <si>
    <t>②建設関連における地域内事業者利益</t>
    <phoneticPr fontId="4"/>
  </si>
  <si>
    <t>③運転・維持関連における地域内事業者利益</t>
    <phoneticPr fontId="4"/>
  </si>
  <si>
    <t>バイオマス事業者</t>
    <phoneticPr fontId="4"/>
  </si>
  <si>
    <t>域内事業者</t>
    <phoneticPr fontId="4"/>
  </si>
  <si>
    <t>地域内金融機関</t>
    <rPh sb="0" eb="2">
      <t>チイキ</t>
    </rPh>
    <rPh sb="2" eb="3">
      <t>ナイ</t>
    </rPh>
    <rPh sb="3" eb="5">
      <t>キンユウ</t>
    </rPh>
    <rPh sb="5" eb="7">
      <t>キカン</t>
    </rPh>
    <phoneticPr fontId="4"/>
  </si>
  <si>
    <t>地域外金融機関</t>
    <rPh sb="0" eb="3">
      <t>チイキガイ</t>
    </rPh>
    <rPh sb="3" eb="7">
      <t>キンユウキカン</t>
    </rPh>
    <phoneticPr fontId="4"/>
  </si>
  <si>
    <t>事業者キャッシュ増減（出資比率考慮後）</t>
    <rPh sb="0" eb="3">
      <t>ジギョウシャ</t>
    </rPh>
    <rPh sb="8" eb="10">
      <t>ゾウゲン</t>
    </rPh>
    <rPh sb="11" eb="15">
      <t>シュッシヒリツ</t>
    </rPh>
    <rPh sb="15" eb="17">
      <t>コウリョ</t>
    </rPh>
    <rPh sb="17" eb="18">
      <t>ゴ</t>
    </rPh>
    <phoneticPr fontId="4"/>
  </si>
  <si>
    <t>うち建設関連</t>
    <rPh sb="2" eb="4">
      <t>ケンセツ</t>
    </rPh>
    <rPh sb="4" eb="6">
      <t>カンレン</t>
    </rPh>
    <phoneticPr fontId="4"/>
  </si>
  <si>
    <t>うち運転維持関連</t>
    <rPh sb="2" eb="4">
      <t>ウンテン</t>
    </rPh>
    <rPh sb="4" eb="6">
      <t>イジ</t>
    </rPh>
    <rPh sb="6" eb="8">
      <t>カンレン</t>
    </rPh>
    <phoneticPr fontId="4"/>
  </si>
  <si>
    <t>②建設関連事業者</t>
    <rPh sb="1" eb="3">
      <t>ケンセツ</t>
    </rPh>
    <rPh sb="3" eb="5">
      <t>カンレン</t>
    </rPh>
    <rPh sb="5" eb="8">
      <t>ジギョウシャ</t>
    </rPh>
    <phoneticPr fontId="4"/>
  </si>
  <si>
    <t>①バイオマス事業者
（地域内配当）</t>
    <rPh sb="6" eb="9">
      <t>ジギョウシャ</t>
    </rPh>
    <rPh sb="11" eb="14">
      <t>チイキナイ</t>
    </rPh>
    <rPh sb="14" eb="16">
      <t>ハイトウ</t>
    </rPh>
    <phoneticPr fontId="4"/>
  </si>
  <si>
    <t>③運転維持事業者</t>
    <rPh sb="1" eb="5">
      <t>ウンテン</t>
    </rPh>
    <rPh sb="5" eb="8">
      <t>ジギョウシャ</t>
    </rPh>
    <phoneticPr fontId="4"/>
  </si>
  <si>
    <t>④雇用効果</t>
    <rPh sb="1" eb="3">
      <t>コヨウ</t>
    </rPh>
    <rPh sb="3" eb="5">
      <t>コウカ</t>
    </rPh>
    <phoneticPr fontId="4"/>
  </si>
  <si>
    <t>⑤地方税</t>
    <rPh sb="1" eb="4">
      <t>チホウゼイ</t>
    </rPh>
    <phoneticPr fontId="4"/>
  </si>
  <si>
    <t>⑥廃棄物処理費用
削減効果</t>
    <rPh sb="1" eb="4">
      <t>ハイキブツ</t>
    </rPh>
    <rPh sb="4" eb="6">
      <t>ショリ</t>
    </rPh>
    <rPh sb="6" eb="8">
      <t>ヒヨウ</t>
    </rPh>
    <rPh sb="9" eb="11">
      <t>サクゲン</t>
    </rPh>
    <rPh sb="11" eb="13">
      <t>コウカ</t>
    </rPh>
    <phoneticPr fontId="4"/>
  </si>
  <si>
    <t>⑦エネルギー費用
削減効果</t>
    <rPh sb="6" eb="8">
      <t>ヒヨウ</t>
    </rPh>
    <rPh sb="9" eb="11">
      <t>サクゲン</t>
    </rPh>
    <rPh sb="11" eb="13">
      <t>コウカ</t>
    </rPh>
    <phoneticPr fontId="4"/>
  </si>
  <si>
    <r>
      <t>0</t>
    </r>
    <r>
      <rPr>
        <sz val="9"/>
        <color theme="1"/>
        <rFont val="ＭＳ Ｐゴシック"/>
        <family val="3"/>
        <charset val="128"/>
      </rPr>
      <t>年目</t>
    </r>
    <rPh sb="1" eb="3">
      <t>ネンメ</t>
    </rPh>
    <phoneticPr fontId="4"/>
  </si>
  <si>
    <r>
      <t>1</t>
    </r>
    <r>
      <rPr>
        <sz val="9"/>
        <color theme="1"/>
        <rFont val="ＭＳ Ｐゴシック"/>
        <family val="3"/>
        <charset val="128"/>
      </rPr>
      <t>年目</t>
    </r>
    <rPh sb="1" eb="3">
      <t>ネンメ</t>
    </rPh>
    <phoneticPr fontId="4"/>
  </si>
  <si>
    <r>
      <t>2年目</t>
    </r>
    <r>
      <rPr>
        <sz val="9"/>
        <color theme="1"/>
        <rFont val="ＭＳ Ｐゴシック"/>
        <family val="3"/>
        <charset val="128"/>
      </rPr>
      <t/>
    </r>
    <rPh sb="1" eb="3">
      <t>ネンメ</t>
    </rPh>
    <phoneticPr fontId="4"/>
  </si>
  <si>
    <r>
      <t>3年目</t>
    </r>
    <r>
      <rPr>
        <sz val="9"/>
        <color theme="1"/>
        <rFont val="ＭＳ Ｐゴシック"/>
        <family val="3"/>
        <charset val="128"/>
      </rPr>
      <t/>
    </r>
    <rPh sb="1" eb="3">
      <t>ネンメ</t>
    </rPh>
    <phoneticPr fontId="4"/>
  </si>
  <si>
    <r>
      <t>4年目</t>
    </r>
    <r>
      <rPr>
        <sz val="9"/>
        <color theme="1"/>
        <rFont val="ＭＳ Ｐゴシック"/>
        <family val="3"/>
        <charset val="128"/>
      </rPr>
      <t/>
    </r>
    <rPh sb="1" eb="3">
      <t>ネンメ</t>
    </rPh>
    <phoneticPr fontId="4"/>
  </si>
  <si>
    <r>
      <t>5年目</t>
    </r>
    <r>
      <rPr>
        <sz val="9"/>
        <color theme="1"/>
        <rFont val="ＭＳ Ｐゴシック"/>
        <family val="3"/>
        <charset val="128"/>
      </rPr>
      <t/>
    </r>
    <rPh sb="1" eb="3">
      <t>ネンメ</t>
    </rPh>
    <phoneticPr fontId="4"/>
  </si>
  <si>
    <r>
      <t>6年目</t>
    </r>
    <r>
      <rPr>
        <sz val="9"/>
        <color theme="1"/>
        <rFont val="ＭＳ Ｐゴシック"/>
        <family val="3"/>
        <charset val="128"/>
      </rPr>
      <t/>
    </r>
    <rPh sb="1" eb="3">
      <t>ネンメ</t>
    </rPh>
    <phoneticPr fontId="4"/>
  </si>
  <si>
    <r>
      <t>7年目</t>
    </r>
    <r>
      <rPr>
        <sz val="9"/>
        <color theme="1"/>
        <rFont val="ＭＳ Ｐゴシック"/>
        <family val="3"/>
        <charset val="128"/>
      </rPr>
      <t/>
    </r>
    <rPh sb="1" eb="3">
      <t>ネンメ</t>
    </rPh>
    <phoneticPr fontId="4"/>
  </si>
  <si>
    <r>
      <t>8年目</t>
    </r>
    <r>
      <rPr>
        <sz val="9"/>
        <color theme="1"/>
        <rFont val="ＭＳ Ｐゴシック"/>
        <family val="3"/>
        <charset val="128"/>
      </rPr>
      <t/>
    </r>
    <rPh sb="1" eb="3">
      <t>ネンメ</t>
    </rPh>
    <phoneticPr fontId="4"/>
  </si>
  <si>
    <r>
      <t>9年目</t>
    </r>
    <r>
      <rPr>
        <sz val="9"/>
        <color theme="1"/>
        <rFont val="ＭＳ Ｐゴシック"/>
        <family val="3"/>
        <charset val="128"/>
      </rPr>
      <t/>
    </r>
    <rPh sb="1" eb="3">
      <t>ネンメ</t>
    </rPh>
    <phoneticPr fontId="4"/>
  </si>
  <si>
    <r>
      <t>10年目</t>
    </r>
    <r>
      <rPr>
        <sz val="9"/>
        <color theme="1"/>
        <rFont val="ＭＳ Ｐゴシック"/>
        <family val="3"/>
        <charset val="128"/>
      </rPr>
      <t/>
    </r>
    <rPh sb="2" eb="4">
      <t>ネンメ</t>
    </rPh>
    <phoneticPr fontId="4"/>
  </si>
  <si>
    <r>
      <t>11年目</t>
    </r>
    <r>
      <rPr>
        <sz val="9"/>
        <color theme="1"/>
        <rFont val="ＭＳ Ｐゴシック"/>
        <family val="3"/>
        <charset val="128"/>
      </rPr>
      <t/>
    </r>
    <rPh sb="2" eb="4">
      <t>ネンメ</t>
    </rPh>
    <phoneticPr fontId="4"/>
  </si>
  <si>
    <r>
      <t>12年目</t>
    </r>
    <r>
      <rPr>
        <sz val="9"/>
        <color theme="1"/>
        <rFont val="ＭＳ Ｐゴシック"/>
        <family val="3"/>
        <charset val="128"/>
      </rPr>
      <t/>
    </r>
    <rPh sb="2" eb="4">
      <t>ネンメ</t>
    </rPh>
    <phoneticPr fontId="4"/>
  </si>
  <si>
    <r>
      <t>13年目</t>
    </r>
    <r>
      <rPr>
        <sz val="9"/>
        <color theme="1"/>
        <rFont val="ＭＳ Ｐゴシック"/>
        <family val="3"/>
        <charset val="128"/>
      </rPr>
      <t/>
    </r>
    <rPh sb="2" eb="4">
      <t>ネンメ</t>
    </rPh>
    <phoneticPr fontId="4"/>
  </si>
  <si>
    <r>
      <t>14年目</t>
    </r>
    <r>
      <rPr>
        <sz val="9"/>
        <color theme="1"/>
        <rFont val="ＭＳ Ｐゴシック"/>
        <family val="3"/>
        <charset val="128"/>
      </rPr>
      <t/>
    </r>
    <rPh sb="2" eb="4">
      <t>ネンメ</t>
    </rPh>
    <phoneticPr fontId="4"/>
  </si>
  <si>
    <r>
      <t>15年目</t>
    </r>
    <r>
      <rPr>
        <sz val="9"/>
        <color theme="1"/>
        <rFont val="ＭＳ Ｐゴシック"/>
        <family val="3"/>
        <charset val="128"/>
      </rPr>
      <t/>
    </r>
    <rPh sb="2" eb="4">
      <t>ネンメ</t>
    </rPh>
    <phoneticPr fontId="4"/>
  </si>
  <si>
    <r>
      <t>16年目</t>
    </r>
    <r>
      <rPr>
        <sz val="9"/>
        <color theme="1"/>
        <rFont val="ＭＳ Ｐゴシック"/>
        <family val="3"/>
        <charset val="128"/>
      </rPr>
      <t/>
    </r>
    <rPh sb="2" eb="4">
      <t>ネンメ</t>
    </rPh>
    <phoneticPr fontId="4"/>
  </si>
  <si>
    <r>
      <t>17年目</t>
    </r>
    <r>
      <rPr>
        <sz val="9"/>
        <color theme="1"/>
        <rFont val="ＭＳ Ｐゴシック"/>
        <family val="3"/>
        <charset val="128"/>
      </rPr>
      <t/>
    </r>
    <rPh sb="2" eb="4">
      <t>ネンメ</t>
    </rPh>
    <phoneticPr fontId="4"/>
  </si>
  <si>
    <r>
      <t>18年目</t>
    </r>
    <r>
      <rPr>
        <sz val="9"/>
        <color theme="1"/>
        <rFont val="ＭＳ Ｐゴシック"/>
        <family val="3"/>
        <charset val="128"/>
      </rPr>
      <t/>
    </r>
    <rPh sb="2" eb="4">
      <t>ネンメ</t>
    </rPh>
    <phoneticPr fontId="4"/>
  </si>
  <si>
    <r>
      <t>19年目</t>
    </r>
    <r>
      <rPr>
        <sz val="9"/>
        <color theme="1"/>
        <rFont val="ＭＳ Ｐゴシック"/>
        <family val="3"/>
        <charset val="128"/>
      </rPr>
      <t/>
    </r>
    <rPh sb="2" eb="4">
      <t>ネンメ</t>
    </rPh>
    <phoneticPr fontId="4"/>
  </si>
  <si>
    <r>
      <t>20年目</t>
    </r>
    <r>
      <rPr>
        <sz val="9"/>
        <color theme="1"/>
        <rFont val="ＭＳ Ｐゴシック"/>
        <family val="3"/>
        <charset val="128"/>
      </rPr>
      <t/>
    </r>
    <rPh sb="2" eb="4">
      <t>ネンメ</t>
    </rPh>
    <phoneticPr fontId="4"/>
  </si>
  <si>
    <r>
      <t>21年目</t>
    </r>
    <r>
      <rPr>
        <sz val="9"/>
        <color theme="1"/>
        <rFont val="ＭＳ Ｐゴシック"/>
        <family val="3"/>
        <charset val="128"/>
      </rPr>
      <t/>
    </r>
    <rPh sb="2" eb="4">
      <t>ネンメ</t>
    </rPh>
    <phoneticPr fontId="4"/>
  </si>
  <si>
    <r>
      <t>22年目</t>
    </r>
    <r>
      <rPr>
        <sz val="9"/>
        <color theme="1"/>
        <rFont val="ＭＳ Ｐゴシック"/>
        <family val="3"/>
        <charset val="128"/>
      </rPr>
      <t/>
    </r>
    <rPh sb="2" eb="4">
      <t>ネンメ</t>
    </rPh>
    <phoneticPr fontId="4"/>
  </si>
  <si>
    <r>
      <t>23年目</t>
    </r>
    <r>
      <rPr>
        <sz val="9"/>
        <color theme="1"/>
        <rFont val="ＭＳ Ｐゴシック"/>
        <family val="3"/>
        <charset val="128"/>
      </rPr>
      <t/>
    </r>
    <rPh sb="2" eb="4">
      <t>ネンメ</t>
    </rPh>
    <phoneticPr fontId="4"/>
  </si>
  <si>
    <r>
      <t>24年目</t>
    </r>
    <r>
      <rPr>
        <sz val="9"/>
        <color theme="1"/>
        <rFont val="ＭＳ Ｐゴシック"/>
        <family val="3"/>
        <charset val="128"/>
      </rPr>
      <t/>
    </r>
    <rPh sb="2" eb="4">
      <t>ネンメ</t>
    </rPh>
    <phoneticPr fontId="4"/>
  </si>
  <si>
    <r>
      <t>25年目</t>
    </r>
    <r>
      <rPr>
        <sz val="9"/>
        <color theme="1"/>
        <rFont val="ＭＳ Ｐゴシック"/>
        <family val="3"/>
        <charset val="128"/>
      </rPr>
      <t/>
    </r>
    <rPh sb="2" eb="4">
      <t>ネンメ</t>
    </rPh>
    <phoneticPr fontId="4"/>
  </si>
  <si>
    <r>
      <t>26年目</t>
    </r>
    <r>
      <rPr>
        <sz val="9"/>
        <color theme="1"/>
        <rFont val="ＭＳ Ｐゴシック"/>
        <family val="3"/>
        <charset val="128"/>
      </rPr>
      <t/>
    </r>
    <rPh sb="2" eb="4">
      <t>ネンメ</t>
    </rPh>
    <phoneticPr fontId="4"/>
  </si>
  <si>
    <r>
      <t>27年目</t>
    </r>
    <r>
      <rPr>
        <sz val="9"/>
        <color theme="1"/>
        <rFont val="ＭＳ Ｐゴシック"/>
        <family val="3"/>
        <charset val="128"/>
      </rPr>
      <t/>
    </r>
    <rPh sb="2" eb="4">
      <t>ネンメ</t>
    </rPh>
    <phoneticPr fontId="4"/>
  </si>
  <si>
    <r>
      <t>28年目</t>
    </r>
    <r>
      <rPr>
        <sz val="9"/>
        <color theme="1"/>
        <rFont val="ＭＳ Ｐゴシック"/>
        <family val="3"/>
        <charset val="128"/>
      </rPr>
      <t/>
    </r>
    <rPh sb="2" eb="4">
      <t>ネンメ</t>
    </rPh>
    <phoneticPr fontId="4"/>
  </si>
  <si>
    <r>
      <t>29年目</t>
    </r>
    <r>
      <rPr>
        <sz val="9"/>
        <color theme="1"/>
        <rFont val="ＭＳ Ｐゴシック"/>
        <family val="3"/>
        <charset val="128"/>
      </rPr>
      <t/>
    </r>
    <rPh sb="2" eb="4">
      <t>ネンメ</t>
    </rPh>
    <phoneticPr fontId="4"/>
  </si>
  <si>
    <r>
      <t>30年目</t>
    </r>
    <r>
      <rPr>
        <sz val="9"/>
        <color theme="1"/>
        <rFont val="ＭＳ Ｐゴシック"/>
        <family val="3"/>
        <charset val="128"/>
      </rPr>
      <t/>
    </r>
    <rPh sb="2" eb="4">
      <t>ネンメ</t>
    </rPh>
    <phoneticPr fontId="4"/>
  </si>
  <si>
    <t>【結果】地域内経済効果を踏まえた20年間のバイオマス事業の効果</t>
    <rPh sb="1" eb="3">
      <t>ケッカ</t>
    </rPh>
    <rPh sb="4" eb="7">
      <t>チイキナイ</t>
    </rPh>
    <rPh sb="7" eb="11">
      <t>ケイザイコウカ</t>
    </rPh>
    <rPh sb="12" eb="13">
      <t>フ</t>
    </rPh>
    <rPh sb="18" eb="20">
      <t>ネンカン</t>
    </rPh>
    <rPh sb="26" eb="28">
      <t>ジギョウ</t>
    </rPh>
    <rPh sb="29" eb="31">
      <t>コウカ</t>
    </rPh>
    <phoneticPr fontId="4"/>
  </si>
  <si>
    <t>バイオマス事業のIRR</t>
    <rPh sb="5" eb="7">
      <t>ジギョウ</t>
    </rPh>
    <phoneticPr fontId="4"/>
  </si>
  <si>
    <t>バイオマス事業の投資回収年数</t>
    <rPh sb="5" eb="7">
      <t>ジギョウ</t>
    </rPh>
    <rPh sb="8" eb="12">
      <t>トウシカイシュウ</t>
    </rPh>
    <rPh sb="12" eb="14">
      <t>ネンスウ</t>
    </rPh>
    <phoneticPr fontId="4"/>
  </si>
  <si>
    <t>地域経済効果を含めた事業の投資回収年数</t>
    <rPh sb="0" eb="2">
      <t>チイキ</t>
    </rPh>
    <rPh sb="2" eb="4">
      <t>ケイザイ</t>
    </rPh>
    <rPh sb="4" eb="6">
      <t>コウカ</t>
    </rPh>
    <rPh sb="7" eb="8">
      <t>フク</t>
    </rPh>
    <rPh sb="10" eb="12">
      <t>ジギョウ</t>
    </rPh>
    <rPh sb="13" eb="15">
      <t>トウシ</t>
    </rPh>
    <rPh sb="15" eb="17">
      <t>カイシュウ</t>
    </rPh>
    <rPh sb="17" eb="19">
      <t>ネンスウ</t>
    </rPh>
    <phoneticPr fontId="4"/>
  </si>
  <si>
    <t>バイオマス事業における
キャッシュフロー</t>
    <rPh sb="5" eb="7">
      <t>ジギョウ</t>
    </rPh>
    <phoneticPr fontId="4"/>
  </si>
  <si>
    <t>地域経済効果を踏まえた
キャッシュフロー</t>
    <rPh sb="0" eb="2">
      <t>チイキ</t>
    </rPh>
    <rPh sb="2" eb="4">
      <t>ケイザイ</t>
    </rPh>
    <rPh sb="4" eb="6">
      <t>コウカ</t>
    </rPh>
    <rPh sb="7" eb="8">
      <t>フ</t>
    </rPh>
    <phoneticPr fontId="4"/>
  </si>
  <si>
    <t>地域事業者への発注割合</t>
    <rPh sb="0" eb="2">
      <t>チイキ</t>
    </rPh>
    <rPh sb="2" eb="5">
      <t>ジギョウシャ</t>
    </rPh>
    <rPh sb="7" eb="9">
      <t>ハッチュウ</t>
    </rPh>
    <rPh sb="9" eb="11">
      <t>ワリアイ</t>
    </rPh>
    <phoneticPr fontId="4"/>
  </si>
  <si>
    <t>（参考）初期投資総額</t>
    <rPh sb="1" eb="3">
      <t>サンコウ</t>
    </rPh>
    <rPh sb="4" eb="8">
      <t>ショキトウシ</t>
    </rPh>
    <rPh sb="8" eb="10">
      <t>ソウガク</t>
    </rPh>
    <phoneticPr fontId="4"/>
  </si>
  <si>
    <t>地域内銀行借入金</t>
    <rPh sb="0" eb="3">
      <t>チイキナイ</t>
    </rPh>
    <rPh sb="3" eb="5">
      <t>ギンコウ</t>
    </rPh>
    <rPh sb="5" eb="8">
      <t>カリイレキン</t>
    </rPh>
    <phoneticPr fontId="4"/>
  </si>
  <si>
    <t>地域外銀行借入金</t>
    <rPh sb="0" eb="3">
      <t>チイキガイ</t>
    </rPh>
    <rPh sb="3" eb="5">
      <t>ギンコウ</t>
    </rPh>
    <rPh sb="5" eb="8">
      <t>カリイレキン</t>
    </rPh>
    <phoneticPr fontId="4"/>
  </si>
  <si>
    <t>【結果】20年間のバイオマス事業の効果</t>
    <rPh sb="1" eb="3">
      <t>ケッカ</t>
    </rPh>
    <phoneticPr fontId="4"/>
  </si>
  <si>
    <t>（事業開始後20年間合計）</t>
    <rPh sb="1" eb="5">
      <t>ジギョウカイシ</t>
    </rPh>
    <rPh sb="5" eb="6">
      <t>アト</t>
    </rPh>
    <rPh sb="8" eb="10">
      <t>ネンカン</t>
    </rPh>
    <rPh sb="10" eb="12">
      <t>ゴウケイ</t>
    </rPh>
    <phoneticPr fontId="4"/>
  </si>
  <si>
    <t>（事業開始前20年間合計）</t>
    <rPh sb="1" eb="5">
      <t>ジギョウカイシ</t>
    </rPh>
    <rPh sb="5" eb="6">
      <t>マエ</t>
    </rPh>
    <rPh sb="8" eb="10">
      <t>ネンカン</t>
    </rPh>
    <rPh sb="10" eb="12">
      <t>ゴウケイ</t>
    </rPh>
    <phoneticPr fontId="4"/>
  </si>
  <si>
    <t>⑧廃棄物処理・エネルギー利用における需要家へのメリット</t>
    <rPh sb="1" eb="4">
      <t>ハイキブツ</t>
    </rPh>
    <rPh sb="4" eb="6">
      <t>ショリ</t>
    </rPh>
    <rPh sb="12" eb="14">
      <t>リヨウ</t>
    </rPh>
    <rPh sb="18" eb="21">
      <t>ジュヨウカ</t>
    </rPh>
    <phoneticPr fontId="4"/>
  </si>
  <si>
    <t>⑥地域内金融機関利息収入</t>
    <rPh sb="1" eb="4">
      <t>チイキナイ</t>
    </rPh>
    <rPh sb="4" eb="8">
      <t>キンユウキカン</t>
    </rPh>
    <rPh sb="8" eb="10">
      <t>リソク</t>
    </rPh>
    <rPh sb="10" eb="12">
      <t>シュウニュウ</t>
    </rPh>
    <phoneticPr fontId="4"/>
  </si>
  <si>
    <t>⑤自治体地方税</t>
    <rPh sb="1" eb="4">
      <t>ジチタイ</t>
    </rPh>
    <rPh sb="4" eb="7">
      <t>チホウゼイ</t>
    </rPh>
    <phoneticPr fontId="4"/>
  </si>
  <si>
    <t>④雇用効果（従業員可処分所得）</t>
    <rPh sb="1" eb="3">
      <t>コヨウ</t>
    </rPh>
    <rPh sb="3" eb="5">
      <t>コウカ</t>
    </rPh>
    <rPh sb="6" eb="9">
      <t>ジュウギョウイン</t>
    </rPh>
    <rPh sb="9" eb="14">
      <t>カショブンショトク</t>
    </rPh>
    <phoneticPr fontId="4"/>
  </si>
  <si>
    <t>○地域内経済効果を含めたバイオマス事業の経済性</t>
    <rPh sb="1" eb="3">
      <t>チイキ</t>
    </rPh>
    <rPh sb="3" eb="4">
      <t>ナイ</t>
    </rPh>
    <rPh sb="4" eb="6">
      <t>ケイザイ</t>
    </rPh>
    <rPh sb="6" eb="8">
      <t>コウカ</t>
    </rPh>
    <rPh sb="9" eb="10">
      <t>フク</t>
    </rPh>
    <rPh sb="17" eb="19">
      <t>ジギョウ</t>
    </rPh>
    <rPh sb="20" eb="23">
      <t>ケイザイセイ</t>
    </rPh>
    <phoneticPr fontId="5"/>
  </si>
  <si>
    <t>支払利息（地域内）</t>
    <rPh sb="0" eb="4">
      <t>シハライリソク</t>
    </rPh>
    <rPh sb="5" eb="8">
      <t>チイキナイ</t>
    </rPh>
    <phoneticPr fontId="4"/>
  </si>
  <si>
    <t>支払利息（地域外）</t>
    <rPh sb="0" eb="4">
      <t>シハライリソク</t>
    </rPh>
    <rPh sb="5" eb="8">
      <t>チイキガイ</t>
    </rPh>
    <phoneticPr fontId="4"/>
  </si>
  <si>
    <t>合計</t>
    <rPh sb="0" eb="2">
      <t>ゴウケイ</t>
    </rPh>
    <phoneticPr fontId="4"/>
  </si>
  <si>
    <t>【結果】バイオマス事業開始による地域の経済効果（20年間合計）</t>
    <rPh sb="1" eb="3">
      <t>ケッカ</t>
    </rPh>
    <rPh sb="9" eb="13">
      <t>ジギョウカイシ</t>
    </rPh>
    <rPh sb="16" eb="18">
      <t>チイキ</t>
    </rPh>
    <rPh sb="19" eb="21">
      <t>ケイザイ</t>
    </rPh>
    <rPh sb="21" eb="23">
      <t>コウカ</t>
    </rPh>
    <rPh sb="26" eb="28">
      <t>ネンカン</t>
    </rPh>
    <rPh sb="28" eb="30">
      <t>ゴウケイ</t>
    </rPh>
    <phoneticPr fontId="4"/>
  </si>
  <si>
    <t>他事業の事業利益（一次）</t>
    <rPh sb="0" eb="3">
      <t>タジギョウ</t>
    </rPh>
    <rPh sb="9" eb="11">
      <t>イチジ</t>
    </rPh>
    <phoneticPr fontId="4"/>
  </si>
  <si>
    <t>他事業の従業員所得（一次）</t>
    <rPh sb="0" eb="3">
      <t>タジギョウ</t>
    </rPh>
    <rPh sb="10" eb="12">
      <t>イチジ</t>
    </rPh>
    <phoneticPr fontId="4"/>
  </si>
  <si>
    <t>事業者利益総額</t>
    <rPh sb="0" eb="3">
      <t>ジギョウシャ</t>
    </rPh>
    <rPh sb="3" eb="5">
      <t>リエキ</t>
    </rPh>
    <rPh sb="5" eb="7">
      <t>ソウガク</t>
    </rPh>
    <phoneticPr fontId="4"/>
  </si>
  <si>
    <t>電力支払い費用</t>
    <rPh sb="0" eb="2">
      <t>デンリョク</t>
    </rPh>
    <rPh sb="2" eb="4">
      <t>シハラ</t>
    </rPh>
    <rPh sb="5" eb="7">
      <t>ヒヨウ</t>
    </rPh>
    <phoneticPr fontId="4"/>
  </si>
  <si>
    <t>熱支払い費用</t>
    <rPh sb="0" eb="1">
      <t>ネツ</t>
    </rPh>
    <rPh sb="1" eb="3">
      <t>シハラ</t>
    </rPh>
    <rPh sb="4" eb="6">
      <t>ヒヨウ</t>
    </rPh>
    <phoneticPr fontId="4"/>
  </si>
  <si>
    <t>https://ghg-santeikohyo.env.go.jp/files/calc/r02_coefficient_rev.pdf</t>
  </si>
  <si>
    <t>https://ghg-santeikohyo.env.go.jp/files/calc/itiran_2020_rev.pdf</t>
  </si>
  <si>
    <t>産業用以外の上記、温水、冷水</t>
    <rPh sb="0" eb="3">
      <t>サンギョウヨウ</t>
    </rPh>
    <rPh sb="3" eb="5">
      <t>イガイ</t>
    </rPh>
    <rPh sb="6" eb="8">
      <t>ジョウキ</t>
    </rPh>
    <rPh sb="9" eb="11">
      <t>オンスイ</t>
    </rPh>
    <rPh sb="12" eb="14">
      <t>レイスイ</t>
    </rPh>
    <phoneticPr fontId="4"/>
  </si>
  <si>
    <t>電力</t>
    <rPh sb="0" eb="2">
      <t>デンリョク</t>
    </rPh>
    <phoneticPr fontId="4"/>
  </si>
  <si>
    <t>tCO2/kWH</t>
    <phoneticPr fontId="4"/>
  </si>
  <si>
    <t>tCO2/GJ</t>
    <phoneticPr fontId="4"/>
  </si>
  <si>
    <t xml:space="preserve">   金利</t>
    <rPh sb="3" eb="5">
      <t>キンリ</t>
    </rPh>
    <phoneticPr fontId="4"/>
  </si>
  <si>
    <t>　 借用年数</t>
    <rPh sb="2" eb="4">
      <t>シャクヨウ</t>
    </rPh>
    <rPh sb="3" eb="4">
      <t>ヨウ</t>
    </rPh>
    <rPh sb="4" eb="6">
      <t>ネンスウ</t>
    </rPh>
    <phoneticPr fontId="4"/>
  </si>
  <si>
    <t>　 金利</t>
    <rPh sb="2" eb="4">
      <t>キンリ</t>
    </rPh>
    <phoneticPr fontId="4"/>
  </si>
  <si>
    <t xml:space="preserve">   借用年数</t>
    <rPh sb="3" eb="5">
      <t>シャクヨウ</t>
    </rPh>
    <rPh sb="5" eb="7">
      <t>ネンスウ</t>
    </rPh>
    <phoneticPr fontId="4"/>
  </si>
  <si>
    <t>出資割合</t>
    <rPh sb="0" eb="2">
      <t>シュッシ</t>
    </rPh>
    <rPh sb="2" eb="4">
      <t>ワリアイ</t>
    </rPh>
    <phoneticPr fontId="4"/>
  </si>
  <si>
    <t>※地域経済性については下段のパラーメーター設定を行うこと。</t>
    <rPh sb="1" eb="5">
      <t>チイキケイザイ</t>
    </rPh>
    <rPh sb="5" eb="6">
      <t>セイ</t>
    </rPh>
    <rPh sb="11" eb="13">
      <t>ゲダン</t>
    </rPh>
    <rPh sb="21" eb="23">
      <t>セッテイ</t>
    </rPh>
    <rPh sb="24" eb="25">
      <t>オコナ</t>
    </rPh>
    <phoneticPr fontId="4"/>
  </si>
  <si>
    <t>Point 地域経済分析結果の解釈</t>
    <rPh sb="6" eb="8">
      <t>チイキ</t>
    </rPh>
    <rPh sb="8" eb="10">
      <t>ケイザイ</t>
    </rPh>
    <rPh sb="10" eb="12">
      <t>ブンセキ</t>
    </rPh>
    <rPh sb="12" eb="14">
      <t>ケッカ</t>
    </rPh>
    <rPh sb="15" eb="17">
      <t>カイシャク</t>
    </rPh>
    <phoneticPr fontId="4"/>
  </si>
  <si>
    <t>設備費用・運転維持費</t>
    <rPh sb="0" eb="2">
      <t>セツビ</t>
    </rPh>
    <rPh sb="2" eb="4">
      <t>ヒヨウ</t>
    </rPh>
    <rPh sb="5" eb="7">
      <t>ウンテン</t>
    </rPh>
    <rPh sb="7" eb="10">
      <t>イジヒ</t>
    </rPh>
    <phoneticPr fontId="4"/>
  </si>
  <si>
    <t>メンテナンス費</t>
    <rPh sb="6" eb="7">
      <t>ヒ</t>
    </rPh>
    <phoneticPr fontId="4"/>
  </si>
  <si>
    <t>　ユーティリティー費用</t>
    <rPh sb="9" eb="11">
      <t>ヒヨウ</t>
    </rPh>
    <phoneticPr fontId="4"/>
  </si>
  <si>
    <t>　人件費</t>
    <rPh sb="1" eb="4">
      <t>ジンケンヒ</t>
    </rPh>
    <phoneticPr fontId="4"/>
  </si>
  <si>
    <t>　一般管理費</t>
    <rPh sb="1" eb="6">
      <t>イッパンカンリヒ</t>
    </rPh>
    <phoneticPr fontId="4"/>
  </si>
  <si>
    <t>　メンテナンス費</t>
    <rPh sb="7" eb="8">
      <t>ヒ</t>
    </rPh>
    <phoneticPr fontId="4"/>
  </si>
  <si>
    <t>投資回収年</t>
    <rPh sb="0" eb="2">
      <t>トウシ</t>
    </rPh>
    <rPh sb="2" eb="4">
      <t>カイシュウ</t>
    </rPh>
    <rPh sb="4" eb="5">
      <t>ドシ</t>
    </rPh>
    <phoneticPr fontId="5"/>
  </si>
  <si>
    <t>　設備費用</t>
    <rPh sb="1" eb="3">
      <t>セツビ</t>
    </rPh>
    <rPh sb="3" eb="5">
      <t>ヒヨウ</t>
    </rPh>
    <phoneticPr fontId="4"/>
  </si>
  <si>
    <t>　工事費</t>
    <rPh sb="1" eb="4">
      <t>コウジヒ</t>
    </rPh>
    <phoneticPr fontId="4"/>
  </si>
  <si>
    <t>メンテナンス費</t>
    <phoneticPr fontId="4"/>
  </si>
  <si>
    <t>人件費</t>
    <rPh sb="0" eb="3">
      <t>ジンケンヒ</t>
    </rPh>
    <phoneticPr fontId="4"/>
  </si>
  <si>
    <t>一般管理費</t>
    <rPh sb="0" eb="5">
      <t>イッパンカンリヒ</t>
    </rPh>
    <phoneticPr fontId="4"/>
  </si>
  <si>
    <t>運転維持費（合計費用）</t>
    <rPh sb="6" eb="8">
      <t>ゴウケイ</t>
    </rPh>
    <rPh sb="8" eb="10">
      <t>ヒヨウ</t>
    </rPh>
    <phoneticPr fontId="4"/>
  </si>
  <si>
    <t>百万円/年</t>
    <rPh sb="0" eb="3">
      <t>ヒャクマンエン</t>
    </rPh>
    <rPh sb="4" eb="5">
      <t>ネン</t>
    </rPh>
    <phoneticPr fontId="4"/>
  </si>
  <si>
    <t>一般管理費</t>
    <rPh sb="0" eb="5">
      <t>イッパンカンリヒ</t>
    </rPh>
    <phoneticPr fontId="4"/>
  </si>
  <si>
    <t>初期投資費用（費用）</t>
    <rPh sb="7" eb="9">
      <t>ヒヨウ</t>
    </rPh>
    <phoneticPr fontId="4"/>
  </si>
  <si>
    <t>必要調達量</t>
    <rPh sb="0" eb="2">
      <t>ヒツヨウ</t>
    </rPh>
    <rPh sb="2" eb="4">
      <t>チョウタツ</t>
    </rPh>
    <rPh sb="4" eb="5">
      <t>リョウ</t>
    </rPh>
    <phoneticPr fontId="4"/>
  </si>
  <si>
    <t>○詳細な設定２(必要に応じて数値を直接変更）</t>
    <rPh sb="1" eb="3">
      <t>ショウサイ</t>
    </rPh>
    <rPh sb="4" eb="6">
      <t>セッテイ</t>
    </rPh>
    <rPh sb="8" eb="10">
      <t>ヒツヨウ</t>
    </rPh>
    <rPh sb="11" eb="12">
      <t>オウ</t>
    </rPh>
    <rPh sb="14" eb="16">
      <t>スウチ</t>
    </rPh>
    <rPh sb="17" eb="19">
      <t>チョクセツ</t>
    </rPh>
    <rPh sb="19" eb="21">
      <t>ヘンコウ</t>
    </rPh>
    <phoneticPr fontId="4"/>
  </si>
  <si>
    <t>感度分析</t>
    <rPh sb="0" eb="4">
      <t>カンドブンセキ</t>
    </rPh>
    <phoneticPr fontId="4"/>
  </si>
  <si>
    <t>原料種</t>
    <rPh sb="0" eb="2">
      <t>ゲンリョウ</t>
    </rPh>
    <rPh sb="2" eb="3">
      <t>タネ</t>
    </rPh>
    <phoneticPr fontId="4"/>
  </si>
  <si>
    <t>バイオマス事業における地域内関係事業者の経済効果の想定</t>
    <rPh sb="5" eb="7">
      <t>ジギョウ</t>
    </rPh>
    <rPh sb="11" eb="14">
      <t>チイキナイ</t>
    </rPh>
    <rPh sb="14" eb="16">
      <t>カンケイ</t>
    </rPh>
    <rPh sb="16" eb="19">
      <t>ジギョウシャ</t>
    </rPh>
    <rPh sb="20" eb="24">
      <t>ケイザイコウカ</t>
    </rPh>
    <rPh sb="25" eb="27">
      <t>ソウテイ</t>
    </rPh>
    <phoneticPr fontId="4"/>
  </si>
  <si>
    <t>イニシャルコスト</t>
    <phoneticPr fontId="4"/>
  </si>
  <si>
    <t>売上高に占める雇用所得</t>
    <rPh sb="0" eb="3">
      <t>ウリアゲダカ</t>
    </rPh>
    <rPh sb="4" eb="5">
      <t>シ</t>
    </rPh>
    <rPh sb="7" eb="9">
      <t>コヨウ</t>
    </rPh>
    <rPh sb="9" eb="11">
      <t>ショトク</t>
    </rPh>
    <phoneticPr fontId="4"/>
  </si>
  <si>
    <t>売上高に占める営業余剰</t>
    <rPh sb="0" eb="3">
      <t>ウリアゲダカ</t>
    </rPh>
    <rPh sb="4" eb="5">
      <t>シ</t>
    </rPh>
    <rPh sb="7" eb="9">
      <t>エイギョウ</t>
    </rPh>
    <rPh sb="9" eb="11">
      <t>ヨジョウ</t>
    </rPh>
    <phoneticPr fontId="4"/>
  </si>
  <si>
    <t>非鉄金属製造業</t>
    <rPh sb="0" eb="4">
      <t>ヒテツキンゾク</t>
    </rPh>
    <rPh sb="4" eb="7">
      <t>セイゾウギョウ</t>
    </rPh>
    <phoneticPr fontId="4"/>
  </si>
  <si>
    <t>生産用機械器具製造業</t>
    <rPh sb="0" eb="2">
      <t>セイサン</t>
    </rPh>
    <rPh sb="2" eb="3">
      <t>ヨウ</t>
    </rPh>
    <rPh sb="3" eb="10">
      <t>キカイキグセイゾウギョウ</t>
    </rPh>
    <phoneticPr fontId="4"/>
  </si>
  <si>
    <t>業務用機械器具製造業</t>
    <rPh sb="0" eb="3">
      <t>ギョウムヨウ</t>
    </rPh>
    <rPh sb="3" eb="10">
      <t>キカイキグセイゾウギョウ</t>
    </rPh>
    <phoneticPr fontId="4"/>
  </si>
  <si>
    <t>電気機械器具製造業</t>
    <rPh sb="0" eb="9">
      <t>デンキキカイキグセイゾウギョウ</t>
    </rPh>
    <phoneticPr fontId="4"/>
  </si>
  <si>
    <t>その他輸送用機械器具製造業</t>
    <rPh sb="2" eb="3">
      <t>タ</t>
    </rPh>
    <rPh sb="3" eb="8">
      <t>ユソウヨウキカイ</t>
    </rPh>
    <rPh sb="8" eb="10">
      <t>キグ</t>
    </rPh>
    <rPh sb="10" eb="13">
      <t>セイゾウギョウ</t>
    </rPh>
    <phoneticPr fontId="4"/>
  </si>
  <si>
    <t>追加する場合はこちらに入力　イニシャル①</t>
    <rPh sb="0" eb="2">
      <t>ツイカ</t>
    </rPh>
    <rPh sb="4" eb="6">
      <t>バアイ</t>
    </rPh>
    <rPh sb="11" eb="13">
      <t>ニュウリョク</t>
    </rPh>
    <phoneticPr fontId="4"/>
  </si>
  <si>
    <t>追加する場合はこちらに入力　イニシャル②</t>
    <rPh sb="0" eb="2">
      <t>ツイカ</t>
    </rPh>
    <rPh sb="4" eb="6">
      <t>バアイ</t>
    </rPh>
    <rPh sb="11" eb="13">
      <t>ニュウリョク</t>
    </rPh>
    <phoneticPr fontId="4"/>
  </si>
  <si>
    <t>追加する場合はこちらに入力　イニシャル③</t>
    <rPh sb="0" eb="2">
      <t>ツイカ</t>
    </rPh>
    <rPh sb="4" eb="6">
      <t>バアイ</t>
    </rPh>
    <rPh sb="11" eb="13">
      <t>ニュウリョク</t>
    </rPh>
    <phoneticPr fontId="4"/>
  </si>
  <si>
    <t>追加する場合はこちらに入力　イニシャル④</t>
    <rPh sb="0" eb="2">
      <t>ツイカ</t>
    </rPh>
    <rPh sb="4" eb="6">
      <t>バアイ</t>
    </rPh>
    <rPh sb="11" eb="13">
      <t>ニュウリョク</t>
    </rPh>
    <phoneticPr fontId="4"/>
  </si>
  <si>
    <t>追加する場合はこちらに入力　イニシャル⑤</t>
    <rPh sb="0" eb="2">
      <t>ツイカ</t>
    </rPh>
    <rPh sb="4" eb="6">
      <t>バアイ</t>
    </rPh>
    <rPh sb="11" eb="13">
      <t>ニュウリョク</t>
    </rPh>
    <phoneticPr fontId="4"/>
  </si>
  <si>
    <t>追加する場合はこちらに入力　イニシャル⑥</t>
    <rPh sb="0" eb="2">
      <t>ツイカ</t>
    </rPh>
    <rPh sb="4" eb="6">
      <t>バアイ</t>
    </rPh>
    <rPh sb="11" eb="13">
      <t>ニュウリョク</t>
    </rPh>
    <phoneticPr fontId="4"/>
  </si>
  <si>
    <t>O&amp;M費用（燃料）</t>
    <rPh sb="3" eb="5">
      <t>ヒヨウ</t>
    </rPh>
    <rPh sb="6" eb="8">
      <t>ネンリョウ</t>
    </rPh>
    <phoneticPr fontId="4"/>
  </si>
  <si>
    <t>食料品製造業</t>
    <rPh sb="0" eb="3">
      <t>ショクリョウヒン</t>
    </rPh>
    <rPh sb="3" eb="6">
      <t>セイゾウギョウ</t>
    </rPh>
    <phoneticPr fontId="4"/>
  </si>
  <si>
    <t>繊維工業</t>
    <rPh sb="0" eb="4">
      <t>センイコウギョウ</t>
    </rPh>
    <phoneticPr fontId="4"/>
  </si>
  <si>
    <t>木材・木製品製造業</t>
    <rPh sb="0" eb="2">
      <t>モクザイ</t>
    </rPh>
    <rPh sb="3" eb="6">
      <t>モクセイヒン</t>
    </rPh>
    <rPh sb="6" eb="9">
      <t>セイゾウギョウ</t>
    </rPh>
    <phoneticPr fontId="4"/>
  </si>
  <si>
    <t>パルプ・紙・紙加工品製造業</t>
    <rPh sb="4" eb="5">
      <t>カミ</t>
    </rPh>
    <rPh sb="6" eb="10">
      <t>カミカコウヒン</t>
    </rPh>
    <rPh sb="10" eb="13">
      <t>セイゾウギョウ</t>
    </rPh>
    <phoneticPr fontId="4"/>
  </si>
  <si>
    <t>印刷・同関連業</t>
    <rPh sb="0" eb="2">
      <t>インサツ</t>
    </rPh>
    <rPh sb="3" eb="6">
      <t>ドウカンレン</t>
    </rPh>
    <rPh sb="6" eb="7">
      <t>ギョウ</t>
    </rPh>
    <phoneticPr fontId="4"/>
  </si>
  <si>
    <t>追加する場合はこちらに入力　O&amp;M（燃料）①</t>
    <rPh sb="0" eb="2">
      <t>ツイカ</t>
    </rPh>
    <rPh sb="4" eb="6">
      <t>バアイ</t>
    </rPh>
    <rPh sb="11" eb="13">
      <t>ニュウリョク</t>
    </rPh>
    <rPh sb="18" eb="20">
      <t>ネンリョウ</t>
    </rPh>
    <phoneticPr fontId="4"/>
  </si>
  <si>
    <t>追加する場合はこちらに入力　O&amp;M（燃料）②</t>
    <rPh sb="0" eb="2">
      <t>ツイカ</t>
    </rPh>
    <rPh sb="4" eb="6">
      <t>バアイ</t>
    </rPh>
    <rPh sb="11" eb="13">
      <t>ニュウリョク</t>
    </rPh>
    <rPh sb="18" eb="20">
      <t>ネンリョウ</t>
    </rPh>
    <phoneticPr fontId="4"/>
  </si>
  <si>
    <t>追加する場合はこちらに入力　O&amp;M（燃料）③</t>
    <rPh sb="0" eb="2">
      <t>ツイカ</t>
    </rPh>
    <rPh sb="4" eb="6">
      <t>バアイ</t>
    </rPh>
    <rPh sb="11" eb="13">
      <t>ニュウリョク</t>
    </rPh>
    <rPh sb="18" eb="20">
      <t>ネンリョウ</t>
    </rPh>
    <phoneticPr fontId="4"/>
  </si>
  <si>
    <t>追加する場合はこちらに入力　O&amp;M（燃料）④</t>
    <rPh sb="0" eb="2">
      <t>ツイカ</t>
    </rPh>
    <rPh sb="4" eb="6">
      <t>バアイ</t>
    </rPh>
    <rPh sb="11" eb="13">
      <t>ニュウリョク</t>
    </rPh>
    <rPh sb="18" eb="20">
      <t>ネンリョウ</t>
    </rPh>
    <phoneticPr fontId="4"/>
  </si>
  <si>
    <t>O&amp;M費用（燃料以外）</t>
    <rPh sb="3" eb="5">
      <t>ヒヨウ</t>
    </rPh>
    <rPh sb="6" eb="8">
      <t>ネンリョウ</t>
    </rPh>
    <rPh sb="8" eb="10">
      <t>イガイ</t>
    </rPh>
    <phoneticPr fontId="4"/>
  </si>
  <si>
    <t>化学工業</t>
    <rPh sb="0" eb="4">
      <t>カガクコウギョウ</t>
    </rPh>
    <phoneticPr fontId="4"/>
  </si>
  <si>
    <t>石油製品・石炭製品製造業</t>
    <rPh sb="0" eb="4">
      <t>セキユセイヒン</t>
    </rPh>
    <rPh sb="5" eb="7">
      <t>セキタン</t>
    </rPh>
    <rPh sb="7" eb="9">
      <t>セイヒン</t>
    </rPh>
    <rPh sb="9" eb="12">
      <t>セイゾウギョウ</t>
    </rPh>
    <phoneticPr fontId="4"/>
  </si>
  <si>
    <t>ガス・熱供給・水道業</t>
    <rPh sb="3" eb="4">
      <t>ネツ</t>
    </rPh>
    <rPh sb="4" eb="6">
      <t>キョウキュウ</t>
    </rPh>
    <rPh sb="7" eb="10">
      <t>スイドウギョウ</t>
    </rPh>
    <phoneticPr fontId="4"/>
  </si>
  <si>
    <t>情報通信業</t>
    <rPh sb="0" eb="5">
      <t>ジョウホウツウシンギョウ</t>
    </rPh>
    <phoneticPr fontId="4"/>
  </si>
  <si>
    <t>その他のサービス業</t>
    <rPh sb="2" eb="3">
      <t>タ</t>
    </rPh>
    <rPh sb="8" eb="9">
      <t>ギョウ</t>
    </rPh>
    <phoneticPr fontId="4"/>
  </si>
  <si>
    <t>損害保険業</t>
    <rPh sb="0" eb="4">
      <t>ソンガイホケン</t>
    </rPh>
    <rPh sb="4" eb="5">
      <t>ギョウ</t>
    </rPh>
    <phoneticPr fontId="4"/>
  </si>
  <si>
    <t>不動産業</t>
    <rPh sb="0" eb="4">
      <t>フドウサンギョウ</t>
    </rPh>
    <phoneticPr fontId="4"/>
  </si>
  <si>
    <t>追加する場合はこちらに入力　O&amp;M（燃料以外）①</t>
    <rPh sb="0" eb="2">
      <t>ツイカ</t>
    </rPh>
    <rPh sb="4" eb="6">
      <t>バアイ</t>
    </rPh>
    <rPh sb="11" eb="13">
      <t>ニュウリョク</t>
    </rPh>
    <phoneticPr fontId="4"/>
  </si>
  <si>
    <t>追加する場合はこちらに入力　O&amp;M（燃料以外）②</t>
    <rPh sb="0" eb="2">
      <t>ツイカ</t>
    </rPh>
    <rPh sb="4" eb="6">
      <t>バアイ</t>
    </rPh>
    <rPh sb="11" eb="13">
      <t>ニュウリョク</t>
    </rPh>
    <phoneticPr fontId="4"/>
  </si>
  <si>
    <t>追加する場合はこちらに入力　O&amp;M（燃料以外）③</t>
    <rPh sb="0" eb="2">
      <t>ツイカ</t>
    </rPh>
    <rPh sb="4" eb="6">
      <t>バアイ</t>
    </rPh>
    <rPh sb="11" eb="13">
      <t>ニュウリョク</t>
    </rPh>
    <phoneticPr fontId="4"/>
  </si>
  <si>
    <t>追加する場合はこちらに入力　O&amp;M（燃料以外）④</t>
    <rPh sb="0" eb="2">
      <t>ツイカ</t>
    </rPh>
    <rPh sb="4" eb="6">
      <t>バアイ</t>
    </rPh>
    <rPh sb="11" eb="13">
      <t>ニュウリョク</t>
    </rPh>
    <phoneticPr fontId="4"/>
  </si>
  <si>
    <t>追加する場合はこちらに入力　O&amp;M（燃料以外）⑤</t>
    <rPh sb="0" eb="2">
      <t>ツイカ</t>
    </rPh>
    <rPh sb="4" eb="6">
      <t>バアイ</t>
    </rPh>
    <rPh sb="11" eb="13">
      <t>ニュウリョク</t>
    </rPh>
    <phoneticPr fontId="4"/>
  </si>
  <si>
    <t>追加する場合はこちらに入力　O&amp;M（燃料以外）⑥</t>
    <rPh sb="0" eb="2">
      <t>ツイカ</t>
    </rPh>
    <rPh sb="4" eb="6">
      <t>バアイ</t>
    </rPh>
    <rPh sb="11" eb="13">
      <t>ニュウリョク</t>
    </rPh>
    <phoneticPr fontId="4"/>
  </si>
  <si>
    <t>追加する場合はこちらに入力　O&amp;M（燃料以外）⑦</t>
    <rPh sb="0" eb="2">
      <t>ツイカ</t>
    </rPh>
    <rPh sb="4" eb="6">
      <t>バアイ</t>
    </rPh>
    <rPh sb="11" eb="13">
      <t>ニュウリョク</t>
    </rPh>
    <phoneticPr fontId="4"/>
  </si>
  <si>
    <t>デフォルト値：法人企業統計2015-2019年平均値より作成</t>
    <rPh sb="5" eb="6">
      <t>チ</t>
    </rPh>
    <rPh sb="7" eb="13">
      <t>ホウジンキギョウトウケイ</t>
    </rPh>
    <rPh sb="22" eb="23">
      <t>ネン</t>
    </rPh>
    <rPh sb="23" eb="26">
      <t>ヘイキンチ</t>
    </rPh>
    <rPh sb="28" eb="30">
      <t>サクセイ</t>
    </rPh>
    <phoneticPr fontId="4"/>
  </si>
  <si>
    <t>イニシャル</t>
    <phoneticPr fontId="5"/>
  </si>
  <si>
    <t>O&amp;M（燃料）</t>
    <rPh sb="4" eb="6">
      <t>ネンリョウ</t>
    </rPh>
    <phoneticPr fontId="5"/>
  </si>
  <si>
    <t>O&amp;M（燃料以外）</t>
    <rPh sb="4" eb="6">
      <t>ネンリョウ</t>
    </rPh>
    <rPh sb="6" eb="8">
      <t>イガイ</t>
    </rPh>
    <phoneticPr fontId="5"/>
  </si>
  <si>
    <t>参照：財務総合政策研究所「法人企業統計」（2021/3/時点）</t>
    <rPh sb="0" eb="2">
      <t>サンショウ</t>
    </rPh>
    <rPh sb="3" eb="5">
      <t>ザイム</t>
    </rPh>
    <rPh sb="5" eb="12">
      <t>ソウゴウセイサクケンキュウショ</t>
    </rPh>
    <rPh sb="13" eb="19">
      <t>ホウジンキギョウトウケイ</t>
    </rPh>
    <rPh sb="28" eb="30">
      <t>ジテン</t>
    </rPh>
    <phoneticPr fontId="4"/>
  </si>
  <si>
    <t>年数</t>
    <rPh sb="0" eb="2">
      <t>ネンスウ</t>
    </rPh>
    <phoneticPr fontId="5"/>
  </si>
  <si>
    <t>電力購入価格</t>
    <rPh sb="0" eb="6">
      <t>デンリョクコウニュウカカク</t>
    </rPh>
    <phoneticPr fontId="4"/>
  </si>
  <si>
    <t>計算手法</t>
    <rPh sb="0" eb="2">
      <t>ケイサン</t>
    </rPh>
    <rPh sb="2" eb="4">
      <t>シュホウ</t>
    </rPh>
    <phoneticPr fontId="5"/>
  </si>
  <si>
    <t>←バイオマス熱量とエネルギー変換効率から評価する場合は「1  バイオマス投入量から計算」を、
　  設備の定格出力から算出する場合は「出力から直接計算」を選択</t>
    <rPh sb="6" eb="7">
      <t>ネツ</t>
    </rPh>
    <rPh sb="7" eb="8">
      <t>リョウ</t>
    </rPh>
    <rPh sb="14" eb="18">
      <t>ヘンカンコウリツ</t>
    </rPh>
    <rPh sb="20" eb="22">
      <t>ヒョウカ</t>
    </rPh>
    <rPh sb="24" eb="26">
      <t>バアイ</t>
    </rPh>
    <rPh sb="50" eb="52">
      <t>セツビ</t>
    </rPh>
    <rPh sb="53" eb="57">
      <t>テイカクシュツリョク</t>
    </rPh>
    <rPh sb="59" eb="61">
      <t>サンシュツ</t>
    </rPh>
    <rPh sb="63" eb="65">
      <t>バアイ</t>
    </rPh>
    <rPh sb="67" eb="69">
      <t>シュツリョク</t>
    </rPh>
    <rPh sb="71" eb="73">
      <t>チョクセツ</t>
    </rPh>
    <rPh sb="73" eb="75">
      <t>ケイサン</t>
    </rPh>
    <rPh sb="77" eb="79">
      <t>センタク</t>
    </rPh>
    <phoneticPr fontId="4"/>
  </si>
  <si>
    <r>
      <t xml:space="preserve">1  </t>
    </r>
    <r>
      <rPr>
        <sz val="10"/>
        <color theme="0"/>
        <rFont val="ＭＳ Ｐゴシック"/>
        <family val="3"/>
        <charset val="128"/>
      </rPr>
      <t>バイオマス投入量から計算</t>
    </r>
    <rPh sb="8" eb="11">
      <t>トウニュウリョウ</t>
    </rPh>
    <rPh sb="13" eb="15">
      <t>ケイサン</t>
    </rPh>
    <phoneticPr fontId="5"/>
  </si>
  <si>
    <t>エネルギー価格</t>
    <rPh sb="5" eb="7">
      <t>カカク</t>
    </rPh>
    <phoneticPr fontId="4"/>
  </si>
  <si>
    <t>事業での売電価格</t>
    <rPh sb="0" eb="2">
      <t>ジギョウ</t>
    </rPh>
    <rPh sb="4" eb="6">
      <t>バイデン</t>
    </rPh>
    <rPh sb="6" eb="8">
      <t>カカク</t>
    </rPh>
    <phoneticPr fontId="4"/>
  </si>
  <si>
    <t>【入力】事業開始前後での価格の想定</t>
    <rPh sb="1" eb="3">
      <t>ニュウリョク</t>
    </rPh>
    <rPh sb="4" eb="8">
      <t>ジギョウカイシ</t>
    </rPh>
    <rPh sb="8" eb="10">
      <t>ゼンゴ</t>
    </rPh>
    <rPh sb="12" eb="14">
      <t>カカク</t>
    </rPh>
    <rPh sb="15" eb="17">
      <t>ソウテイ</t>
    </rPh>
    <phoneticPr fontId="5"/>
  </si>
  <si>
    <t>【入力】初期投資・運転維持における地域内事業者の関与割合（支払額ベース）</t>
    <rPh sb="1" eb="3">
      <t>ニュウリョク</t>
    </rPh>
    <rPh sb="4" eb="6">
      <t>ショキ</t>
    </rPh>
    <rPh sb="6" eb="8">
      <t>トウシ</t>
    </rPh>
    <rPh sb="9" eb="11">
      <t>ウンテン</t>
    </rPh>
    <rPh sb="11" eb="13">
      <t>イジ</t>
    </rPh>
    <rPh sb="17" eb="19">
      <t>チイキ</t>
    </rPh>
    <rPh sb="19" eb="20">
      <t>ナイ</t>
    </rPh>
    <rPh sb="20" eb="23">
      <t>ジギョウシャ</t>
    </rPh>
    <rPh sb="24" eb="26">
      <t>カンヨ</t>
    </rPh>
    <rPh sb="26" eb="28">
      <t>ワリアイ</t>
    </rPh>
    <rPh sb="29" eb="32">
      <t>シハライガク</t>
    </rPh>
    <phoneticPr fontId="5"/>
  </si>
  <si>
    <t>国や自治体の助成金など</t>
    <rPh sb="0" eb="1">
      <t>クニ</t>
    </rPh>
    <rPh sb="2" eb="5">
      <t>ジチタイ</t>
    </rPh>
    <rPh sb="6" eb="9">
      <t>ジョセイキン</t>
    </rPh>
    <phoneticPr fontId="4"/>
  </si>
  <si>
    <t>地域内の金融機関から借り入れを行っている費用</t>
    <rPh sb="0" eb="3">
      <t>チイキナイ</t>
    </rPh>
    <rPh sb="4" eb="8">
      <t>キンユウキカン</t>
    </rPh>
    <rPh sb="10" eb="11">
      <t>カ</t>
    </rPh>
    <rPh sb="12" eb="13">
      <t>イ</t>
    </rPh>
    <rPh sb="15" eb="16">
      <t>オコナ</t>
    </rPh>
    <rPh sb="20" eb="22">
      <t>ヒヨウ</t>
    </rPh>
    <phoneticPr fontId="4"/>
  </si>
  <si>
    <t>　上記の金利</t>
    <rPh sb="1" eb="3">
      <t>ジョウキ</t>
    </rPh>
    <rPh sb="4" eb="6">
      <t>キンリ</t>
    </rPh>
    <phoneticPr fontId="4"/>
  </si>
  <si>
    <t>　上記の借用年数</t>
    <rPh sb="1" eb="3">
      <t>ジョウキ</t>
    </rPh>
    <rPh sb="4" eb="6">
      <t>シャクヨウ</t>
    </rPh>
    <rPh sb="6" eb="8">
      <t>ネンスウ</t>
    </rPh>
    <phoneticPr fontId="4"/>
  </si>
  <si>
    <t>地域外の金融機関から借り入れを行っている費用</t>
    <rPh sb="0" eb="3">
      <t>チイキガイ</t>
    </rPh>
    <rPh sb="4" eb="8">
      <t>キンユウキカン</t>
    </rPh>
    <rPh sb="10" eb="11">
      <t>カ</t>
    </rPh>
    <rPh sb="12" eb="13">
      <t>イ</t>
    </rPh>
    <rPh sb="15" eb="16">
      <t>オコナ</t>
    </rPh>
    <rPh sb="20" eb="22">
      <t>ヒヨウ</t>
    </rPh>
    <phoneticPr fontId="4"/>
  </si>
  <si>
    <t>Point　維持管理費用の工夫</t>
    <rPh sb="6" eb="8">
      <t>イジ</t>
    </rPh>
    <rPh sb="8" eb="10">
      <t>カンリ</t>
    </rPh>
    <rPh sb="10" eb="12">
      <t>ヒヨウ</t>
    </rPh>
    <rPh sb="13" eb="15">
      <t>クフウ</t>
    </rPh>
    <phoneticPr fontId="4"/>
  </si>
  <si>
    <t>製材端材</t>
    <rPh sb="0" eb="2">
      <t>セイザイ</t>
    </rPh>
    <rPh sb="2" eb="4">
      <t>タンザイ</t>
    </rPh>
    <phoneticPr fontId="4"/>
  </si>
  <si>
    <t>建築廃材</t>
    <rPh sb="0" eb="2">
      <t>ケンチク</t>
    </rPh>
    <rPh sb="2" eb="4">
      <t>ハイザイ</t>
    </rPh>
    <phoneticPr fontId="4"/>
  </si>
  <si>
    <t>バーク</t>
  </si>
  <si>
    <t>バーク</t>
    <phoneticPr fontId="4"/>
  </si>
  <si>
    <t>調達価格</t>
    <rPh sb="0" eb="2">
      <t>チョウタツ</t>
    </rPh>
    <rPh sb="2" eb="4">
      <t>カカク</t>
    </rPh>
    <phoneticPr fontId="4"/>
  </si>
  <si>
    <t>ペレット</t>
  </si>
  <si>
    <t>ペレット</t>
    <phoneticPr fontId="4"/>
  </si>
  <si>
    <t>森林未利用木材</t>
    <rPh sb="0" eb="2">
      <t>シンリン</t>
    </rPh>
    <rPh sb="2" eb="5">
      <t>ミリヨウ</t>
    </rPh>
    <rPh sb="5" eb="7">
      <t>モクザイ</t>
    </rPh>
    <phoneticPr fontId="4"/>
  </si>
  <si>
    <t>http://wbi.main.jp/web/7/7.htm</t>
  </si>
  <si>
    <t>針葉樹</t>
    <rPh sb="0" eb="3">
      <t>シンヨウジュ</t>
    </rPh>
    <phoneticPr fontId="4"/>
  </si>
  <si>
    <t>HHV</t>
    <phoneticPr fontId="4"/>
  </si>
  <si>
    <t>LHV</t>
    <phoneticPr fontId="4"/>
  </si>
  <si>
    <t>広葉樹</t>
    <rPh sb="0" eb="3">
      <t>コウヨウジュ</t>
    </rPh>
    <phoneticPr fontId="4"/>
  </si>
  <si>
    <t>含水率（湿量基準含水率）</t>
    <rPh sb="0" eb="3">
      <t>ガンスイリツ</t>
    </rPh>
    <rPh sb="4" eb="5">
      <t>シメ</t>
    </rPh>
    <rPh sb="5" eb="6">
      <t>リョウ</t>
    </rPh>
    <rPh sb="6" eb="8">
      <t>キジュン</t>
    </rPh>
    <rPh sb="8" eb="10">
      <t>ガンスイ</t>
    </rPh>
    <rPh sb="10" eb="11">
      <t>リツ</t>
    </rPh>
    <phoneticPr fontId="4"/>
  </si>
  <si>
    <t>平均</t>
    <rPh sb="0" eb="2">
      <t>ヘイキン</t>
    </rPh>
    <phoneticPr fontId="4"/>
  </si>
  <si>
    <t>MJ</t>
    <phoneticPr fontId="4"/>
  </si>
  <si>
    <t>kcal/kg</t>
    <phoneticPr fontId="4"/>
  </si>
  <si>
    <t>MJ/kg</t>
    <phoneticPr fontId="4"/>
  </si>
  <si>
    <t>wet%</t>
  </si>
  <si>
    <t>wet%</t>
    <phoneticPr fontId="4"/>
  </si>
  <si>
    <t>t/日</t>
    <rPh sb="2" eb="3">
      <t>ニチ</t>
    </rPh>
    <phoneticPr fontId="4"/>
  </si>
  <si>
    <t>wet%</t>
    <phoneticPr fontId="4"/>
  </si>
  <si>
    <t>発電量→投入量</t>
    <rPh sb="0" eb="3">
      <t>ハツデンリョウ</t>
    </rPh>
    <rPh sb="4" eb="7">
      <t>トウニュウリョウ</t>
    </rPh>
    <phoneticPr fontId="4"/>
  </si>
  <si>
    <t>kgあたり熱量</t>
    <rPh sb="5" eb="7">
      <t>ネツリョウ</t>
    </rPh>
    <phoneticPr fontId="4"/>
  </si>
  <si>
    <t>MJ/kg</t>
    <phoneticPr fontId="4"/>
  </si>
  <si>
    <t>1時間あたり熱量</t>
    <rPh sb="1" eb="3">
      <t>ジカン</t>
    </rPh>
    <rPh sb="6" eb="8">
      <t>ネツリョウ</t>
    </rPh>
    <phoneticPr fontId="4"/>
  </si>
  <si>
    <t>合計</t>
    <rPh sb="0" eb="2">
      <t>ゴウケイ</t>
    </rPh>
    <phoneticPr fontId="4"/>
  </si>
  <si>
    <t>発電効率</t>
    <rPh sb="0" eb="4">
      <t>ハツデンコウリツ</t>
    </rPh>
    <phoneticPr fontId="4"/>
  </si>
  <si>
    <t>熱変換効率</t>
    <rPh sb="0" eb="1">
      <t>ネツ</t>
    </rPh>
    <rPh sb="1" eb="5">
      <t>ヘンカンコウリツ</t>
    </rPh>
    <phoneticPr fontId="4"/>
  </si>
  <si>
    <t>投入量→発電量</t>
    <rPh sb="0" eb="3">
      <t>トウニュウリョウ</t>
    </rPh>
    <rPh sb="4" eb="7">
      <t>ハツデンリョウ</t>
    </rPh>
    <phoneticPr fontId="4"/>
  </si>
  <si>
    <t>想定する発電量</t>
    <rPh sb="0" eb="2">
      <t>ソウテイ</t>
    </rPh>
    <rPh sb="4" eb="7">
      <t>ハツデンリョウ</t>
    </rPh>
    <phoneticPr fontId="4"/>
  </si>
  <si>
    <t>想定する熱量</t>
    <rPh sb="0" eb="2">
      <t>ソウテイ</t>
    </rPh>
    <rPh sb="4" eb="6">
      <t>ネツリョウ</t>
    </rPh>
    <phoneticPr fontId="4"/>
  </si>
  <si>
    <t>kW</t>
    <phoneticPr fontId="4"/>
  </si>
  <si>
    <t>↓</t>
    <phoneticPr fontId="4"/>
  </si>
  <si>
    <t>必要な熱量（発電）</t>
    <rPh sb="0" eb="2">
      <t>ヒツヨウ</t>
    </rPh>
    <rPh sb="3" eb="5">
      <t>ネツリョウ</t>
    </rPh>
    <rPh sb="6" eb="8">
      <t>ハツデン</t>
    </rPh>
    <phoneticPr fontId="4"/>
  </si>
  <si>
    <t>必要な熱量（熱）</t>
    <rPh sb="0" eb="2">
      <t>ヒツヨウ</t>
    </rPh>
    <rPh sb="3" eb="5">
      <t>ネツリョウ</t>
    </rPh>
    <rPh sb="6" eb="7">
      <t>ネツ</t>
    </rPh>
    <phoneticPr fontId="4"/>
  </si>
  <si>
    <t>変換効率</t>
    <rPh sb="0" eb="4">
      <t>ヘンカンコウリツ</t>
    </rPh>
    <phoneticPr fontId="4"/>
  </si>
  <si>
    <t>ガス化</t>
    <rPh sb="2" eb="3">
      <t>カ</t>
    </rPh>
    <phoneticPr fontId="4"/>
  </si>
  <si>
    <t>BTG</t>
    <phoneticPr fontId="4"/>
  </si>
  <si>
    <t>必要な熱量</t>
    <rPh sb="0" eb="2">
      <t>ヒツヨウ</t>
    </rPh>
    <rPh sb="3" eb="5">
      <t>ネツリョウ</t>
    </rPh>
    <phoneticPr fontId="4"/>
  </si>
  <si>
    <t>必要調達量</t>
    <rPh sb="0" eb="2">
      <t>ヒツヨウ</t>
    </rPh>
    <rPh sb="2" eb="4">
      <t>チョウタツ</t>
    </rPh>
    <rPh sb="4" eb="5">
      <t>リョウ</t>
    </rPh>
    <phoneticPr fontId="4"/>
  </si>
  <si>
    <t>kg/時間</t>
    <rPh sb="3" eb="5">
      <t>ジカン</t>
    </rPh>
    <phoneticPr fontId="4"/>
  </si>
  <si>
    <t>木質チップ</t>
    <rPh sb="0" eb="2">
      <t>モクシツ</t>
    </rPh>
    <phoneticPr fontId="4"/>
  </si>
  <si>
    <t>含水率（湿量基準含水率）と熱量の関係</t>
    <rPh sb="0" eb="3">
      <t>ガンスイリツ</t>
    </rPh>
    <rPh sb="4" eb="5">
      <t>シメ</t>
    </rPh>
    <rPh sb="5" eb="6">
      <t>リョウ</t>
    </rPh>
    <rPh sb="6" eb="8">
      <t>キジュン</t>
    </rPh>
    <rPh sb="8" eb="11">
      <t>ガンスイリツ</t>
    </rPh>
    <rPh sb="13" eb="15">
      <t>ネツリョウ</t>
    </rPh>
    <rPh sb="16" eb="18">
      <t>カンケイ</t>
    </rPh>
    <phoneticPr fontId="4"/>
  </si>
  <si>
    <t>ガス化</t>
    <rPh sb="2" eb="3">
      <t>カ</t>
    </rPh>
    <phoneticPr fontId="4"/>
  </si>
  <si>
    <t>温水ボイラー</t>
    <rPh sb="0" eb="2">
      <t>オンスイ</t>
    </rPh>
    <phoneticPr fontId="4"/>
  </si>
  <si>
    <t>発電出力</t>
    <rPh sb="0" eb="4">
      <t>ハツデンシュツリョク</t>
    </rPh>
    <phoneticPr fontId="4"/>
  </si>
  <si>
    <t>熱出力</t>
    <rPh sb="0" eb="1">
      <t>ネツ</t>
    </rPh>
    <rPh sb="1" eb="3">
      <t>シュツリョク</t>
    </rPh>
    <phoneticPr fontId="4"/>
  </si>
  <si>
    <t>kW</t>
    <phoneticPr fontId="4"/>
  </si>
  <si>
    <t>初期投資費用</t>
    <rPh sb="0" eb="4">
      <t>ショキトウシ</t>
    </rPh>
    <rPh sb="4" eb="6">
      <t>ヒヨウ</t>
    </rPh>
    <phoneticPr fontId="4"/>
  </si>
  <si>
    <t>内訳</t>
    <rPh sb="0" eb="2">
      <t>ウチワケ</t>
    </rPh>
    <phoneticPr fontId="4"/>
  </si>
  <si>
    <t>BTG</t>
    <phoneticPr fontId="4"/>
  </si>
  <si>
    <t>初期投資費用・メンテ費用</t>
    <rPh sb="0" eb="4">
      <t>ショキトウシ</t>
    </rPh>
    <rPh sb="4" eb="6">
      <t>ヒヨウ</t>
    </rPh>
    <rPh sb="10" eb="12">
      <t>ヒヨウ</t>
    </rPh>
    <phoneticPr fontId="4"/>
  </si>
  <si>
    <t>運転維持費用</t>
    <rPh sb="0" eb="2">
      <t>ウンテン</t>
    </rPh>
    <rPh sb="2" eb="4">
      <t>イジ</t>
    </rPh>
    <rPh sb="4" eb="6">
      <t>ヒヨウ</t>
    </rPh>
    <phoneticPr fontId="4"/>
  </si>
  <si>
    <t>百万円</t>
    <rPh sb="0" eb="3">
      <t>ヒャクマンエン</t>
    </rPh>
    <phoneticPr fontId="4"/>
  </si>
  <si>
    <t>想定する設備</t>
    <rPh sb="0" eb="2">
      <t>ソウテイ</t>
    </rPh>
    <rPh sb="4" eb="6">
      <t>セツビ</t>
    </rPh>
    <phoneticPr fontId="4"/>
  </si>
  <si>
    <t>出力</t>
    <rPh sb="0" eb="2">
      <t>シュツリョク</t>
    </rPh>
    <phoneticPr fontId="4"/>
  </si>
  <si>
    <t>運転維持費用</t>
    <rPh sb="0" eb="2">
      <t>ウンテン</t>
    </rPh>
    <rPh sb="2" eb="6">
      <t>イジヒヨウ</t>
    </rPh>
    <phoneticPr fontId="4"/>
  </si>
  <si>
    <t>温水ボイラー</t>
    <rPh sb="0" eb="2">
      <t>オンスイ</t>
    </rPh>
    <phoneticPr fontId="4"/>
  </si>
  <si>
    <t>燃料調達費</t>
    <rPh sb="0" eb="2">
      <t>ネンリョウ</t>
    </rPh>
    <rPh sb="2" eb="4">
      <t>チョウタツ</t>
    </rPh>
    <rPh sb="4" eb="5">
      <t>ヒ</t>
    </rPh>
    <phoneticPr fontId="4"/>
  </si>
  <si>
    <t>想定するバイオマス変換技術</t>
    <rPh sb="0" eb="2">
      <t>ソウテイ</t>
    </rPh>
    <rPh sb="9" eb="11">
      <t>ヘンカン</t>
    </rPh>
    <rPh sb="11" eb="13">
      <t>ギジュツ</t>
    </rPh>
    <phoneticPr fontId="5"/>
  </si>
  <si>
    <t>未利用（2000kW以上）</t>
    <rPh sb="0" eb="3">
      <t>ミリヨウ</t>
    </rPh>
    <rPh sb="10" eb="12">
      <t>イジョウ</t>
    </rPh>
    <phoneticPr fontId="4"/>
  </si>
  <si>
    <t>一般木材等</t>
    <rPh sb="0" eb="2">
      <t>イッパン</t>
    </rPh>
    <rPh sb="2" eb="5">
      <t>モクザイナド</t>
    </rPh>
    <phoneticPr fontId="4"/>
  </si>
  <si>
    <t>建築廃材</t>
    <rPh sb="0" eb="2">
      <t>ケンチク</t>
    </rPh>
    <rPh sb="2" eb="4">
      <t>ハイザイ</t>
    </rPh>
    <phoneticPr fontId="4"/>
  </si>
  <si>
    <t>未利用材（2000kW未満）</t>
    <rPh sb="0" eb="4">
      <t>ミリヨウザイ</t>
    </rPh>
    <rPh sb="11" eb="13">
      <t>ミマン</t>
    </rPh>
    <phoneticPr fontId="4"/>
  </si>
  <si>
    <t>万円/kW</t>
    <rPh sb="0" eb="2">
      <t>マンエン</t>
    </rPh>
    <phoneticPr fontId="4"/>
  </si>
  <si>
    <t>万円/kW・年</t>
    <rPh sb="0" eb="2">
      <t>マンエン</t>
    </rPh>
    <rPh sb="6" eb="7">
      <t>ネン</t>
    </rPh>
    <phoneticPr fontId="4"/>
  </si>
  <si>
    <t>分散値が大きいことに注意</t>
    <rPh sb="0" eb="3">
      <t>ブンサンチ</t>
    </rPh>
    <rPh sb="4" eb="5">
      <t>オオ</t>
    </rPh>
    <rPh sb="10" eb="12">
      <t>チュウイ</t>
    </rPh>
    <phoneticPr fontId="4"/>
  </si>
  <si>
    <t>電力費　</t>
  </si>
  <si>
    <t>メンテナンス費　</t>
  </si>
  <si>
    <t>人件費　</t>
  </si>
  <si>
    <t>灰処分費　</t>
  </si>
  <si>
    <t>昭和科学</t>
    <rPh sb="0" eb="2">
      <t>ショウワ</t>
    </rPh>
    <rPh sb="2" eb="4">
      <t>カガク</t>
    </rPh>
    <phoneticPr fontId="4"/>
  </si>
  <si>
    <t>燃料チップ調達費</t>
  </si>
  <si>
    <t>補助燃料費</t>
  </si>
  <si>
    <t>薬剤費</t>
  </si>
  <si>
    <t>サーフビバレッジ</t>
    <phoneticPr fontId="4"/>
  </si>
  <si>
    <t>JFE環境</t>
    <rPh sb="3" eb="5">
      <t>カンキョウ</t>
    </rPh>
    <phoneticPr fontId="4"/>
  </si>
  <si>
    <t>バーク</t>
    <phoneticPr fontId="4"/>
  </si>
  <si>
    <t>燃料チップ</t>
    <rPh sb="0" eb="2">
      <t>ネンリョウ</t>
    </rPh>
    <phoneticPr fontId="4"/>
  </si>
  <si>
    <t>廃材</t>
    <rPh sb="0" eb="2">
      <t>ハイザイ</t>
    </rPh>
    <phoneticPr fontId="4"/>
  </si>
  <si>
    <t>用役費・消耗品など</t>
  </si>
  <si>
    <t>その他費用</t>
    <phoneticPr fontId="4"/>
  </si>
  <si>
    <t>蒸気</t>
    <rPh sb="0" eb="2">
      <t>ジョウキ</t>
    </rPh>
    <phoneticPr fontId="4"/>
  </si>
  <si>
    <t>智頭</t>
    <rPh sb="0" eb="2">
      <t>チズ</t>
    </rPh>
    <phoneticPr fontId="4"/>
  </si>
  <si>
    <t>廃菌床・献杯チップ</t>
    <rPh sb="0" eb="3">
      <t>ハイキンショウ</t>
    </rPh>
    <rPh sb="4" eb="6">
      <t>ケンパイ</t>
    </rPh>
    <phoneticPr fontId="4"/>
  </si>
  <si>
    <t>建廃チップ</t>
    <rPh sb="0" eb="2">
      <t>ケンパイ</t>
    </rPh>
    <phoneticPr fontId="4"/>
  </si>
  <si>
    <t>山陽チップ</t>
    <rPh sb="0" eb="2">
      <t>サンヨウ</t>
    </rPh>
    <phoneticPr fontId="4"/>
  </si>
  <si>
    <t>長野森林組合</t>
    <rPh sb="0" eb="6">
      <t>ナガノシンリンクミアイ</t>
    </rPh>
    <phoneticPr fontId="4"/>
  </si>
  <si>
    <t>ボイラー</t>
    <phoneticPr fontId="4"/>
  </si>
  <si>
    <t>ペレット</t>
    <phoneticPr fontId="4"/>
  </si>
  <si>
    <t>消耗品</t>
    <rPh sb="0" eb="3">
      <t>ショウモウヒン</t>
    </rPh>
    <phoneticPr fontId="4"/>
  </si>
  <si>
    <t>堺森林組合</t>
    <rPh sb="0" eb="1">
      <t>サカイ</t>
    </rPh>
    <rPh sb="1" eb="5">
      <t>シンリンクミアイ</t>
    </rPh>
    <phoneticPr fontId="4"/>
  </si>
  <si>
    <t>インターネット代</t>
    <rPh sb="7" eb="8">
      <t>ダイ</t>
    </rPh>
    <phoneticPr fontId="4"/>
  </si>
  <si>
    <t>保険料</t>
    <rPh sb="0" eb="3">
      <t>ホケンリョウ</t>
    </rPh>
    <phoneticPr fontId="4"/>
  </si>
  <si>
    <t>地代</t>
    <rPh sb="0" eb="2">
      <t>チダイ</t>
    </rPh>
    <phoneticPr fontId="4"/>
  </si>
  <si>
    <t>ばい煙測定費</t>
    <rPh sb="2" eb="3">
      <t>エン</t>
    </rPh>
    <rPh sb="3" eb="5">
      <t>ソクテイ</t>
    </rPh>
    <rPh sb="5" eb="6">
      <t>ヒ</t>
    </rPh>
    <phoneticPr fontId="4"/>
  </si>
  <si>
    <t>魚梁瀬地区</t>
    <phoneticPr fontId="4"/>
  </si>
  <si>
    <t>合計</t>
    <rPh sb="0" eb="2">
      <t>ゴウケイ</t>
    </rPh>
    <phoneticPr fontId="4"/>
  </si>
  <si>
    <t>設備費用</t>
    <rPh sb="0" eb="2">
      <t>セツビ</t>
    </rPh>
    <rPh sb="2" eb="4">
      <t>ヒヨウ</t>
    </rPh>
    <phoneticPr fontId="4"/>
  </si>
  <si>
    <t>工事費用</t>
    <rPh sb="0" eb="4">
      <t>コウジヒヨウ</t>
    </rPh>
    <phoneticPr fontId="4"/>
  </si>
  <si>
    <t>東急リゾート</t>
    <rPh sb="0" eb="2">
      <t>トウキュウ</t>
    </rPh>
    <phoneticPr fontId="4"/>
  </si>
  <si>
    <t>　灰処理費用</t>
    <rPh sb="1" eb="2">
      <t>ハイ</t>
    </rPh>
    <rPh sb="2" eb="6">
      <t>ショリヒヨウ</t>
    </rPh>
    <phoneticPr fontId="4"/>
  </si>
  <si>
    <t>→ガス化の分析と同じ水準か（ブルク）</t>
    <rPh sb="3" eb="4">
      <t>カ</t>
    </rPh>
    <rPh sb="5" eb="7">
      <t>ブンセキ</t>
    </rPh>
    <rPh sb="8" eb="9">
      <t>オナ</t>
    </rPh>
    <rPh sb="10" eb="12">
      <t>スイジュン</t>
    </rPh>
    <phoneticPr fontId="4"/>
  </si>
  <si>
    <t>○熱利用率における事業性の感度分析</t>
    <rPh sb="1" eb="2">
      <t>ネツ</t>
    </rPh>
    <rPh sb="2" eb="5">
      <t>リヨウリツ</t>
    </rPh>
    <rPh sb="9" eb="11">
      <t>ジギョウ</t>
    </rPh>
    <rPh sb="11" eb="12">
      <t>セイ</t>
    </rPh>
    <rPh sb="13" eb="17">
      <t>カンドブンセキ</t>
    </rPh>
    <phoneticPr fontId="5"/>
  </si>
  <si>
    <t>※熱利用率：販売可能熱量において実際に販売した熱量の割合</t>
    <rPh sb="1" eb="2">
      <t>ネツ</t>
    </rPh>
    <rPh sb="2" eb="5">
      <t>リヨウリツ</t>
    </rPh>
    <rPh sb="6" eb="8">
      <t>ハンバイ</t>
    </rPh>
    <rPh sb="8" eb="10">
      <t>カノウ</t>
    </rPh>
    <rPh sb="10" eb="12">
      <t>ネツリョウ</t>
    </rPh>
    <rPh sb="16" eb="18">
      <t>ジッサイ</t>
    </rPh>
    <rPh sb="19" eb="21">
      <t>ハンバイ</t>
    </rPh>
    <rPh sb="23" eb="24">
      <t>ネツ</t>
    </rPh>
    <rPh sb="24" eb="25">
      <t>リョウ</t>
    </rPh>
    <rPh sb="26" eb="28">
      <t>ワリアイ</t>
    </rPh>
    <phoneticPr fontId="5"/>
  </si>
  <si>
    <t>kW</t>
    <phoneticPr fontId="4"/>
  </si>
  <si>
    <t>MJ</t>
    <phoneticPr fontId="4"/>
  </si>
  <si>
    <t>○詳細な設定(必要に応じて数値を直接変更）</t>
    <rPh sb="1" eb="3">
      <t>ショウサイ</t>
    </rPh>
    <rPh sb="4" eb="6">
      <t>セッテイ</t>
    </rPh>
    <rPh sb="7" eb="9">
      <t>ヒツヨウ</t>
    </rPh>
    <rPh sb="10" eb="11">
      <t>オウ</t>
    </rPh>
    <rPh sb="13" eb="15">
      <t>スウチ</t>
    </rPh>
    <rPh sb="16" eb="18">
      <t>チョクセツ</t>
    </rPh>
    <rPh sb="18" eb="20">
      <t>ヘンコウ</t>
    </rPh>
    <phoneticPr fontId="4"/>
  </si>
  <si>
    <t>想定する発電出力（kW）</t>
    <rPh sb="0" eb="2">
      <t>ソウテイ</t>
    </rPh>
    <rPh sb="4" eb="6">
      <t>ハツデン</t>
    </rPh>
    <rPh sb="6" eb="8">
      <t>シュツリョク</t>
    </rPh>
    <phoneticPr fontId="5"/>
  </si>
  <si>
    <t>熱販売量（熱出力比）</t>
    <rPh sb="0" eb="1">
      <t>ネツ</t>
    </rPh>
    <rPh sb="1" eb="3">
      <t>ハンバイ</t>
    </rPh>
    <rPh sb="3" eb="4">
      <t>リョウ</t>
    </rPh>
    <rPh sb="5" eb="6">
      <t>ネツ</t>
    </rPh>
    <rPh sb="6" eb="8">
      <t>シュツリョク</t>
    </rPh>
    <rPh sb="8" eb="9">
      <t>ヒ</t>
    </rPh>
    <phoneticPr fontId="4"/>
  </si>
  <si>
    <t>熱販売量（出力比）</t>
    <rPh sb="0" eb="1">
      <t>ネツ</t>
    </rPh>
    <rPh sb="1" eb="3">
      <t>ハンバイ</t>
    </rPh>
    <rPh sb="3" eb="4">
      <t>リョウ</t>
    </rPh>
    <rPh sb="5" eb="7">
      <t>シュツリョク</t>
    </rPh>
    <rPh sb="7" eb="8">
      <t>ヒ</t>
    </rPh>
    <phoneticPr fontId="4"/>
  </si>
  <si>
    <t>ブルクハルト</t>
    <phoneticPr fontId="4"/>
  </si>
  <si>
    <t>設備</t>
    <rPh sb="0" eb="2">
      <t>セツビ</t>
    </rPh>
    <phoneticPr fontId="4"/>
  </si>
  <si>
    <t>消耗品</t>
    <rPh sb="0" eb="3">
      <t>ショウモウヒン</t>
    </rPh>
    <phoneticPr fontId="4"/>
  </si>
  <si>
    <t>灰処理</t>
    <rPh sb="0" eb="1">
      <t>ハイ</t>
    </rPh>
    <rPh sb="1" eb="3">
      <t>ショリ</t>
    </rPh>
    <phoneticPr fontId="4"/>
  </si>
  <si>
    <t>労務費</t>
    <rPh sb="0" eb="3">
      <t>ロウムヒ</t>
    </rPh>
    <phoneticPr fontId="4"/>
  </si>
  <si>
    <t>保守点検</t>
    <rPh sb="0" eb="4">
      <t>ホシュテンケン</t>
    </rPh>
    <phoneticPr fontId="4"/>
  </si>
  <si>
    <t>一般管理費</t>
    <rPh sb="0" eb="5">
      <t>イッパンカンリヒ</t>
    </rPh>
    <phoneticPr fontId="4"/>
  </si>
  <si>
    <t>デフォルト値の備考</t>
    <rPh sb="5" eb="6">
      <t>チ</t>
    </rPh>
    <rPh sb="7" eb="9">
      <t>ビコウ</t>
    </rPh>
    <phoneticPr fontId="4"/>
  </si>
  <si>
    <t>金利</t>
    <rPh sb="0" eb="2">
      <t>キンリ</t>
    </rPh>
    <phoneticPr fontId="4"/>
  </si>
  <si>
    <t>BTG</t>
    <phoneticPr fontId="4"/>
  </si>
  <si>
    <t>&lt;1000</t>
    <phoneticPr fontId="4"/>
  </si>
  <si>
    <t>&lt;10000</t>
    <phoneticPr fontId="4"/>
  </si>
  <si>
    <t>&gt;=10000</t>
    <phoneticPr fontId="4"/>
  </si>
  <si>
    <t>&lt;5000</t>
    <phoneticPr fontId="4"/>
  </si>
  <si>
    <t>発電効率</t>
    <rPh sb="0" eb="4">
      <t>ハツデンコウリツ</t>
    </rPh>
    <phoneticPr fontId="4"/>
  </si>
  <si>
    <t>熱変換効率</t>
    <rPh sb="0" eb="1">
      <t>ネツ</t>
    </rPh>
    <rPh sb="1" eb="5">
      <t>ヘンカンコウリツ</t>
    </rPh>
    <phoneticPr fontId="4"/>
  </si>
  <si>
    <t>選択された技術</t>
    <rPh sb="0" eb="2">
      <t>センタク</t>
    </rPh>
    <rPh sb="5" eb="7">
      <t>ギジュツ</t>
    </rPh>
    <phoneticPr fontId="4"/>
  </si>
  <si>
    <t>発電出力</t>
    <rPh sb="0" eb="4">
      <t>ハツデンシュツリョク</t>
    </rPh>
    <phoneticPr fontId="4"/>
  </si>
  <si>
    <t>判定</t>
    <rPh sb="0" eb="2">
      <t>ハンテイ</t>
    </rPh>
    <phoneticPr fontId="4"/>
  </si>
  <si>
    <t>売熱価格</t>
    <rPh sb="0" eb="1">
      <t>バイ</t>
    </rPh>
    <rPh sb="1" eb="2">
      <t>ネツ</t>
    </rPh>
    <rPh sb="2" eb="4">
      <t>カカク</t>
    </rPh>
    <phoneticPr fontId="4"/>
  </si>
  <si>
    <t>灰処理費用</t>
    <rPh sb="0" eb="1">
      <t>ハイ</t>
    </rPh>
    <rPh sb="1" eb="5">
      <t>ショリヒヨウ</t>
    </rPh>
    <phoneticPr fontId="4"/>
  </si>
  <si>
    <t>事業開始前の販売価格</t>
    <rPh sb="0" eb="4">
      <t>ジギョウカイシ</t>
    </rPh>
    <rPh sb="4" eb="5">
      <t>マエ</t>
    </rPh>
    <rPh sb="6" eb="8">
      <t>ハンバイ</t>
    </rPh>
    <rPh sb="8" eb="10">
      <t>カカク</t>
    </rPh>
    <phoneticPr fontId="4"/>
  </si>
  <si>
    <t>　・　原料種の事業開始前の販売価格</t>
    <rPh sb="3" eb="5">
      <t>ゲンリョウ</t>
    </rPh>
    <rPh sb="5" eb="6">
      <t>シュ</t>
    </rPh>
    <rPh sb="7" eb="9">
      <t>ジギョウ</t>
    </rPh>
    <rPh sb="9" eb="11">
      <t>カイシ</t>
    </rPh>
    <rPh sb="11" eb="12">
      <t>マエ</t>
    </rPh>
    <rPh sb="13" eb="15">
      <t>ハンバイ</t>
    </rPh>
    <rPh sb="15" eb="17">
      <t>カカク</t>
    </rPh>
    <phoneticPr fontId="4"/>
  </si>
  <si>
    <t>　・　エネルギーの従来価格</t>
    <rPh sb="9" eb="11">
      <t>ジュウライ</t>
    </rPh>
    <rPh sb="11" eb="13">
      <t>カカク</t>
    </rPh>
    <phoneticPr fontId="5"/>
  </si>
  <si>
    <t>　・　地域内事業者の関与割合</t>
    <rPh sb="3" eb="6">
      <t>チイキナイ</t>
    </rPh>
    <rPh sb="6" eb="9">
      <t>ジギョウシャ</t>
    </rPh>
    <rPh sb="10" eb="12">
      <t>カンヨ</t>
    </rPh>
    <rPh sb="12" eb="14">
      <t>ワリアイ</t>
    </rPh>
    <phoneticPr fontId="5"/>
  </si>
  <si>
    <t>　・　資金調達の内訳（地域内スポンサー出資）</t>
    <rPh sb="3" eb="7">
      <t>シキンチョウタツ</t>
    </rPh>
    <rPh sb="8" eb="10">
      <t>ウチワケ</t>
    </rPh>
    <rPh sb="11" eb="14">
      <t>チイキナイ</t>
    </rPh>
    <rPh sb="19" eb="21">
      <t>シュッシ</t>
    </rPh>
    <phoneticPr fontId="5"/>
  </si>
  <si>
    <t>Point　熱利用率の想定における注意点</t>
    <rPh sb="6" eb="7">
      <t>ネツ</t>
    </rPh>
    <rPh sb="7" eb="9">
      <t>リヨウ</t>
    </rPh>
    <rPh sb="9" eb="10">
      <t>リツ</t>
    </rPh>
    <rPh sb="11" eb="13">
      <t>ソウテイ</t>
    </rPh>
    <rPh sb="17" eb="20">
      <t>チュウイテン</t>
    </rPh>
    <phoneticPr fontId="4"/>
  </si>
  <si>
    <t>Point　燃料調達費用の想定</t>
    <rPh sb="6" eb="8">
      <t>ネンリョウ</t>
    </rPh>
    <rPh sb="8" eb="10">
      <t>チョウタツ</t>
    </rPh>
    <rPh sb="10" eb="12">
      <t>ヒヨウ</t>
    </rPh>
    <rPh sb="13" eb="15">
      <t>ソウテイ</t>
    </rPh>
    <phoneticPr fontId="4"/>
  </si>
  <si>
    <t>⑦バイオマス原料提供者経済効果</t>
    <rPh sb="6" eb="8">
      <t>ゲンリョウ</t>
    </rPh>
    <rPh sb="8" eb="11">
      <t>テイキョウシャ</t>
    </rPh>
    <rPh sb="11" eb="15">
      <t>ケイザイコウカ</t>
    </rPh>
    <phoneticPr fontId="4"/>
  </si>
  <si>
    <t>※変更不可</t>
    <rPh sb="1" eb="5">
      <t>ヘンコウフカ</t>
    </rPh>
    <phoneticPr fontId="4"/>
  </si>
  <si>
    <t>STEP4：地域経済波及効果の試算条件の入力</t>
    <rPh sb="6" eb="8">
      <t>チイキ</t>
    </rPh>
    <rPh sb="8" eb="14">
      <t>ケイザイハキュウコウカ</t>
    </rPh>
    <rPh sb="15" eb="17">
      <t>シサン</t>
    </rPh>
    <rPh sb="17" eb="19">
      <t>ジョウケン</t>
    </rPh>
    <rPh sb="20" eb="22">
      <t>ニュウリョク</t>
    </rPh>
    <phoneticPr fontId="4"/>
  </si>
  <si>
    <t>⑦バイオマス原料
提供者経済効果</t>
    <phoneticPr fontId="4"/>
  </si>
  <si>
    <t>※想定発電量を1種類の原料で調達する場合の数値</t>
    <rPh sb="1" eb="3">
      <t>ソウテイ</t>
    </rPh>
    <rPh sb="3" eb="6">
      <t>ハツデンリョウ</t>
    </rPh>
    <rPh sb="8" eb="10">
      <t>シュルイ</t>
    </rPh>
    <rPh sb="11" eb="13">
      <t>ゲンリョウ</t>
    </rPh>
    <rPh sb="14" eb="16">
      <t>チョウタツ</t>
    </rPh>
    <rPh sb="18" eb="20">
      <t>バアイ</t>
    </rPh>
    <rPh sb="21" eb="23">
      <t>スウチ</t>
    </rPh>
    <phoneticPr fontId="4"/>
  </si>
  <si>
    <t>再エネ事業者</t>
    <rPh sb="0" eb="1">
      <t>サイ</t>
    </rPh>
    <rPh sb="3" eb="6">
      <t>ジギョウシャ</t>
    </rPh>
    <phoneticPr fontId="4"/>
  </si>
  <si>
    <t>電気業</t>
    <rPh sb="0" eb="2">
      <t>デンキ</t>
    </rPh>
    <rPh sb="2" eb="3">
      <t>ギョウ</t>
    </rPh>
    <phoneticPr fontId="4"/>
  </si>
  <si>
    <t>ガス・熱供給・水道業</t>
    <phoneticPr fontId="4"/>
  </si>
  <si>
    <t>その他のサービス業</t>
    <rPh sb="2" eb="3">
      <t>タ</t>
    </rPh>
    <rPh sb="8" eb="9">
      <t>ギョウ</t>
    </rPh>
    <phoneticPr fontId="4"/>
  </si>
  <si>
    <t>一般廃棄物処理業、産業廃棄物処理業、その他の廃棄物処理業、機械修理業（電気機械器具を除く）、電気機械器具修理業</t>
    <phoneticPr fontId="4"/>
  </si>
  <si>
    <t>情報通信業</t>
    <rPh sb="0" eb="5">
      <t>ジョウホウツウシンギョウ</t>
    </rPh>
    <phoneticPr fontId="4"/>
  </si>
  <si>
    <t>損害保険業</t>
    <rPh sb="0" eb="4">
      <t>ソンガイホケン</t>
    </rPh>
    <rPh sb="4" eb="5">
      <t>ギョウ</t>
    </rPh>
    <phoneticPr fontId="4"/>
  </si>
  <si>
    <t>不動産業</t>
    <rPh sb="0" eb="4">
      <t>フドウサンギョウ</t>
    </rPh>
    <phoneticPr fontId="4"/>
  </si>
  <si>
    <t>はん用機械器具製造業</t>
    <rPh sb="2" eb="3">
      <t>ヨウ</t>
    </rPh>
    <rPh sb="3" eb="10">
      <t>キカイキグセイゾウギョウ</t>
    </rPh>
    <phoneticPr fontId="4"/>
  </si>
  <si>
    <t>はん用機械器具製造業</t>
    <phoneticPr fontId="4"/>
  </si>
  <si>
    <t>総合工事業、職別工事業、設備工事業</t>
    <rPh sb="0" eb="2">
      <t>ソウゴウ</t>
    </rPh>
    <rPh sb="2" eb="5">
      <t>コウジギョウ</t>
    </rPh>
    <rPh sb="6" eb="11">
      <t>ショクベツコウジギョウ</t>
    </rPh>
    <rPh sb="12" eb="17">
      <t>セツビコウジギョウ</t>
    </rPh>
    <phoneticPr fontId="4"/>
  </si>
  <si>
    <t>建設業</t>
    <rPh sb="0" eb="3">
      <t>ケンセツギョウ</t>
    </rPh>
    <phoneticPr fontId="4"/>
  </si>
  <si>
    <t>銀行業</t>
    <rPh sb="0" eb="3">
      <t>ギンコウギョウ</t>
    </rPh>
    <phoneticPr fontId="4"/>
  </si>
  <si>
    <t>STEP2：計算条件の確認（デフォルト値：ツール概算値、確認できている範囲でバイオマス事業の数値に更新）</t>
    <rPh sb="6" eb="8">
      <t>ケイサン</t>
    </rPh>
    <rPh sb="8" eb="10">
      <t>ジョウケン</t>
    </rPh>
    <rPh sb="11" eb="13">
      <t>カクニン</t>
    </rPh>
    <rPh sb="19" eb="20">
      <t>チ</t>
    </rPh>
    <rPh sb="24" eb="27">
      <t>ガイサンチ</t>
    </rPh>
    <rPh sb="28" eb="30">
      <t>カクニン</t>
    </rPh>
    <rPh sb="35" eb="37">
      <t>ハンイ</t>
    </rPh>
    <rPh sb="43" eb="45">
      <t>ジギョウ</t>
    </rPh>
    <rPh sb="46" eb="48">
      <t>スウチ</t>
    </rPh>
    <rPh sb="49" eb="51">
      <t>コウシン</t>
    </rPh>
    <phoneticPr fontId="4"/>
  </si>
  <si>
    <t>STEP3：計算結果の確認（事業の経済性）</t>
    <rPh sb="6" eb="8">
      <t>ケイサン</t>
    </rPh>
    <rPh sb="8" eb="10">
      <t>ケッカ</t>
    </rPh>
    <rPh sb="11" eb="13">
      <t>カクニン</t>
    </rPh>
    <rPh sb="14" eb="16">
      <t>ジギョウ</t>
    </rPh>
    <rPh sb="17" eb="20">
      <t>ケイザイセイ</t>
    </rPh>
    <phoneticPr fontId="4"/>
  </si>
  <si>
    <t>該当事業例</t>
    <rPh sb="0" eb="2">
      <t>ガイトウ</t>
    </rPh>
    <rPh sb="2" eb="4">
      <t>ジギョウ</t>
    </rPh>
    <rPh sb="4" eb="5">
      <t>レイ</t>
    </rPh>
    <phoneticPr fontId="4"/>
  </si>
  <si>
    <t>食品製造業、飲料・たばこ・飼料製造業</t>
    <rPh sb="0" eb="2">
      <t>ショクヒン</t>
    </rPh>
    <rPh sb="2" eb="5">
      <t>セイゾウギョウ</t>
    </rPh>
    <phoneticPr fontId="4"/>
  </si>
  <si>
    <t>繊維工場</t>
    <rPh sb="0" eb="2">
      <t>センイ</t>
    </rPh>
    <rPh sb="2" eb="4">
      <t>コウジョウ</t>
    </rPh>
    <phoneticPr fontId="4"/>
  </si>
  <si>
    <t>木材・木製品製造業</t>
    <rPh sb="0" eb="2">
      <t>モクザイ</t>
    </rPh>
    <rPh sb="3" eb="6">
      <t>モクセイヒン</t>
    </rPh>
    <rPh sb="6" eb="9">
      <t>セイゾウギョウ</t>
    </rPh>
    <phoneticPr fontId="4"/>
  </si>
  <si>
    <t>パルプ・紙・紙加工品製造業</t>
    <rPh sb="4" eb="5">
      <t>カミ</t>
    </rPh>
    <rPh sb="6" eb="7">
      <t>カミ</t>
    </rPh>
    <rPh sb="7" eb="9">
      <t>カコウ</t>
    </rPh>
    <rPh sb="9" eb="10">
      <t>ヒン</t>
    </rPh>
    <rPh sb="10" eb="12">
      <t>セイゾウ</t>
    </rPh>
    <rPh sb="12" eb="13">
      <t>ギョウ</t>
    </rPh>
    <phoneticPr fontId="4"/>
  </si>
  <si>
    <t>印刷・同関連業</t>
    <rPh sb="0" eb="2">
      <t>インサツ</t>
    </rPh>
    <rPh sb="3" eb="4">
      <t>ドウ</t>
    </rPh>
    <rPh sb="4" eb="6">
      <t>カンレン</t>
    </rPh>
    <rPh sb="6" eb="7">
      <t>ギョウ</t>
    </rPh>
    <phoneticPr fontId="4"/>
  </si>
  <si>
    <t>化学工業</t>
    <rPh sb="0" eb="2">
      <t>カガク</t>
    </rPh>
    <rPh sb="2" eb="4">
      <t>コウギョウ</t>
    </rPh>
    <phoneticPr fontId="4"/>
  </si>
  <si>
    <t>石油製品・石炭製品製造業</t>
    <rPh sb="0" eb="2">
      <t>セキユ</t>
    </rPh>
    <rPh sb="2" eb="4">
      <t>セイヒン</t>
    </rPh>
    <rPh sb="5" eb="7">
      <t>セキタン</t>
    </rPh>
    <rPh sb="7" eb="9">
      <t>セイヒン</t>
    </rPh>
    <rPh sb="9" eb="12">
      <t>セイゾウギョウ</t>
    </rPh>
    <phoneticPr fontId="4"/>
  </si>
  <si>
    <t>電気業</t>
    <rPh sb="0" eb="2">
      <t>デンキ</t>
    </rPh>
    <rPh sb="2" eb="3">
      <t>ギョウ</t>
    </rPh>
    <phoneticPr fontId="4"/>
  </si>
  <si>
    <t>ガス業、熱供給業、水道業</t>
    <rPh sb="2" eb="3">
      <t>ギョウ</t>
    </rPh>
    <rPh sb="4" eb="5">
      <t>ネツ</t>
    </rPh>
    <rPh sb="5" eb="7">
      <t>キョウキュウ</t>
    </rPh>
    <rPh sb="7" eb="8">
      <t>ギョウ</t>
    </rPh>
    <rPh sb="9" eb="12">
      <t>スイドウギョウ</t>
    </rPh>
    <phoneticPr fontId="4"/>
  </si>
  <si>
    <t>通信業、放送業、情報サービス業、インターネット付随サービス業、映像・音声・文字情報制作業</t>
    <rPh sb="0" eb="3">
      <t>ツウシンギョウ</t>
    </rPh>
    <rPh sb="4" eb="7">
      <t>ホウソウギョウ</t>
    </rPh>
    <rPh sb="8" eb="10">
      <t>ジョウホウ</t>
    </rPh>
    <rPh sb="14" eb="15">
      <t>ギョウ</t>
    </rPh>
    <rPh sb="23" eb="25">
      <t>フズイ</t>
    </rPh>
    <rPh sb="29" eb="30">
      <t>ギョウ</t>
    </rPh>
    <rPh sb="31" eb="33">
      <t>エイゾウ</t>
    </rPh>
    <rPh sb="34" eb="36">
      <t>オンセイ</t>
    </rPh>
    <rPh sb="37" eb="39">
      <t>モジ</t>
    </rPh>
    <rPh sb="39" eb="41">
      <t>ジョウホウ</t>
    </rPh>
    <rPh sb="41" eb="43">
      <t>セイサク</t>
    </rPh>
    <rPh sb="43" eb="44">
      <t>ギョウ</t>
    </rPh>
    <phoneticPr fontId="4"/>
  </si>
  <si>
    <t>不動産取引業、不動産賃貸業・管理業</t>
    <phoneticPr fontId="4"/>
  </si>
  <si>
    <t>業務用機械器具製造業、計装設備業</t>
    <rPh sb="0" eb="3">
      <t>ギョウムヨウ</t>
    </rPh>
    <rPh sb="3" eb="7">
      <t>キカイキグ</t>
    </rPh>
    <rPh sb="7" eb="10">
      <t>セイゾウギョウ</t>
    </rPh>
    <rPh sb="11" eb="13">
      <t>ケイソウ</t>
    </rPh>
    <rPh sb="13" eb="15">
      <t>セツビ</t>
    </rPh>
    <rPh sb="15" eb="16">
      <t>ギョウ</t>
    </rPh>
    <phoneticPr fontId="4"/>
  </si>
  <si>
    <t>産業用運搬車両・部品・付属製品製造業、輸送用機械器具製造業</t>
    <rPh sb="0" eb="3">
      <t>サンギョウヨウ</t>
    </rPh>
    <rPh sb="3" eb="5">
      <t>ウンパン</t>
    </rPh>
    <rPh sb="5" eb="7">
      <t>シャリョウ</t>
    </rPh>
    <rPh sb="8" eb="10">
      <t>ブヒン</t>
    </rPh>
    <rPh sb="11" eb="13">
      <t>フゾク</t>
    </rPh>
    <rPh sb="13" eb="15">
      <t>セイヒン</t>
    </rPh>
    <rPh sb="15" eb="18">
      <t>セイゾウギョウ</t>
    </rPh>
    <phoneticPr fontId="4"/>
  </si>
  <si>
    <t>受入供給設備製造業、燃焼設備製造業、給排水設備製造業、燃焼ガス冷却設備製造業、排ガス処理設備製造業、通風設備製造業、燃焼灰処理設備製造業、余剰熱利用設備製造業、</t>
    <rPh sb="0" eb="2">
      <t>ウケイレ</t>
    </rPh>
    <rPh sb="2" eb="4">
      <t>キョウキュウ</t>
    </rPh>
    <rPh sb="4" eb="6">
      <t>セツビ</t>
    </rPh>
    <rPh sb="6" eb="8">
      <t>セイゾウ</t>
    </rPh>
    <rPh sb="8" eb="9">
      <t>ギョウ</t>
    </rPh>
    <rPh sb="18" eb="23">
      <t>キュウハイスイセツビ</t>
    </rPh>
    <rPh sb="23" eb="25">
      <t>セイゾウ</t>
    </rPh>
    <rPh sb="25" eb="26">
      <t>ギョウ</t>
    </rPh>
    <rPh sb="27" eb="29">
      <t>ネンショウ</t>
    </rPh>
    <rPh sb="31" eb="33">
      <t>レイキャク</t>
    </rPh>
    <rPh sb="33" eb="35">
      <t>セツビ</t>
    </rPh>
    <rPh sb="35" eb="38">
      <t>セイゾウギョウ</t>
    </rPh>
    <rPh sb="39" eb="40">
      <t>ハイ</t>
    </rPh>
    <rPh sb="42" eb="44">
      <t>ショリ</t>
    </rPh>
    <rPh sb="44" eb="46">
      <t>セツビ</t>
    </rPh>
    <rPh sb="46" eb="49">
      <t>セイゾウギョウ</t>
    </rPh>
    <rPh sb="50" eb="52">
      <t>ツウフウ</t>
    </rPh>
    <rPh sb="52" eb="54">
      <t>セツビ</t>
    </rPh>
    <rPh sb="54" eb="57">
      <t>セイゾウギョウ</t>
    </rPh>
    <rPh sb="58" eb="61">
      <t>ネンショウハイ</t>
    </rPh>
    <rPh sb="61" eb="63">
      <t>ショリ</t>
    </rPh>
    <rPh sb="63" eb="65">
      <t>セツビ</t>
    </rPh>
    <rPh sb="65" eb="68">
      <t>セイゾウギョウ</t>
    </rPh>
    <rPh sb="69" eb="71">
      <t>ヨジョウ</t>
    </rPh>
    <rPh sb="71" eb="72">
      <t>ネツ</t>
    </rPh>
    <rPh sb="72" eb="74">
      <t>リヨウ</t>
    </rPh>
    <rPh sb="74" eb="76">
      <t>セツビ</t>
    </rPh>
    <rPh sb="76" eb="79">
      <t>セイゾウギョウ</t>
    </rPh>
    <phoneticPr fontId="4"/>
  </si>
  <si>
    <t>発電用・送電用・配電用電気機械器具製造業、電気計測器製造業、その他の電気機械器具製造業、受電設備製造業</t>
    <rPh sb="44" eb="46">
      <t>ジュデン</t>
    </rPh>
    <rPh sb="46" eb="48">
      <t>セツビ</t>
    </rPh>
    <rPh sb="48" eb="51">
      <t>セイゾウギョウ</t>
    </rPh>
    <phoneticPr fontId="4"/>
  </si>
  <si>
    <t>非鉄金属製造業、電線・ケーブル製造業</t>
    <rPh sb="0" eb="2">
      <t>ヒテツ</t>
    </rPh>
    <rPh sb="2" eb="4">
      <t>キンゾク</t>
    </rPh>
    <rPh sb="4" eb="7">
      <t>セイゾウギョウ</t>
    </rPh>
    <phoneticPr fontId="4"/>
  </si>
  <si>
    <t>法律事務所、特許事務所、公証人役場、司法書士事務所、土地家屋調査士事務所、行政書士事務所、公認会計士事務所、税理士事務所、社会保険労務士事務所、経営コンサルタント業、土木建築サービス業、機械設計業、その他の専門サービス業</t>
    <phoneticPr fontId="4"/>
  </si>
  <si>
    <t>銀行業、協同組織金融業、農林水産金融業</t>
    <rPh sb="0" eb="3">
      <t>ギンコウギョウ</t>
    </rPh>
    <rPh sb="4" eb="6">
      <t>キョウドウ</t>
    </rPh>
    <rPh sb="6" eb="8">
      <t>ソシキ</t>
    </rPh>
    <rPh sb="8" eb="10">
      <t>キンユウ</t>
    </rPh>
    <rPh sb="10" eb="11">
      <t>ギョウ</t>
    </rPh>
    <phoneticPr fontId="4"/>
  </si>
  <si>
    <t>損害保険業</t>
    <phoneticPr fontId="4"/>
  </si>
  <si>
    <t>一般貨物自動車運送業、特定貨物自動車運送業、貨物軽自動車運送業、集配利用運送業、その他の道路貨物運送業</t>
    <phoneticPr fontId="4"/>
  </si>
  <si>
    <t>技術を選択する</t>
    <rPh sb="0" eb="2">
      <t>ギジュツ</t>
    </rPh>
    <rPh sb="3" eb="5">
      <t>センタク</t>
    </rPh>
    <phoneticPr fontId="4"/>
  </si>
  <si>
    <t>STEP5：計算結果の確認（事業の地域経済波及効果）</t>
    <rPh sb="6" eb="8">
      <t>ケイサン</t>
    </rPh>
    <rPh sb="8" eb="10">
      <t>ケッカ</t>
    </rPh>
    <rPh sb="11" eb="13">
      <t>カクニン</t>
    </rPh>
    <rPh sb="14" eb="16">
      <t>ジギョウ</t>
    </rPh>
    <rPh sb="17" eb="19">
      <t>チイキ</t>
    </rPh>
    <rPh sb="19" eb="25">
      <t>ケイザイハキュウコウカ</t>
    </rPh>
    <phoneticPr fontId="3"/>
  </si>
  <si>
    <t>はじめに</t>
    <phoneticPr fontId="4"/>
  </si>
  <si>
    <t>ご利用にあたって</t>
    <rPh sb="1" eb="3">
      <t>リヨウ</t>
    </rPh>
    <phoneticPr fontId="4"/>
  </si>
  <si>
    <t>○他の公開ツールとの関係</t>
    <rPh sb="1" eb="2">
      <t>タ</t>
    </rPh>
    <rPh sb="3" eb="5">
      <t>コウカイ</t>
    </rPh>
    <rPh sb="10" eb="12">
      <t>カンケイ</t>
    </rPh>
    <phoneticPr fontId="4"/>
  </si>
  <si>
    <t>本ツールの利用想定・前提</t>
    <rPh sb="0" eb="1">
      <t>ホン</t>
    </rPh>
    <rPh sb="5" eb="7">
      <t>リヨウ</t>
    </rPh>
    <rPh sb="7" eb="9">
      <t>ソウテイ</t>
    </rPh>
    <rPh sb="10" eb="12">
      <t>ゼンテイ</t>
    </rPh>
    <phoneticPr fontId="4"/>
  </si>
  <si>
    <t>このとき、入力値以外の支出項目は調達価格算定等委員会やNEDOの地域自立システム化実証事業におけるFS報告書、事業者からのヒアリングをもとに想定した値となっており、</t>
    <rPh sb="5" eb="8">
      <t>ニュウリョクチ</t>
    </rPh>
    <rPh sb="8" eb="10">
      <t>イガイ</t>
    </rPh>
    <rPh sb="11" eb="13">
      <t>シシュツ</t>
    </rPh>
    <rPh sb="13" eb="15">
      <t>コウモク</t>
    </rPh>
    <rPh sb="16" eb="18">
      <t>チョウタツ</t>
    </rPh>
    <rPh sb="18" eb="20">
      <t>カカク</t>
    </rPh>
    <rPh sb="20" eb="22">
      <t>サンテイ</t>
    </rPh>
    <rPh sb="22" eb="23">
      <t>トウ</t>
    </rPh>
    <rPh sb="23" eb="26">
      <t>イインカイ</t>
    </rPh>
    <rPh sb="32" eb="34">
      <t>チイキ</t>
    </rPh>
    <rPh sb="34" eb="36">
      <t>ジリツ</t>
    </rPh>
    <rPh sb="40" eb="41">
      <t>カ</t>
    </rPh>
    <rPh sb="41" eb="43">
      <t>ジッショウ</t>
    </rPh>
    <rPh sb="43" eb="45">
      <t>ジギョウ</t>
    </rPh>
    <rPh sb="51" eb="54">
      <t>ホウコクショ</t>
    </rPh>
    <rPh sb="55" eb="58">
      <t>ジギョウシャ</t>
    </rPh>
    <rPh sb="70" eb="72">
      <t>ソウテイ</t>
    </rPh>
    <rPh sb="74" eb="75">
      <t>アタイ</t>
    </rPh>
    <phoneticPr fontId="4"/>
  </si>
  <si>
    <t>実際に検討を進めていくにつれて、地域によってこれらの想定値が全く異なる場合があることにご留意ください。</t>
    <rPh sb="0" eb="2">
      <t>ジッサイ</t>
    </rPh>
    <rPh sb="3" eb="5">
      <t>ケントウ</t>
    </rPh>
    <rPh sb="6" eb="7">
      <t>スス</t>
    </rPh>
    <rPh sb="16" eb="18">
      <t>チイキ</t>
    </rPh>
    <rPh sb="26" eb="28">
      <t>ソウテイ</t>
    </rPh>
    <rPh sb="28" eb="29">
      <t>チ</t>
    </rPh>
    <rPh sb="30" eb="31">
      <t>マッタ</t>
    </rPh>
    <rPh sb="32" eb="33">
      <t>コト</t>
    </rPh>
    <rPh sb="35" eb="37">
      <t>バアイ</t>
    </rPh>
    <rPh sb="44" eb="46">
      <t>リュウイ</t>
    </rPh>
    <phoneticPr fontId="4"/>
  </si>
  <si>
    <t>○主な費用想定</t>
    <rPh sb="1" eb="2">
      <t>オモ</t>
    </rPh>
    <rPh sb="3" eb="5">
      <t>ヒヨウ</t>
    </rPh>
    <rPh sb="5" eb="7">
      <t>ソウテイ</t>
    </rPh>
    <phoneticPr fontId="4"/>
  </si>
  <si>
    <t>事業者ヒアリング・各種公開資料より設定</t>
    <rPh sb="0" eb="3">
      <t>ジギョウシャ</t>
    </rPh>
    <rPh sb="9" eb="11">
      <t>カクシュ</t>
    </rPh>
    <rPh sb="11" eb="13">
      <t>コウカイ</t>
    </rPh>
    <rPh sb="13" eb="15">
      <t>シリョウ</t>
    </rPh>
    <rPh sb="17" eb="19">
      <t>セッテイ</t>
    </rPh>
    <phoneticPr fontId="4"/>
  </si>
  <si>
    <t>※設備費用・運転維持費用は各バイオマス事業案件の附帯設備によって大きく変動することにご注意ください。</t>
    <phoneticPr fontId="4"/>
  </si>
  <si>
    <t>本ツールの使い方</t>
    <rPh sb="0" eb="1">
      <t>ホン</t>
    </rPh>
    <rPh sb="5" eb="6">
      <t>ツカ</t>
    </rPh>
    <rPh sb="7" eb="8">
      <t>カタ</t>
    </rPh>
    <phoneticPr fontId="4"/>
  </si>
  <si>
    <t>入門編_計算シートにおいて条件の入力と計算結果の確認を行います。</t>
    <rPh sb="0" eb="3">
      <t>ニュウモンヘン</t>
    </rPh>
    <rPh sb="4" eb="6">
      <t>ケイサン</t>
    </rPh>
    <rPh sb="13" eb="15">
      <t>ジョウケン</t>
    </rPh>
    <rPh sb="16" eb="18">
      <t>ニュウリョク</t>
    </rPh>
    <rPh sb="19" eb="23">
      <t>ケイサンケッカ</t>
    </rPh>
    <rPh sb="24" eb="26">
      <t>カクニン</t>
    </rPh>
    <rPh sb="27" eb="28">
      <t>オコナ</t>
    </rPh>
    <phoneticPr fontId="4"/>
  </si>
  <si>
    <t>STEP1の量・受入価格の入力で結果は出力されます。</t>
    <rPh sb="6" eb="7">
      <t>リョウ</t>
    </rPh>
    <rPh sb="8" eb="9">
      <t>ウ</t>
    </rPh>
    <rPh sb="9" eb="10">
      <t>イ</t>
    </rPh>
    <rPh sb="10" eb="12">
      <t>カカク</t>
    </rPh>
    <rPh sb="13" eb="15">
      <t>ニュウリョク</t>
    </rPh>
    <rPh sb="16" eb="18">
      <t>ケッカ</t>
    </rPh>
    <rPh sb="19" eb="21">
      <t>シュツリョク</t>
    </rPh>
    <phoneticPr fontId="4"/>
  </si>
  <si>
    <t>STEP2以降のセルはデフォルト値として前提条件を概算しています。事業検討の進捗等に合わせて手入力で更新ください</t>
    <rPh sb="5" eb="7">
      <t>イコウ</t>
    </rPh>
    <rPh sb="16" eb="17">
      <t>チ</t>
    </rPh>
    <rPh sb="20" eb="24">
      <t>ゼンテイジョウケン</t>
    </rPh>
    <rPh sb="25" eb="27">
      <t>ガイサン</t>
    </rPh>
    <rPh sb="33" eb="35">
      <t>ジギョウ</t>
    </rPh>
    <rPh sb="35" eb="37">
      <t>ケントウ</t>
    </rPh>
    <rPh sb="38" eb="40">
      <t>シンチョク</t>
    </rPh>
    <rPh sb="40" eb="41">
      <t>トウ</t>
    </rPh>
    <rPh sb="42" eb="43">
      <t>ア</t>
    </rPh>
    <rPh sb="46" eb="49">
      <t>テニュウリョク</t>
    </rPh>
    <rPh sb="50" eb="52">
      <t>コウシン</t>
    </rPh>
    <phoneticPr fontId="4"/>
  </si>
  <si>
    <t>（その際セルの関数が解除されますので別ファイルでの作成を推奨いたします）</t>
  </si>
  <si>
    <t xml:space="preserve"> STEP1</t>
    <phoneticPr fontId="4"/>
  </si>
  <si>
    <t xml:space="preserve"> STEP2</t>
    <phoneticPr fontId="4"/>
  </si>
  <si>
    <t>地域経済性分析ツール（入門編、木質系バイオマス）においては、バイオマス原料の調達量と調達価格を入力することで事業の経済性・地域経済波及効果が概算されるものとなっています。</t>
    <rPh sb="15" eb="17">
      <t>モクシツ</t>
    </rPh>
    <rPh sb="35" eb="37">
      <t>ゲンリョウ</t>
    </rPh>
    <rPh sb="38" eb="40">
      <t>チョウタツ</t>
    </rPh>
    <rPh sb="40" eb="41">
      <t>リョウ</t>
    </rPh>
    <rPh sb="42" eb="44">
      <t>チョウタツ</t>
    </rPh>
    <rPh sb="44" eb="46">
      <t>カカク</t>
    </rPh>
    <rPh sb="47" eb="49">
      <t>ニュウリョク</t>
    </rPh>
    <rPh sb="54" eb="56">
      <t>ジギョウ</t>
    </rPh>
    <rPh sb="57" eb="60">
      <t>ケイザイセイ</t>
    </rPh>
    <rPh sb="61" eb="63">
      <t>チイキ</t>
    </rPh>
    <rPh sb="63" eb="65">
      <t>ケイザイ</t>
    </rPh>
    <rPh sb="65" eb="67">
      <t>ハキュウ</t>
    </rPh>
    <rPh sb="67" eb="69">
      <t>コウカ</t>
    </rPh>
    <rPh sb="70" eb="72">
      <t>ガイサン</t>
    </rPh>
    <phoneticPr fontId="4"/>
  </si>
  <si>
    <t>バイオマス原料ごとの含水率</t>
    <rPh sb="5" eb="7">
      <t>ゲンリョウ</t>
    </rPh>
    <rPh sb="10" eb="13">
      <t>ガンスイリツ</t>
    </rPh>
    <phoneticPr fontId="4"/>
  </si>
  <si>
    <t>バイオマス原料ごとの調達価格</t>
    <rPh sb="5" eb="7">
      <t>ゲンリョウ</t>
    </rPh>
    <rPh sb="10" eb="12">
      <t>チョウタツ</t>
    </rPh>
    <rPh sb="12" eb="14">
      <t>カカク</t>
    </rPh>
    <phoneticPr fontId="4"/>
  </si>
  <si>
    <t>○バイオマス事業概要</t>
    <rPh sb="6" eb="10">
      <t>ジギョウガイヨウ</t>
    </rPh>
    <phoneticPr fontId="5"/>
  </si>
  <si>
    <t>計算方法</t>
    <rPh sb="0" eb="4">
      <t>ケイサンホウホウ</t>
    </rPh>
    <phoneticPr fontId="5"/>
  </si>
  <si>
    <t>2 定格出力から計算</t>
  </si>
  <si>
    <t>バイオマス総投入量</t>
    <rPh sb="5" eb="6">
      <t>ソウ</t>
    </rPh>
    <rPh sb="6" eb="8">
      <t>トウニュウ</t>
    </rPh>
    <rPh sb="8" eb="9">
      <t>リョウ</t>
    </rPh>
    <phoneticPr fontId="5"/>
  </si>
  <si>
    <r>
      <t>t/</t>
    </r>
    <r>
      <rPr>
        <sz val="10"/>
        <color theme="1"/>
        <rFont val="ＭＳ Ｐゴシック"/>
        <family val="3"/>
        <charset val="128"/>
      </rPr>
      <t>年</t>
    </r>
    <rPh sb="2" eb="3">
      <t>ネン</t>
    </rPh>
    <phoneticPr fontId="5"/>
  </si>
  <si>
    <t>バイオマス総熱量</t>
    <rPh sb="5" eb="8">
      <t>ソウネツリョウ</t>
    </rPh>
    <phoneticPr fontId="5"/>
  </si>
  <si>
    <r>
      <t>MJ/</t>
    </r>
    <r>
      <rPr>
        <sz val="10"/>
        <color theme="1"/>
        <rFont val="ＭＳ Ｐゴシック"/>
        <family val="3"/>
        <charset val="128"/>
      </rPr>
      <t>年</t>
    </r>
    <rPh sb="3" eb="4">
      <t>ネン</t>
    </rPh>
    <phoneticPr fontId="5"/>
  </si>
  <si>
    <r>
      <t>kWh/</t>
    </r>
    <r>
      <rPr>
        <sz val="10"/>
        <color theme="1"/>
        <rFont val="ＭＳ Ｐゴシック"/>
        <family val="3"/>
        <charset val="128"/>
      </rPr>
      <t>年</t>
    </r>
    <rPh sb="4" eb="5">
      <t>ネン</t>
    </rPh>
    <phoneticPr fontId="5"/>
  </si>
  <si>
    <t>発熱量</t>
    <rPh sb="0" eb="3">
      <t>ハツネツリョウ</t>
    </rPh>
    <phoneticPr fontId="5"/>
  </si>
  <si>
    <t>売電量</t>
    <rPh sb="0" eb="3">
      <t>バイデンリョウ</t>
    </rPh>
    <phoneticPr fontId="5"/>
  </si>
  <si>
    <t>売熱量</t>
    <rPh sb="0" eb="1">
      <t>バイ</t>
    </rPh>
    <rPh sb="1" eb="3">
      <t>ネツリョウ</t>
    </rPh>
    <phoneticPr fontId="5"/>
  </si>
  <si>
    <t>%</t>
    <phoneticPr fontId="5"/>
  </si>
  <si>
    <t>原料前処理機器製造業、メタン発酵槽設備製造業、生産用機械器具製造業</t>
    <rPh sb="17" eb="19">
      <t>セツビ</t>
    </rPh>
    <rPh sb="19" eb="22">
      <t>セイゾウギョウ</t>
    </rPh>
    <phoneticPr fontId="4"/>
  </si>
  <si>
    <t>バイオマスエネルギーはサプライチェーンが非常に長く、他の再生可能エネルギー事業を上回る地域経済波及効果が存在します。</t>
    <rPh sb="20" eb="22">
      <t>ヒジョウ</t>
    </rPh>
    <rPh sb="23" eb="24">
      <t>ナガ</t>
    </rPh>
    <rPh sb="26" eb="27">
      <t>ホカ</t>
    </rPh>
    <rPh sb="28" eb="37">
      <t>サイセイ</t>
    </rPh>
    <rPh sb="37" eb="39">
      <t>ジギョウ</t>
    </rPh>
    <rPh sb="40" eb="42">
      <t>ウワマワ</t>
    </rPh>
    <rPh sb="43" eb="45">
      <t>チイキ</t>
    </rPh>
    <rPh sb="45" eb="47">
      <t>ケイザイ</t>
    </rPh>
    <rPh sb="47" eb="49">
      <t>ハキュウ</t>
    </rPh>
    <rPh sb="49" eb="51">
      <t>コウカ</t>
    </rPh>
    <rPh sb="52" eb="54">
      <t>ソンザイ</t>
    </rPh>
    <phoneticPr fontId="4"/>
  </si>
  <si>
    <t>本ツールでは地域内の各種関係者がバイオマスエネルギー事業によってどの程度経済効果が得られるかを定量的に可視化し、構想段階における実施体制検討に資することを目的としています。</t>
    <rPh sb="0" eb="1">
      <t>ホン</t>
    </rPh>
    <rPh sb="6" eb="8">
      <t>チイキ</t>
    </rPh>
    <rPh sb="8" eb="9">
      <t>ナイ</t>
    </rPh>
    <rPh sb="10" eb="12">
      <t>カクシュ</t>
    </rPh>
    <rPh sb="12" eb="15">
      <t>カンケイシャ</t>
    </rPh>
    <rPh sb="26" eb="28">
      <t>ジギョウ</t>
    </rPh>
    <rPh sb="34" eb="36">
      <t>テイド</t>
    </rPh>
    <rPh sb="36" eb="38">
      <t>ケイザイ</t>
    </rPh>
    <rPh sb="38" eb="40">
      <t>コウカ</t>
    </rPh>
    <rPh sb="41" eb="42">
      <t>エ</t>
    </rPh>
    <rPh sb="47" eb="50">
      <t>テイリョウテキ</t>
    </rPh>
    <rPh sb="51" eb="54">
      <t>カシカ</t>
    </rPh>
    <rPh sb="56" eb="58">
      <t>コウソウ</t>
    </rPh>
    <rPh sb="58" eb="60">
      <t>ダンカイ</t>
    </rPh>
    <rPh sb="64" eb="66">
      <t>ジッシ</t>
    </rPh>
    <rPh sb="66" eb="68">
      <t>タイセイ</t>
    </rPh>
    <rPh sb="68" eb="70">
      <t>ケントウ</t>
    </rPh>
    <rPh sb="71" eb="72">
      <t>シ</t>
    </rPh>
    <rPh sb="77" eb="79">
      <t>モクテキ</t>
    </rPh>
    <phoneticPr fontId="4"/>
  </si>
  <si>
    <t>一方で、関係者が多い分、協力体制の構築が困難なことがあり、そうした理由で安定的な原料・燃料調達やエネルギー供給ができないケースが多々報告されています。</t>
    <rPh sb="0" eb="2">
      <t>イッポウ</t>
    </rPh>
    <rPh sb="4" eb="7">
      <t>カンケイシャ</t>
    </rPh>
    <rPh sb="8" eb="9">
      <t>オオ</t>
    </rPh>
    <rPh sb="10" eb="11">
      <t>ブン</t>
    </rPh>
    <rPh sb="12" eb="14">
      <t>キョウリョク</t>
    </rPh>
    <rPh sb="14" eb="16">
      <t>タイセイ</t>
    </rPh>
    <rPh sb="17" eb="19">
      <t>コウチク</t>
    </rPh>
    <rPh sb="20" eb="22">
      <t>コンナン</t>
    </rPh>
    <rPh sb="33" eb="35">
      <t>リユウ</t>
    </rPh>
    <rPh sb="36" eb="39">
      <t>アンテイテキ</t>
    </rPh>
    <rPh sb="40" eb="42">
      <t>ゲンリョウ</t>
    </rPh>
    <rPh sb="43" eb="45">
      <t>ネンリョウ</t>
    </rPh>
    <rPh sb="45" eb="47">
      <t>チョウタツ</t>
    </rPh>
    <rPh sb="53" eb="55">
      <t>キョウキュウ</t>
    </rPh>
    <rPh sb="64" eb="66">
      <t>タタ</t>
    </rPh>
    <rPh sb="66" eb="68">
      <t>ホウコク</t>
    </rPh>
    <phoneticPr fontId="4"/>
  </si>
  <si>
    <t>本ツールはNEDO「バイオマスエネルギー導入に係る技術指針・導入要件」の読者を対象に、構想段階において簡易的に事業性および地域経済性を評価頂けるよう開発されたツールです。</t>
    <rPh sb="0" eb="1">
      <t>ホン</t>
    </rPh>
    <rPh sb="36" eb="38">
      <t>ドクシャ</t>
    </rPh>
    <rPh sb="39" eb="41">
      <t>タイショウ</t>
    </rPh>
    <rPh sb="43" eb="45">
      <t>コウソウ</t>
    </rPh>
    <rPh sb="45" eb="47">
      <t>ダンカイ</t>
    </rPh>
    <rPh sb="51" eb="53">
      <t>カンイ</t>
    </rPh>
    <rPh sb="53" eb="54">
      <t>テキ</t>
    </rPh>
    <rPh sb="55" eb="57">
      <t>ジギョウ</t>
    </rPh>
    <rPh sb="57" eb="58">
      <t>セイ</t>
    </rPh>
    <rPh sb="61" eb="63">
      <t>チイキ</t>
    </rPh>
    <rPh sb="63" eb="66">
      <t>ケイザイセイ</t>
    </rPh>
    <rPh sb="67" eb="69">
      <t>ヒョウカ</t>
    </rPh>
    <rPh sb="69" eb="70">
      <t>イタダ</t>
    </rPh>
    <rPh sb="74" eb="76">
      <t>カイハツ</t>
    </rPh>
    <phoneticPr fontId="4"/>
  </si>
  <si>
    <t>含水率（想定値、変更可）※</t>
    <rPh sb="0" eb="3">
      <t>ガンスイリツ</t>
    </rPh>
    <rPh sb="4" eb="6">
      <t>ソウテイ</t>
    </rPh>
    <rPh sb="6" eb="7">
      <t>チ</t>
    </rPh>
    <rPh sb="8" eb="10">
      <t>ヘンコウ</t>
    </rPh>
    <rPh sb="10" eb="11">
      <t>カ</t>
    </rPh>
    <phoneticPr fontId="4"/>
  </si>
  <si>
    <t>　○BTG（Boiler Turbine Generator）を利用した木質バイオマス事業イメージ</t>
    <phoneticPr fontId="4"/>
  </si>
  <si>
    <t>のセル：想定値の入力が必須</t>
    <rPh sb="4" eb="6">
      <t>ソウテイ</t>
    </rPh>
    <rPh sb="6" eb="7">
      <t>アタイ</t>
    </rPh>
    <rPh sb="8" eb="10">
      <t>ニュウリョク</t>
    </rPh>
    <rPh sb="11" eb="13">
      <t>ヒッス</t>
    </rPh>
    <phoneticPr fontId="4"/>
  </si>
  <si>
    <t>のセル：想定値を任意で入力</t>
    <rPh sb="4" eb="6">
      <t>ソウテ</t>
    </rPh>
    <rPh sb="6" eb="7">
      <t>チ</t>
    </rPh>
    <rPh sb="8" eb="10">
      <t>ニンイ</t>
    </rPh>
    <rPh sb="11" eb="13">
      <t>ニュウリョク</t>
    </rPh>
    <phoneticPr fontId="4"/>
  </si>
  <si>
    <r>
      <t>のセル：自動算出されますが、事業の検討状況に応じて直接入力（</t>
    </r>
    <r>
      <rPr>
        <b/>
        <sz val="11"/>
        <color rgb="FFFF0000"/>
        <rFont val="ＭＳ Ｐゴシック"/>
        <family val="3"/>
        <charset val="128"/>
        <scheme val="minor"/>
      </rPr>
      <t>その際、オリジナルの関数は解除されます</t>
    </r>
    <r>
      <rPr>
        <sz val="11"/>
        <color theme="1"/>
        <rFont val="ＭＳ Ｐゴシック"/>
        <family val="3"/>
        <charset val="128"/>
        <scheme val="minor"/>
      </rPr>
      <t>）</t>
    </r>
    <rPh sb="4" eb="8">
      <t>ジドウサンシュツ</t>
    </rPh>
    <rPh sb="14" eb="16">
      <t>ジギョウ</t>
    </rPh>
    <rPh sb="17" eb="19">
      <t>ケントウ</t>
    </rPh>
    <rPh sb="19" eb="21">
      <t>ジョウキョウ</t>
    </rPh>
    <rPh sb="22" eb="23">
      <t>オウ</t>
    </rPh>
    <rPh sb="25" eb="29">
      <t>チョクセツニュウリョク</t>
    </rPh>
    <rPh sb="32" eb="33">
      <t>サイ</t>
    </rPh>
    <rPh sb="40" eb="42">
      <t>カンスウ</t>
    </rPh>
    <rPh sb="43" eb="45">
      <t>カイジョ</t>
    </rPh>
    <phoneticPr fontId="4"/>
  </si>
  <si>
    <r>
      <t>IRR</t>
    </r>
    <r>
      <rPr>
        <sz val="10"/>
        <color theme="0" tint="-0.34998626667073579"/>
        <rFont val="ＭＳ Ｐゴシック"/>
        <family val="3"/>
        <charset val="128"/>
      </rPr>
      <t>（</t>
    </r>
    <r>
      <rPr>
        <sz val="10"/>
        <color theme="0" tint="-0.34998626667073579"/>
        <rFont val="Arial"/>
        <family val="2"/>
      </rPr>
      <t>20</t>
    </r>
    <r>
      <rPr>
        <sz val="10"/>
        <color theme="0" tint="-0.34998626667073579"/>
        <rFont val="ＭＳ Ｐゴシック"/>
        <family val="3"/>
        <charset val="128"/>
      </rPr>
      <t>年）</t>
    </r>
    <rPh sb="6" eb="7">
      <t>ネン</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</si>
  <si>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事業情報から初期投資費用の</t>
    </r>
    <r>
      <rPr>
        <sz val="11"/>
        <color theme="1"/>
        <rFont val="Arial"/>
        <family val="2"/>
      </rPr>
      <t>75</t>
    </r>
    <r>
      <rPr>
        <sz val="11"/>
        <color theme="1"/>
        <rFont val="ＭＳ Ｐゴシック"/>
        <family val="3"/>
        <charset val="128"/>
      </rPr>
      <t>％と想定</t>
    </r>
    <rPh sb="3" eb="5">
      <t>ジギョウ</t>
    </rPh>
    <rPh sb="5" eb="7">
      <t>ジョウホウ</t>
    </rPh>
    <rPh sb="9" eb="13">
      <t>ショキトウシ</t>
    </rPh>
    <rPh sb="13" eb="15">
      <t>ヒヨウ</t>
    </rPh>
    <rPh sb="20" eb="22">
      <t>ソウテイ</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</si>
  <si>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事業情報から初期投資費用の</t>
    </r>
    <r>
      <rPr>
        <sz val="11"/>
        <color theme="1"/>
        <rFont val="Arial"/>
        <family val="2"/>
      </rPr>
      <t>25</t>
    </r>
    <r>
      <rPr>
        <sz val="11"/>
        <color theme="1"/>
        <rFont val="ＭＳ Ｐゴシック"/>
        <family val="3"/>
        <charset val="128"/>
      </rPr>
      <t>％と想定</t>
    </r>
    <rPh sb="3" eb="5">
      <t>ジギョウ</t>
    </rPh>
    <rPh sb="5" eb="7">
      <t>ジョウホウ</t>
    </rPh>
    <rPh sb="9" eb="13">
      <t>ショキトウシ</t>
    </rPh>
    <rPh sb="13" eb="15">
      <t>ヒヨウ</t>
    </rPh>
    <rPh sb="20" eb="22">
      <t>ソウテイ</t>
    </rPh>
    <phoneticPr fontId="4"/>
  </si>
  <si>
    <t>※ORCモデルについては事例が限られており、対応しておりません。「バイオマスエネルギー地域自立システムの導入要件・技術指針」第１部４章を参考に地域経済分析ツール（詳細編）にてシートを作成ください。</t>
    <rPh sb="12" eb="14">
      <t>ジレイ</t>
    </rPh>
    <rPh sb="15" eb="16">
      <t>カギ</t>
    </rPh>
    <rPh sb="22" eb="24">
      <t>タイオウ</t>
    </rPh>
    <rPh sb="62" eb="63">
      <t>ダイ</t>
    </rPh>
    <rPh sb="64" eb="65">
      <t>ブ</t>
    </rPh>
    <rPh sb="66" eb="67">
      <t>ショウ</t>
    </rPh>
    <rPh sb="68" eb="70">
      <t>サンコウ</t>
    </rPh>
    <rPh sb="71" eb="75">
      <t>チイキケイザイ</t>
    </rPh>
    <rPh sb="75" eb="77">
      <t>ブンセキ</t>
    </rPh>
    <rPh sb="81" eb="83">
      <t>ショウサイ</t>
    </rPh>
    <rPh sb="83" eb="84">
      <t>ヘン</t>
    </rPh>
    <rPh sb="91" eb="93">
      <t>サクセイ</t>
    </rPh>
    <phoneticPr fontId="4"/>
  </si>
  <si>
    <t>STEP１：廃棄物情報の入力と概算結果の出力</t>
    <rPh sb="6" eb="9">
      <t>ハイキブツ</t>
    </rPh>
    <rPh sb="9" eb="11">
      <t>ジョウホウ</t>
    </rPh>
    <rPh sb="12" eb="14">
      <t>ニュウリョク</t>
    </rPh>
    <rPh sb="15" eb="17">
      <t>ガイサン</t>
    </rPh>
    <rPh sb="17" eb="19">
      <t>ケッカ</t>
    </rPh>
    <rPh sb="20" eb="22">
      <t>シュツリョク</t>
    </rPh>
    <phoneticPr fontId="4"/>
  </si>
  <si>
    <r>
      <rPr>
        <sz val="14"/>
        <color theme="1"/>
        <rFont val="ＭＳ Ｐゴシック"/>
        <family val="3"/>
        <charset val="128"/>
      </rPr>
      <t>発電出力から概算を行う場合はこちらで算出後</t>
    </r>
    <r>
      <rPr>
        <sz val="14"/>
        <color theme="1"/>
        <rFont val="Arial"/>
        <family val="2"/>
      </rPr>
      <t>"</t>
    </r>
    <r>
      <rPr>
        <sz val="14"/>
        <color theme="1"/>
        <rFont val="ＭＳ Ｐゴシック"/>
        <family val="3"/>
        <charset val="128"/>
      </rPr>
      <t>バイオマス原料の想定</t>
    </r>
    <r>
      <rPr>
        <sz val="14"/>
        <color theme="1"/>
        <rFont val="Arial"/>
        <family val="2"/>
      </rPr>
      <t>"</t>
    </r>
    <r>
      <rPr>
        <sz val="14"/>
        <color theme="1"/>
        <rFont val="ＭＳ Ｐゴシック"/>
        <family val="3"/>
        <charset val="128"/>
      </rPr>
      <t>に手動で転記</t>
    </r>
    <rPh sb="20" eb="21">
      <t>ゴ</t>
    </rPh>
    <rPh sb="27" eb="29">
      <t>ゲンリョウ</t>
    </rPh>
    <rPh sb="30" eb="32">
      <t>ソウテイ</t>
    </rPh>
    <rPh sb="34" eb="36">
      <t>シュドウ</t>
    </rPh>
    <rPh sb="37" eb="39">
      <t>テンキ</t>
    </rPh>
    <phoneticPr fontId="5"/>
  </si>
  <si>
    <t>○地域内経済効果の推移（累積）</t>
    <rPh sb="1" eb="3">
      <t>チイキ</t>
    </rPh>
    <rPh sb="3" eb="4">
      <t>ナイ</t>
    </rPh>
    <rPh sb="4" eb="6">
      <t>ケイザイ</t>
    </rPh>
    <rPh sb="6" eb="8">
      <t>コウカ</t>
    </rPh>
    <rPh sb="9" eb="11">
      <t>スイイ</t>
    </rPh>
    <rPh sb="12" eb="14">
      <t>ルイセキ</t>
    </rPh>
    <phoneticPr fontId="5"/>
  </si>
  <si>
    <t>必要なエネルギー量からの調達量逆算（調達量が把握できている場合はスキップ可能）</t>
    <rPh sb="0" eb="2">
      <t>ヒツヨウ</t>
    </rPh>
    <rPh sb="8" eb="9">
      <t>リョウ</t>
    </rPh>
    <rPh sb="12" eb="14">
      <t>チョウタツ</t>
    </rPh>
    <rPh sb="14" eb="15">
      <t>リョウ</t>
    </rPh>
    <rPh sb="15" eb="17">
      <t>ギャクサン</t>
    </rPh>
    <rPh sb="18" eb="20">
      <t>チョウタツ</t>
    </rPh>
    <rPh sb="20" eb="21">
      <t>リョウ</t>
    </rPh>
    <rPh sb="22" eb="24">
      <t>ハアク</t>
    </rPh>
    <rPh sb="29" eb="31">
      <t>バアイ</t>
    </rPh>
    <rPh sb="36" eb="38">
      <t>カノウ</t>
    </rPh>
    <phoneticPr fontId="5"/>
  </si>
  <si>
    <t>試算に用いる発電出力</t>
    <rPh sb="0" eb="2">
      <t>シサン</t>
    </rPh>
    <rPh sb="3" eb="4">
      <t>モチ</t>
    </rPh>
    <rPh sb="6" eb="10">
      <t>ハツデンシュツリョク</t>
    </rPh>
    <phoneticPr fontId="5"/>
  </si>
  <si>
    <t>試算に用いる年間発電量</t>
    <rPh sb="0" eb="2">
      <t>シサン</t>
    </rPh>
    <rPh sb="3" eb="4">
      <t>モチ</t>
    </rPh>
    <rPh sb="6" eb="11">
      <t>ネンカンハツデンリョウ</t>
    </rPh>
    <phoneticPr fontId="5"/>
  </si>
  <si>
    <t>想定に基づく発電・熱出力情報（STEP2で変更可能）</t>
    <rPh sb="0" eb="2">
      <t>ソウテイ</t>
    </rPh>
    <rPh sb="3" eb="4">
      <t>モト</t>
    </rPh>
    <rPh sb="6" eb="8">
      <t>ハツデン</t>
    </rPh>
    <rPh sb="9" eb="10">
      <t>ネツ</t>
    </rPh>
    <rPh sb="10" eb="12">
      <t>シュツリョク</t>
    </rPh>
    <rPh sb="12" eb="14">
      <t>ジョウホウ</t>
    </rPh>
    <rPh sb="21" eb="25">
      <t>ヘンコウカノウ</t>
    </rPh>
    <phoneticPr fontId="5"/>
  </si>
  <si>
    <t>試算に用いる熱出力</t>
    <rPh sb="0" eb="2">
      <t>シサン</t>
    </rPh>
    <rPh sb="3" eb="4">
      <t>モチ</t>
    </rPh>
    <rPh sb="6" eb="9">
      <t>ネツシュツリョク</t>
    </rPh>
    <phoneticPr fontId="5"/>
  </si>
  <si>
    <t>時間/日</t>
    <rPh sb="0" eb="2">
      <t>ジカン</t>
    </rPh>
    <rPh sb="3" eb="4">
      <t>ニチ</t>
    </rPh>
    <phoneticPr fontId="4"/>
  </si>
  <si>
    <t>時間/年</t>
    <rPh sb="0" eb="2">
      <t>ジカン</t>
    </rPh>
    <rPh sb="3" eb="4">
      <t>ネン</t>
    </rPh>
    <phoneticPr fontId="4"/>
  </si>
  <si>
    <t>kWh</t>
    <phoneticPr fontId="5"/>
  </si>
  <si>
    <t>エネルギーの販売</t>
    <rPh sb="6" eb="8">
      <t>ハンバイ</t>
    </rPh>
    <phoneticPr fontId="4"/>
  </si>
  <si>
    <t>試算に用いる年間熱出力量</t>
    <rPh sb="0" eb="2">
      <t>シサン</t>
    </rPh>
    <rPh sb="3" eb="4">
      <t>モチ</t>
    </rPh>
    <rPh sb="6" eb="8">
      <t>ネンカン</t>
    </rPh>
    <rPh sb="8" eb="11">
      <t>ネツシュツリョク</t>
    </rPh>
    <rPh sb="11" eb="12">
      <t>リョウ</t>
    </rPh>
    <phoneticPr fontId="5"/>
  </si>
  <si>
    <t>MJ</t>
    <phoneticPr fontId="4"/>
  </si>
  <si>
    <r>
      <t>1</t>
    </r>
    <r>
      <rPr>
        <sz val="11"/>
        <color theme="1"/>
        <rFont val="ＭＳ Ｐゴシック"/>
        <family val="3"/>
        <charset val="128"/>
      </rPr>
      <t>年間で稼働する日数</t>
    </r>
    <rPh sb="1" eb="3">
      <t>ネンカン</t>
    </rPh>
    <rPh sb="4" eb="6">
      <t>カドウ</t>
    </rPh>
    <rPh sb="8" eb="10">
      <t>ニッスウ</t>
    </rPh>
    <phoneticPr fontId="5"/>
  </si>
  <si>
    <r>
      <t>1</t>
    </r>
    <r>
      <rPr>
        <sz val="11"/>
        <color theme="1"/>
        <rFont val="ＭＳ Ｐゴシック"/>
        <family val="3"/>
        <charset val="128"/>
      </rPr>
      <t>日に稼働する時間</t>
    </r>
    <rPh sb="1" eb="2">
      <t>ニチ</t>
    </rPh>
    <rPh sb="3" eb="5">
      <t>カドウ</t>
    </rPh>
    <rPh sb="7" eb="9">
      <t>ジカン</t>
    </rPh>
    <phoneticPr fontId="5"/>
  </si>
  <si>
    <t>設備のスペックが明らかな場合、こちらを変更</t>
    <rPh sb="0" eb="2">
      <t>セツビ</t>
    </rPh>
    <rPh sb="8" eb="9">
      <t>アキ</t>
    </rPh>
    <rPh sb="12" eb="14">
      <t>バアイ</t>
    </rPh>
    <rPh sb="19" eb="21">
      <t>ヘンコウ</t>
    </rPh>
    <phoneticPr fontId="5"/>
  </si>
  <si>
    <t>バイオマスの熱量が明らかな場合変更。年間で投入量が変動する場合、最大値を入力</t>
    <rPh sb="6" eb="8">
      <t>ネツリョウ</t>
    </rPh>
    <rPh sb="9" eb="10">
      <t>アキ</t>
    </rPh>
    <rPh sb="13" eb="15">
      <t>バアイ</t>
    </rPh>
    <rPh sb="15" eb="17">
      <t>ヘンコウ</t>
    </rPh>
    <rPh sb="18" eb="20">
      <t>ネンカン</t>
    </rPh>
    <rPh sb="21" eb="24">
      <t>トウニュウリョウ</t>
    </rPh>
    <rPh sb="25" eb="27">
      <t>ヘンドウ</t>
    </rPh>
    <rPh sb="29" eb="31">
      <t>バアイ</t>
    </rPh>
    <rPh sb="32" eb="35">
      <t>サイダイチ</t>
    </rPh>
    <rPh sb="36" eb="38">
      <t>ニュウリョク</t>
    </rPh>
    <phoneticPr fontId="5"/>
  </si>
  <si>
    <t>電力</t>
    <rPh sb="0" eb="2">
      <t>デンリョク</t>
    </rPh>
    <phoneticPr fontId="5"/>
  </si>
  <si>
    <t>　売電価格</t>
    <rPh sb="1" eb="3">
      <t>バイデン</t>
    </rPh>
    <rPh sb="3" eb="5">
      <t>カカク</t>
    </rPh>
    <phoneticPr fontId="4"/>
  </si>
  <si>
    <t>熱</t>
    <rPh sb="0" eb="1">
      <t>ネツ</t>
    </rPh>
    <phoneticPr fontId="5"/>
  </si>
  <si>
    <t>稼働条件</t>
    <rPh sb="0" eb="2">
      <t>カドウ</t>
    </rPh>
    <rPh sb="2" eb="4">
      <t>ジョウケン</t>
    </rPh>
    <phoneticPr fontId="5"/>
  </si>
  <si>
    <t>　年間熱出力可能量</t>
    <rPh sb="1" eb="3">
      <t>ネンカン</t>
    </rPh>
    <rPh sb="3" eb="4">
      <t>ネツ</t>
    </rPh>
    <rPh sb="4" eb="6">
      <t>シュツリョク</t>
    </rPh>
    <rPh sb="6" eb="8">
      <t>カノウ</t>
    </rPh>
    <rPh sb="8" eb="9">
      <t>リョウ</t>
    </rPh>
    <phoneticPr fontId="4"/>
  </si>
  <si>
    <t>　熱販売価格</t>
    <rPh sb="1" eb="2">
      <t>ネツ</t>
    </rPh>
    <rPh sb="2" eb="4">
      <t>ハンバイ</t>
    </rPh>
    <rPh sb="4" eb="6">
      <t>カカク</t>
    </rPh>
    <phoneticPr fontId="4"/>
  </si>
  <si>
    <t>　年間稼働日数</t>
    <rPh sb="1" eb="3">
      <t>ネンカン</t>
    </rPh>
    <rPh sb="3" eb="5">
      <t>カドウ</t>
    </rPh>
    <rPh sb="5" eb="7">
      <t>ニッスウ</t>
    </rPh>
    <phoneticPr fontId="4"/>
  </si>
  <si>
    <t>　1日の稼働時間</t>
    <rPh sb="1" eb="3">
      <t>ツイタチ</t>
    </rPh>
    <rPh sb="4" eb="6">
      <t>カドウ</t>
    </rPh>
    <rPh sb="6" eb="8">
      <t>ジカン</t>
    </rPh>
    <phoneticPr fontId="4"/>
  </si>
  <si>
    <t>　年間稼働時間</t>
    <rPh sb="1" eb="3">
      <t>ネンカン</t>
    </rPh>
    <rPh sb="3" eb="7">
      <t>カドウジカン</t>
    </rPh>
    <phoneticPr fontId="4"/>
  </si>
  <si>
    <t>1日あたり最大調達量</t>
    <rPh sb="1" eb="2">
      <t>ニチ</t>
    </rPh>
    <rPh sb="5" eb="7">
      <t>サイダイ</t>
    </rPh>
    <rPh sb="7" eb="9">
      <t>チョウタツ</t>
    </rPh>
    <rPh sb="9" eb="10">
      <t>リョウ</t>
    </rPh>
    <phoneticPr fontId="4"/>
  </si>
  <si>
    <t>年間合計からの日量平均値</t>
    <rPh sb="0" eb="2">
      <t>ネンカン</t>
    </rPh>
    <rPh sb="2" eb="4">
      <t>ゴウケイ</t>
    </rPh>
    <rPh sb="7" eb="9">
      <t>ニチリョウ</t>
    </rPh>
    <rPh sb="9" eb="12">
      <t>ヘイキンチ</t>
    </rPh>
    <phoneticPr fontId="4"/>
  </si>
  <si>
    <t>バイオマス原料調達量の季節変動考慮</t>
    <rPh sb="5" eb="7">
      <t>ゲンリョウ</t>
    </rPh>
    <rPh sb="7" eb="9">
      <t>チョウタツ</t>
    </rPh>
    <rPh sb="9" eb="10">
      <t>リョウ</t>
    </rPh>
    <rPh sb="11" eb="15">
      <t>キセツヘンドウ</t>
    </rPh>
    <rPh sb="15" eb="17">
      <t>コウリョ</t>
    </rPh>
    <phoneticPr fontId="5"/>
  </si>
  <si>
    <t>1日あたりの調達量※1</t>
    <rPh sb="1" eb="2">
      <t>ニチ</t>
    </rPh>
    <rPh sb="6" eb="8">
      <t>チョウタツ</t>
    </rPh>
    <rPh sb="8" eb="9">
      <t>リョウ</t>
    </rPh>
    <phoneticPr fontId="4"/>
  </si>
  <si>
    <t>含水率※2</t>
    <rPh sb="0" eb="3">
      <t>ガンスイリツ</t>
    </rPh>
    <phoneticPr fontId="4"/>
  </si>
  <si>
    <r>
      <rPr>
        <sz val="14"/>
        <color theme="1"/>
        <rFont val="ＭＳ Ｐゴシック"/>
        <family val="3"/>
        <charset val="128"/>
      </rPr>
      <t>※</t>
    </r>
    <r>
      <rPr>
        <sz val="14"/>
        <color theme="1"/>
        <rFont val="Arial"/>
        <family val="2"/>
      </rPr>
      <t>2</t>
    </r>
    <r>
      <rPr>
        <sz val="14"/>
        <color theme="1"/>
        <rFont val="ＭＳ Ｐゴシック"/>
        <family val="3"/>
        <charset val="128"/>
      </rPr>
      <t>木材全体の重量に対する水分の割合</t>
    </r>
    <rPh sb="2" eb="4">
      <t>モクザイ</t>
    </rPh>
    <rPh sb="4" eb="6">
      <t>ゼンタイ</t>
    </rPh>
    <rPh sb="7" eb="9">
      <t>ジュウリョウ</t>
    </rPh>
    <rPh sb="10" eb="11">
      <t>タイ</t>
    </rPh>
    <rPh sb="13" eb="15">
      <t>スイブン</t>
    </rPh>
    <rPh sb="16" eb="18">
      <t>ワリアイ</t>
    </rPh>
    <phoneticPr fontId="4"/>
  </si>
  <si>
    <t>地域内事業者収益</t>
    <rPh sb="0" eb="1">
      <t>チ</t>
    </rPh>
    <rPh sb="6" eb="8">
      <t>シュウエキ</t>
    </rPh>
    <phoneticPr fontId="4"/>
  </si>
  <si>
    <t>バイオマス原料の想定（本項目の入力で計算結果が出力されます。詳細はSTEP２で変更）</t>
    <rPh sb="5" eb="7">
      <t>ゲンリョウ</t>
    </rPh>
    <rPh sb="8" eb="10">
      <t>ソウテイ</t>
    </rPh>
    <rPh sb="11" eb="14">
      <t>ホンコウモク</t>
    </rPh>
    <rPh sb="15" eb="17">
      <t>ニュウリョク</t>
    </rPh>
    <rPh sb="18" eb="20">
      <t>ケイサン</t>
    </rPh>
    <rPh sb="20" eb="22">
      <t>ケッカ</t>
    </rPh>
    <rPh sb="23" eb="25">
      <t>シュツリョク</t>
    </rPh>
    <rPh sb="30" eb="32">
      <t>ショウサイ</t>
    </rPh>
    <rPh sb="39" eb="41">
      <t>ヘンコウ</t>
    </rPh>
    <phoneticPr fontId="5"/>
  </si>
  <si>
    <t>○単年度収支（20年間合計値を平均）</t>
    <rPh sb="1" eb="4">
      <t>タンネンド</t>
    </rPh>
    <rPh sb="4" eb="6">
      <t>シュウシ</t>
    </rPh>
    <rPh sb="9" eb="11">
      <t>ネンカン</t>
    </rPh>
    <rPh sb="11" eb="14">
      <t>ゴウケイチ</t>
    </rPh>
    <rPh sb="15" eb="17">
      <t>ヘイキン</t>
    </rPh>
    <phoneticPr fontId="5"/>
  </si>
  <si>
    <t>　　　　　※廃棄物として委託処理をしている場合は負値となる</t>
    <rPh sb="6" eb="9">
      <t>ハイキブツ</t>
    </rPh>
    <rPh sb="12" eb="14">
      <t>イタク</t>
    </rPh>
    <rPh sb="14" eb="16">
      <t>ショリ</t>
    </rPh>
    <rPh sb="21" eb="23">
      <t>バアイ</t>
    </rPh>
    <rPh sb="24" eb="25">
      <t>フ</t>
    </rPh>
    <rPh sb="25" eb="26">
      <t>アタイ</t>
    </rPh>
    <phoneticPr fontId="5"/>
  </si>
  <si>
    <t>バイオマス販売収益総額</t>
    <rPh sb="5" eb="7">
      <t>ハンバイ</t>
    </rPh>
    <rPh sb="7" eb="9">
      <t>シュウエキ</t>
    </rPh>
    <rPh sb="9" eb="11">
      <t>ソウガク</t>
    </rPh>
    <phoneticPr fontId="4"/>
  </si>
  <si>
    <t>＜入力するセルについて＞</t>
    <rPh sb="1" eb="3">
      <t>ニュウリョク</t>
    </rPh>
    <phoneticPr fontId="4"/>
  </si>
  <si>
    <t>（算出式）熱出力✕年間稼働時間</t>
    <rPh sb="1" eb="3">
      <t>サンシュツ</t>
    </rPh>
    <rPh sb="3" eb="4">
      <t>シキ</t>
    </rPh>
    <rPh sb="5" eb="8">
      <t>ネツシュツリョク</t>
    </rPh>
    <rPh sb="9" eb="11">
      <t>ネンカン</t>
    </rPh>
    <rPh sb="11" eb="15">
      <t>カドウジカン</t>
    </rPh>
    <phoneticPr fontId="4"/>
  </si>
  <si>
    <t>　年間売電量割合</t>
    <rPh sb="1" eb="3">
      <t>ネンカン</t>
    </rPh>
    <rPh sb="3" eb="5">
      <t>バイデン</t>
    </rPh>
    <rPh sb="5" eb="6">
      <t>リョウ</t>
    </rPh>
    <rPh sb="6" eb="8">
      <t>ワリアイ</t>
    </rPh>
    <phoneticPr fontId="4"/>
  </si>
  <si>
    <t>（算出式）発電出力✕年間稼働時間</t>
    <rPh sb="5" eb="9">
      <t>ハツデンシュツリョク</t>
    </rPh>
    <rPh sb="10" eb="12">
      <t>ネンカン</t>
    </rPh>
    <rPh sb="12" eb="16">
      <t>カドウジカン</t>
    </rPh>
    <phoneticPr fontId="4"/>
  </si>
  <si>
    <t>熱利用想定</t>
    <rPh sb="0" eb="3">
      <t>ネツリヨウ</t>
    </rPh>
    <rPh sb="3" eb="5">
      <t>ソウテイ</t>
    </rPh>
    <phoneticPr fontId="5"/>
  </si>
  <si>
    <t>想定する熱出力（kW）</t>
    <rPh sb="0" eb="2">
      <t>ソウテイ</t>
    </rPh>
    <rPh sb="4" eb="5">
      <t>ネツ</t>
    </rPh>
    <rPh sb="5" eb="7">
      <t>シュツリョク</t>
    </rPh>
    <rPh sb="7" eb="8">
      <t>デンリョウ</t>
    </rPh>
    <phoneticPr fontId="5"/>
  </si>
  <si>
    <t>熱出力から試算した熱電併給時の発電出力</t>
    <rPh sb="0" eb="1">
      <t>ネツ</t>
    </rPh>
    <rPh sb="15" eb="17">
      <t>ハツデン</t>
    </rPh>
    <phoneticPr fontId="5"/>
  </si>
  <si>
    <t>kW</t>
    <phoneticPr fontId="5"/>
  </si>
  <si>
    <t>得られる熱の種類</t>
    <rPh sb="0" eb="1">
      <t>エ</t>
    </rPh>
    <rPh sb="4" eb="5">
      <t>ネツ</t>
    </rPh>
    <rPh sb="6" eb="8">
      <t>シュルイ</t>
    </rPh>
    <phoneticPr fontId="5"/>
  </si>
  <si>
    <t>＜地域経済分析における入力値の考え方＞</t>
    <rPh sb="1" eb="5">
      <t>チイキケイザイ</t>
    </rPh>
    <rPh sb="5" eb="7">
      <t>ブンセキ</t>
    </rPh>
    <rPh sb="11" eb="14">
      <t>ニュウリョクチ</t>
    </rPh>
    <rPh sb="15" eb="16">
      <t>カンガ</t>
    </rPh>
    <rPh sb="17" eb="18">
      <t>カタ</t>
    </rPh>
    <phoneticPr fontId="4"/>
  </si>
  <si>
    <t>※BTG・ガス化の場合はそれぞれの出力から必要量が大きい方を出力</t>
    <rPh sb="7" eb="8">
      <t>カ</t>
    </rPh>
    <phoneticPr fontId="5"/>
  </si>
  <si>
    <t>初期投資支出ー地域内経済効果を踏まえた累積収支</t>
    <rPh sb="0" eb="4">
      <t>ショキトウシ</t>
    </rPh>
    <rPh sb="4" eb="6">
      <t>シシュツ</t>
    </rPh>
    <rPh sb="7" eb="10">
      <t>チイキナイ</t>
    </rPh>
    <rPh sb="10" eb="14">
      <t>ケイザイコウカ</t>
    </rPh>
    <rPh sb="15" eb="16">
      <t>フ</t>
    </rPh>
    <rPh sb="19" eb="21">
      <t>ルイセキ</t>
    </rPh>
    <rPh sb="21" eb="23">
      <t>シュウシ</t>
    </rPh>
    <phoneticPr fontId="4"/>
  </si>
  <si>
    <t>得られる温水の特性、消費者によって変動する</t>
    <rPh sb="0" eb="1">
      <t>エ</t>
    </rPh>
    <rPh sb="4" eb="6">
      <t>オンスイ</t>
    </rPh>
    <rPh sb="7" eb="9">
      <t>トクセイ</t>
    </rPh>
    <rPh sb="10" eb="13">
      <t>ショウヒシャ</t>
    </rPh>
    <rPh sb="17" eb="19">
      <t>ヘンドウ</t>
    </rPh>
    <phoneticPr fontId="5"/>
  </si>
  <si>
    <t>想定するエネルギー消費者によって変動する</t>
    <rPh sb="0" eb="2">
      <t>ソウテイ</t>
    </rPh>
    <rPh sb="9" eb="12">
      <t>ショウヒシャ</t>
    </rPh>
    <rPh sb="16" eb="18">
      <t>ヘンドウ</t>
    </rPh>
    <phoneticPr fontId="5"/>
  </si>
  <si>
    <t>最大投入量</t>
    <rPh sb="0" eb="2">
      <t>サイダイ</t>
    </rPh>
    <rPh sb="2" eb="5">
      <t>トウニュウリョウ</t>
    </rPh>
    <phoneticPr fontId="4"/>
  </si>
  <si>
    <t>　年間熱出力量</t>
    <rPh sb="1" eb="3">
      <t>ネンカン</t>
    </rPh>
    <rPh sb="3" eb="4">
      <t>ネツ</t>
    </rPh>
    <rPh sb="6" eb="7">
      <t>リョウ</t>
    </rPh>
    <phoneticPr fontId="4"/>
  </si>
  <si>
    <t>熱変換効率</t>
    <rPh sb="0" eb="1">
      <t>ネツ</t>
    </rPh>
    <rPh sb="1" eb="3">
      <t>ヘンカン</t>
    </rPh>
    <rPh sb="3" eb="5">
      <t>コウリツ</t>
    </rPh>
    <phoneticPr fontId="4"/>
  </si>
  <si>
    <t>バイオマス熱投入量（最大）</t>
    <rPh sb="5" eb="6">
      <t>ネツ</t>
    </rPh>
    <rPh sb="6" eb="8">
      <t>トウニュウ</t>
    </rPh>
    <rPh sb="8" eb="9">
      <t>リョウ</t>
    </rPh>
    <rPh sb="10" eb="12">
      <t>サイダイ</t>
    </rPh>
    <phoneticPr fontId="4"/>
  </si>
  <si>
    <t>バイオマス熱投入量（平均）</t>
    <rPh sb="5" eb="6">
      <t>ネツ</t>
    </rPh>
    <rPh sb="6" eb="8">
      <t>トウニュウ</t>
    </rPh>
    <rPh sb="8" eb="9">
      <t>リョウ</t>
    </rPh>
    <rPh sb="10" eb="12">
      <t>ヘイキン</t>
    </rPh>
    <phoneticPr fontId="4"/>
  </si>
  <si>
    <t>バイオマスの熱量が明らかな場合変更。年間で投入量が変動する場合、平均値を入力</t>
    <rPh sb="6" eb="8">
      <t>ネツリョウ</t>
    </rPh>
    <rPh sb="9" eb="10">
      <t>アキ</t>
    </rPh>
    <rPh sb="13" eb="15">
      <t>バアイ</t>
    </rPh>
    <rPh sb="15" eb="17">
      <t>ヘンコウ</t>
    </rPh>
    <rPh sb="18" eb="20">
      <t>ネン</t>
    </rPh>
    <rPh sb="32" eb="35">
      <t>ヘイキンチ</t>
    </rPh>
    <phoneticPr fontId="5"/>
  </si>
  <si>
    <t>エネルギー出力（時間あたり）</t>
    <rPh sb="5" eb="7">
      <t>シュツリョク</t>
    </rPh>
    <rPh sb="8" eb="10">
      <t>ジカン</t>
    </rPh>
    <phoneticPr fontId="4"/>
  </si>
  <si>
    <t>　年間発電可能量</t>
    <rPh sb="1" eb="3">
      <t>ネンカン</t>
    </rPh>
    <rPh sb="3" eb="5">
      <t>ハツデン</t>
    </rPh>
    <rPh sb="5" eb="8">
      <t>カノウリョウ</t>
    </rPh>
    <phoneticPr fontId="4"/>
  </si>
  <si>
    <t>（算出式）年間発電可能量×（バイオマス熱投入量（平均）/バイオマス熱投入量（最大））</t>
    <rPh sb="5" eb="7">
      <t>ネンカン</t>
    </rPh>
    <rPh sb="7" eb="9">
      <t>ハツデン</t>
    </rPh>
    <rPh sb="9" eb="11">
      <t>カノウ</t>
    </rPh>
    <rPh sb="11" eb="12">
      <t>リョウ</t>
    </rPh>
    <rPh sb="19" eb="20">
      <t>ネツ</t>
    </rPh>
    <rPh sb="20" eb="23">
      <t>トウニュウリョウ</t>
    </rPh>
    <rPh sb="24" eb="26">
      <t>ヘイキン</t>
    </rPh>
    <rPh sb="33" eb="37">
      <t>ネ</t>
    </rPh>
    <rPh sb="38" eb="40">
      <t>サイダイ</t>
    </rPh>
    <phoneticPr fontId="4"/>
  </si>
  <si>
    <t>（算出式）年間熱出力可能量×（バイオマス熱投入量（平均）/バイオマス熱投入量（最大））</t>
    <rPh sb="5" eb="7">
      <t>ネンカン</t>
    </rPh>
    <rPh sb="7" eb="8">
      <t>ネツ</t>
    </rPh>
    <rPh sb="8" eb="10">
      <t>シュツリョク</t>
    </rPh>
    <rPh sb="10" eb="12">
      <t>カノウ</t>
    </rPh>
    <rPh sb="12" eb="13">
      <t>リョウ</t>
    </rPh>
    <rPh sb="20" eb="21">
      <t>ネツ</t>
    </rPh>
    <rPh sb="21" eb="24">
      <t>トウニュウリョウ</t>
    </rPh>
    <rPh sb="25" eb="27">
      <t>ヘイキン</t>
    </rPh>
    <rPh sb="34" eb="38">
      <t>ネ</t>
    </rPh>
    <rPh sb="39" eb="41">
      <t>サイダイ</t>
    </rPh>
    <phoneticPr fontId="4"/>
  </si>
  <si>
    <t>年間発電量に対する売電量の割合</t>
    <rPh sb="0" eb="2">
      <t>ネンカン</t>
    </rPh>
    <rPh sb="2" eb="4">
      <t>ハツデン</t>
    </rPh>
    <rPh sb="4" eb="5">
      <t>リョウ</t>
    </rPh>
    <rPh sb="6" eb="7">
      <t>タイ</t>
    </rPh>
    <rPh sb="9" eb="11">
      <t>バイデン</t>
    </rPh>
    <rPh sb="11" eb="12">
      <t>リョウ</t>
    </rPh>
    <rPh sb="13" eb="15">
      <t>ワリアイ</t>
    </rPh>
    <phoneticPr fontId="5"/>
  </si>
  <si>
    <t>　年間熱販売量割合</t>
    <rPh sb="1" eb="3">
      <t>ネンカン</t>
    </rPh>
    <rPh sb="3" eb="4">
      <t>ネツ</t>
    </rPh>
    <rPh sb="4" eb="6">
      <t>ハンバイ</t>
    </rPh>
    <rPh sb="6" eb="7">
      <t>リョウ</t>
    </rPh>
    <rPh sb="7" eb="9">
      <t>ワリアイ</t>
    </rPh>
    <phoneticPr fontId="4"/>
  </si>
  <si>
    <t>年間熱出力量に対する年間販売熱量の割合</t>
    <rPh sb="0" eb="2">
      <t>ネンカン</t>
    </rPh>
    <rPh sb="2" eb="3">
      <t>ネツ</t>
    </rPh>
    <rPh sb="3" eb="5">
      <t>シュツリョク</t>
    </rPh>
    <rPh sb="5" eb="6">
      <t>リョウ</t>
    </rPh>
    <rPh sb="7" eb="8">
      <t>タイ</t>
    </rPh>
    <rPh sb="10" eb="12">
      <t>ネンカン</t>
    </rPh>
    <rPh sb="12" eb="14">
      <t>ハンバイ</t>
    </rPh>
    <rPh sb="14" eb="16">
      <t>ネツリョウ</t>
    </rPh>
    <rPh sb="17" eb="19">
      <t>ワリアイ</t>
    </rPh>
    <phoneticPr fontId="5"/>
  </si>
  <si>
    <t>地域経済効果（バイオマス事業者の利益を除く）</t>
    <rPh sb="0" eb="6">
      <t>チイキケイ</t>
    </rPh>
    <rPh sb="12" eb="15">
      <t>ジギョウシャ</t>
    </rPh>
    <rPh sb="16" eb="18">
      <t>リエキ</t>
    </rPh>
    <rPh sb="19" eb="20">
      <t>ノゾ</t>
    </rPh>
    <phoneticPr fontId="4"/>
  </si>
  <si>
    <t>※設備費用・運転維持費用は各バイオマス事業案件の附帯設備によって大きく変動することに注意</t>
    <phoneticPr fontId="5"/>
  </si>
  <si>
    <t>○20年間のキャッシュフロー</t>
    <rPh sb="3" eb="4">
      <t>ネン</t>
    </rPh>
    <rPh sb="4" eb="5">
      <t>ケン</t>
    </rPh>
    <phoneticPr fontId="5"/>
  </si>
  <si>
    <t>　　STEP2までの事業利益に地域内スポンサーの出資比率を乗算したもの。バイオマス事業の実施にあたり地域外のスポンサーからの出資が多い場合、</t>
    <rPh sb="10" eb="12">
      <t>ジギョウ</t>
    </rPh>
    <rPh sb="12" eb="14">
      <t>リエキ</t>
    </rPh>
    <rPh sb="15" eb="18">
      <t>チイキナイ</t>
    </rPh>
    <rPh sb="24" eb="28">
      <t>シュッシヒリツ</t>
    </rPh>
    <rPh sb="29" eb="31">
      <t>ジョウサン</t>
    </rPh>
    <rPh sb="41" eb="43">
      <t>ジギョウ</t>
    </rPh>
    <rPh sb="44" eb="46">
      <t>ジッシ</t>
    </rPh>
    <rPh sb="50" eb="53">
      <t>チイキガイ</t>
    </rPh>
    <rPh sb="62" eb="64">
      <t>シュッシ</t>
    </rPh>
    <rPh sb="65" eb="66">
      <t>オオ</t>
    </rPh>
    <rPh sb="67" eb="69">
      <t>バアイ</t>
    </rPh>
    <phoneticPr fontId="4"/>
  </si>
  <si>
    <t xml:space="preserve"> ①バイオマス事業者（地域内配当）</t>
    <rPh sb="7" eb="10">
      <t>ジギョウシャ</t>
    </rPh>
    <rPh sb="11" eb="14">
      <t>チイキナイ</t>
    </rPh>
    <rPh sb="14" eb="16">
      <t>ハイトウ</t>
    </rPh>
    <phoneticPr fontId="4"/>
  </si>
  <si>
    <t xml:space="preserve"> ③運転・維持事業者利益</t>
    <rPh sb="2" eb="4">
      <t>ウンテン</t>
    </rPh>
    <rPh sb="5" eb="7">
      <t>イジ</t>
    </rPh>
    <rPh sb="7" eb="10">
      <t>ジギョウシャ</t>
    </rPh>
    <rPh sb="10" eb="12">
      <t>リエキ</t>
    </rPh>
    <phoneticPr fontId="4"/>
  </si>
  <si>
    <t xml:space="preserve"> ④雇用効果（可処分所得）</t>
    <rPh sb="2" eb="4">
      <t>コヨウ</t>
    </rPh>
    <rPh sb="4" eb="6">
      <t>コウカ</t>
    </rPh>
    <rPh sb="7" eb="12">
      <t>カショブンショトク</t>
    </rPh>
    <phoneticPr fontId="4"/>
  </si>
  <si>
    <t xml:space="preserve"> ⑤地方税</t>
    <rPh sb="2" eb="5">
      <t>チホウゼイ</t>
    </rPh>
    <phoneticPr fontId="4"/>
  </si>
  <si>
    <t xml:space="preserve"> ⑥金融機関利息収入</t>
    <rPh sb="2" eb="6">
      <t>キンユウキカン</t>
    </rPh>
    <rPh sb="6" eb="8">
      <t>リソク</t>
    </rPh>
    <rPh sb="8" eb="10">
      <t>シュウニュウ</t>
    </rPh>
    <phoneticPr fontId="4"/>
  </si>
  <si>
    <t xml:space="preserve"> ⑦バイオマス原料提供者経済効果</t>
    <rPh sb="7" eb="9">
      <t>ゲンリョウ</t>
    </rPh>
    <rPh sb="9" eb="11">
      <t>テイキョウ</t>
    </rPh>
    <rPh sb="11" eb="12">
      <t>シャ</t>
    </rPh>
    <rPh sb="12" eb="16">
      <t>ケイザイコウカ</t>
    </rPh>
    <phoneticPr fontId="4"/>
  </si>
  <si>
    <t xml:space="preserve"> ⑧エネルギー費用削減効果</t>
    <rPh sb="7" eb="11">
      <t>ヒヨウサクゲン</t>
    </rPh>
    <rPh sb="11" eb="13">
      <t>コウカ</t>
    </rPh>
    <phoneticPr fontId="4"/>
  </si>
  <si>
    <t>①バイオマス事業利益
の地域内配当分</t>
    <rPh sb="8" eb="10">
      <t>リエキ</t>
    </rPh>
    <rPh sb="12" eb="15">
      <t>チイキナイ</t>
    </rPh>
    <rPh sb="15" eb="18">
      <t>ハイトウブン</t>
    </rPh>
    <phoneticPr fontId="4"/>
  </si>
  <si>
    <t>②建設関連の
地域内事業者利益</t>
    <phoneticPr fontId="5"/>
  </si>
  <si>
    <t>③運転・維持関連の
地域内事業者利益</t>
    <phoneticPr fontId="5"/>
  </si>
  <si>
    <t>④雇用効果
（従業員可処分所得）</t>
    <rPh sb="1" eb="3">
      <t>コヨウ</t>
    </rPh>
    <rPh sb="3" eb="5">
      <t>コウカ</t>
    </rPh>
    <rPh sb="7" eb="10">
      <t>ジュウギョウイン</t>
    </rPh>
    <rPh sb="10" eb="15">
      <t>カショブンショトク</t>
    </rPh>
    <phoneticPr fontId="4"/>
  </si>
  <si>
    <t>⑥地域内金融機関
利息収入</t>
    <rPh sb="1" eb="4">
      <t>チイキナイ</t>
    </rPh>
    <rPh sb="4" eb="8">
      <t>キンユウキカン</t>
    </rPh>
    <rPh sb="9" eb="11">
      <t>リソク</t>
    </rPh>
    <rPh sb="11" eb="13">
      <t>シュウニュウ</t>
    </rPh>
    <phoneticPr fontId="4"/>
  </si>
  <si>
    <t>⑧需要家のエネルギー
費用低減効果</t>
    <rPh sb="1" eb="4">
      <t>ジュヨウカ</t>
    </rPh>
    <rPh sb="11" eb="13">
      <t>ヒヨウ</t>
    </rPh>
    <rPh sb="13" eb="17">
      <t>テイゲンコウカ</t>
    </rPh>
    <phoneticPr fontId="4"/>
  </si>
  <si>
    <t>②建設関連の
地域内事業者利益</t>
  </si>
  <si>
    <t>③運転・維持関連の
地域内事業者利益</t>
  </si>
  <si>
    <t>⑦バイオマス原料
提供者経済効果</t>
    <rPh sb="6" eb="8">
      <t>ゲンリョウ</t>
    </rPh>
    <rPh sb="9" eb="12">
      <t>テイキョウシャ</t>
    </rPh>
    <rPh sb="12" eb="16">
      <t>ケイザイコウカ</t>
    </rPh>
    <phoneticPr fontId="4"/>
  </si>
  <si>
    <t>NEDOでは「バイオマスエネルギー導入に係る技術指針・導入要件」の読者を対象に、構想段階において簡易的に事業性および地域経済性を評価頂けるよう開発した「事業性・地域経済性評価ツール」を公開しています。</t>
    <phoneticPr fontId="4"/>
  </si>
  <si>
    <t>事業の検討状況によって「入門編」と「詳細編（本Excelファイル）」がございますので、はじめてバイオマス事業の検討を開始する方は「入門編」、ある程度の事業計画が定まってきた方は「詳細編」をご利用ください。</t>
    <phoneticPr fontId="4"/>
  </si>
  <si>
    <t>＜注意事項＞</t>
    <phoneticPr fontId="4"/>
  </si>
  <si>
    <t>•本ツールの内容の全部又は一部については、私的使用又は引用等著作権法上認められた行為として、適宜の方法により出所を明示することにより、引用・転載複製を行うことが出来ます。</t>
    <phoneticPr fontId="4"/>
  </si>
  <si>
    <t xml:space="preserve"> ただし、NEDO以外の出典元が明記されている場合は、それぞれの著作権者が定める条件に従ってご利用下さい。</t>
    <phoneticPr fontId="4"/>
  </si>
  <si>
    <t>•本ツールを利用して得られた結果について公表する際は、NEDOに報告の上、本ツールを利用したことを明記下さい。</t>
  </si>
  <si>
    <t xml:space="preserve"> また、利用者の利用目的に適合しているとは限りませんので、利用者は自らの責任でご自身の利用目的に適合しているかどうかをご判断ください。</t>
    <phoneticPr fontId="4"/>
  </si>
  <si>
    <t>•本サイトに掲載されている著作物を商業目的で複製する場合は、予めNEDOお問い合せ宛にご連絡下さい。商業目的で複製とは、直接収益を得ることを目的にプログラム著作物を複製して販売すること等を指します。</t>
  </si>
  <si>
    <t>•本ツールの全部又は一部について、NEDOに無断で改変を行うことはできません。</t>
  </si>
  <si>
    <t>•本ツールの情報の利用目的及び利用方法については、利用者の判断と責任に委ねられており、NEDOは一切関与いたしません。</t>
    <phoneticPr fontId="4"/>
  </si>
  <si>
    <t xml:space="preserve"> 事由の如何を問わず、これらを利用することにより生じた利用者又は第三者の損害については、利用者がその全ての責任を負うものとし、NEDOは一切の責任を負いません。</t>
    <phoneticPr fontId="4"/>
  </si>
  <si>
    <t>•本ツールの情報として得られる要素については、事業者の責において最新情報の確認を行うとともに、必要に応じて関係機関への照会、調整をお願いします。</t>
  </si>
  <si>
    <t>•また、本サイトは、予告なしに内容及びURLの変更、削除を行う場合がありますが、予めご了承下さい。</t>
  </si>
  <si>
    <t>https://www.nedo.go.jp/qinf/copyright.htmlからhttps://www.nedo.go.jp/library/biomass_shishin.html</t>
  </si>
  <si>
    <t>なお、地域経済波及効果は法人企業統計を用いた産業連鎖分析を基本として算出しております。（ここでの地域として、都道府県を想定しています）</t>
    <rPh sb="3" eb="7">
      <t>チイキケイザイ</t>
    </rPh>
    <rPh sb="7" eb="11">
      <t>ハキュウコウカ</t>
    </rPh>
    <rPh sb="12" eb="18">
      <t>ホウジンキギョウトウケイ</t>
    </rPh>
    <rPh sb="19" eb="20">
      <t>モチ</t>
    </rPh>
    <rPh sb="22" eb="24">
      <t>サンギョウ</t>
    </rPh>
    <rPh sb="24" eb="26">
      <t>レンサ</t>
    </rPh>
    <rPh sb="26" eb="28">
      <t>ブンセキ</t>
    </rPh>
    <rPh sb="29" eb="31">
      <t>キホン</t>
    </rPh>
    <rPh sb="34" eb="36">
      <t>サンシュツ</t>
    </rPh>
    <rPh sb="48" eb="50">
      <t>チイキ</t>
    </rPh>
    <rPh sb="54" eb="58">
      <t>トドウフケン</t>
    </rPh>
    <rPh sb="59" eb="61">
      <t>ソウテイ</t>
    </rPh>
    <phoneticPr fontId="4"/>
  </si>
  <si>
    <t>産業連鎖分析については「バイオマスエネルギー地域自立システムの導入要件・技術指針 第5版　実践編（木質系バイオマス）」の第１部４章4.2項を参照ください。</t>
    <rPh sb="0" eb="2">
      <t>サンギョウ</t>
    </rPh>
    <rPh sb="2" eb="4">
      <t>レンサ</t>
    </rPh>
    <rPh sb="4" eb="6">
      <t>ブンセキ</t>
    </rPh>
    <rPh sb="22" eb="24">
      <t>チイキ</t>
    </rPh>
    <rPh sb="31" eb="33">
      <t>ドウニュウ</t>
    </rPh>
    <rPh sb="33" eb="35">
      <t>ヨウケン</t>
    </rPh>
    <rPh sb="36" eb="38">
      <t>ギジュツ</t>
    </rPh>
    <rPh sb="38" eb="40">
      <t>シシン</t>
    </rPh>
    <rPh sb="41" eb="42">
      <t>ダイ</t>
    </rPh>
    <rPh sb="43" eb="44">
      <t>ハン</t>
    </rPh>
    <rPh sb="45" eb="48">
      <t>ジッセンヘン</t>
    </rPh>
    <rPh sb="49" eb="51">
      <t>モクシツ</t>
    </rPh>
    <rPh sb="51" eb="52">
      <t>ケイ</t>
    </rPh>
    <rPh sb="60" eb="61">
      <t>ダイ</t>
    </rPh>
    <rPh sb="62" eb="63">
      <t>ブ</t>
    </rPh>
    <rPh sb="64" eb="65">
      <t>ショウ</t>
    </rPh>
    <rPh sb="68" eb="69">
      <t>コウ</t>
    </rPh>
    <rPh sb="70" eb="72">
      <t>サンショウ</t>
    </rPh>
    <phoneticPr fontId="4"/>
  </si>
  <si>
    <t>　年間発電量（発電端）</t>
    <rPh sb="1" eb="3">
      <t>ネンカン</t>
    </rPh>
    <rPh sb="3" eb="5">
      <t>ハツデン</t>
    </rPh>
    <rPh sb="5" eb="6">
      <t>リョウ</t>
    </rPh>
    <rPh sb="7" eb="9">
      <t>ハツデン</t>
    </rPh>
    <rPh sb="9" eb="10">
      <t>ハジ</t>
    </rPh>
    <phoneticPr fontId="4"/>
  </si>
  <si>
    <t>＜デフォルト値の想定＞</t>
    <rPh sb="6" eb="7">
      <t>チ</t>
    </rPh>
    <rPh sb="8" eb="10">
      <t>ソウテイ</t>
    </rPh>
    <phoneticPr fontId="4"/>
  </si>
  <si>
    <t>GJ</t>
    <phoneticPr fontId="4"/>
  </si>
  <si>
    <t>○売電価格は非FITで近隣の需要家への売電を想定(市場価格よりも売電価格は大きい想定）しており、一部売熱を行う想定としております（C44、C48、C49セル）</t>
    <rPh sb="1" eb="3">
      <t>バイデン</t>
    </rPh>
    <rPh sb="3" eb="5">
      <t>カカク</t>
    </rPh>
    <rPh sb="6" eb="7">
      <t>ヒ</t>
    </rPh>
    <rPh sb="11" eb="13">
      <t>キンリン</t>
    </rPh>
    <rPh sb="14" eb="17">
      <t>ジュヨウカ</t>
    </rPh>
    <rPh sb="19" eb="21">
      <t>バイデン</t>
    </rPh>
    <rPh sb="22" eb="24">
      <t>ソウテイ</t>
    </rPh>
    <rPh sb="25" eb="29">
      <t>シジョウカカク</t>
    </rPh>
    <rPh sb="32" eb="34">
      <t>バイデン</t>
    </rPh>
    <rPh sb="34" eb="36">
      <t>カカク</t>
    </rPh>
    <rPh sb="37" eb="38">
      <t>オオ</t>
    </rPh>
    <rPh sb="40" eb="42">
      <t>ソウテイ</t>
    </rPh>
    <rPh sb="48" eb="50">
      <t>イチブ</t>
    </rPh>
    <rPh sb="50" eb="52">
      <t>バイネツ</t>
    </rPh>
    <rPh sb="53" eb="54">
      <t>オコナ</t>
    </rPh>
    <rPh sb="55" eb="57">
      <t>ソウテイ</t>
    </rPh>
    <phoneticPr fontId="5"/>
  </si>
  <si>
    <t>○助成金は考慮しておりません（L60セル）</t>
    <rPh sb="1" eb="4">
      <t>ジョセイキン</t>
    </rPh>
    <rPh sb="5" eb="7">
      <t>コウリョ</t>
    </rPh>
    <phoneticPr fontId="5"/>
  </si>
  <si>
    <t>（参考）年間調達量</t>
    <rPh sb="1" eb="3">
      <t>サンコウ</t>
    </rPh>
    <rPh sb="4" eb="6">
      <t>ネンカン</t>
    </rPh>
    <rPh sb="6" eb="8">
      <t>チョウタツ</t>
    </rPh>
    <rPh sb="8" eb="9">
      <t>リョウ</t>
    </rPh>
    <phoneticPr fontId="4"/>
  </si>
  <si>
    <t>ｔ/年</t>
    <phoneticPr fontId="4"/>
  </si>
  <si>
    <r>
      <rPr>
        <sz val="14"/>
        <color theme="1"/>
        <rFont val="ＭＳ Ｐゴシック"/>
        <family val="3"/>
        <charset val="128"/>
      </rPr>
      <t>ｔ</t>
    </r>
    <r>
      <rPr>
        <sz val="14"/>
        <color theme="1"/>
        <rFont val="Arial"/>
        <family val="2"/>
      </rPr>
      <t>/</t>
    </r>
    <r>
      <rPr>
        <sz val="14"/>
        <color theme="1"/>
        <rFont val="ＭＳ Ｐゴシック"/>
        <family val="3"/>
        <charset val="128"/>
      </rPr>
      <t>年</t>
    </r>
    <rPh sb="2" eb="3">
      <t>ネン</t>
    </rPh>
    <phoneticPr fontId="4"/>
  </si>
  <si>
    <t>→　事業開始以前に原料・燃料供給業者（林業者など）が、いくらで当該原料・燃料を販売していたか（廃棄物として委託処理をしていた場合は負の値を入力）</t>
    <rPh sb="2" eb="4">
      <t>ジギョウ</t>
    </rPh>
    <rPh sb="4" eb="6">
      <t>カイシ</t>
    </rPh>
    <rPh sb="6" eb="8">
      <t>イゼン</t>
    </rPh>
    <rPh sb="7" eb="8">
      <t>マエ</t>
    </rPh>
    <rPh sb="9" eb="11">
      <t>ゲンリョウ</t>
    </rPh>
    <rPh sb="12" eb="14">
      <t>ネンリョウ</t>
    </rPh>
    <rPh sb="14" eb="16">
      <t>キョウキュウ</t>
    </rPh>
    <rPh sb="16" eb="18">
      <t>ギョウシャ</t>
    </rPh>
    <rPh sb="19" eb="21">
      <t>リンギョウ</t>
    </rPh>
    <rPh sb="21" eb="22">
      <t>シャ</t>
    </rPh>
    <rPh sb="31" eb="33">
      <t>トウガイ</t>
    </rPh>
    <rPh sb="33" eb="35">
      <t>ゲンリョウ</t>
    </rPh>
    <rPh sb="36" eb="38">
      <t>ネンリョウ</t>
    </rPh>
    <rPh sb="39" eb="41">
      <t>ハンバイ</t>
    </rPh>
    <rPh sb="47" eb="50">
      <t>ハイキブツ</t>
    </rPh>
    <rPh sb="53" eb="55">
      <t>イタク</t>
    </rPh>
    <rPh sb="55" eb="57">
      <t>ショリ</t>
    </rPh>
    <rPh sb="62" eb="64">
      <t>バアイ</t>
    </rPh>
    <rPh sb="65" eb="66">
      <t>フ</t>
    </rPh>
    <rPh sb="67" eb="68">
      <t>アタイ</t>
    </rPh>
    <rPh sb="69" eb="71">
      <t>ニュウリョク</t>
    </rPh>
    <phoneticPr fontId="5"/>
  </si>
  <si>
    <t>　　 デフォルト値ではSTEP1で入力した値と同じ値が設定されている。</t>
    <rPh sb="8" eb="9">
      <t>チ</t>
    </rPh>
    <rPh sb="17" eb="19">
      <t>ニュウリョク</t>
    </rPh>
    <rPh sb="21" eb="22">
      <t>アタイ</t>
    </rPh>
    <rPh sb="23" eb="24">
      <t>ドウ</t>
    </rPh>
    <rPh sb="25" eb="26">
      <t>アタイ</t>
    </rPh>
    <rPh sb="27" eb="29">
      <t>セッテイ</t>
    </rPh>
    <phoneticPr fontId="5"/>
  </si>
  <si>
    <t>→　本事業での支出のうち、何％が地域内の事業者に支払われるか</t>
    <rPh sb="2" eb="5">
      <t>ホンジギョウ</t>
    </rPh>
    <rPh sb="7" eb="9">
      <t>シシュツ</t>
    </rPh>
    <rPh sb="13" eb="14">
      <t>ナン</t>
    </rPh>
    <rPh sb="16" eb="18">
      <t>チイキ</t>
    </rPh>
    <rPh sb="18" eb="19">
      <t>ナイ</t>
    </rPh>
    <rPh sb="20" eb="23">
      <t>ジギョウシャ</t>
    </rPh>
    <rPh sb="24" eb="26">
      <t>シハラ</t>
    </rPh>
    <phoneticPr fontId="5"/>
  </si>
  <si>
    <t>　 　デフォルト値では設備費の地域内比率を25%、その他の費目では50%と設定しているが、地域によって大きく異なることに留意されたい。</t>
    <rPh sb="8" eb="9">
      <t>チ</t>
    </rPh>
    <rPh sb="11" eb="14">
      <t>セツビヒ</t>
    </rPh>
    <rPh sb="15" eb="17">
      <t>チイキ</t>
    </rPh>
    <rPh sb="17" eb="18">
      <t>ナイ</t>
    </rPh>
    <rPh sb="18" eb="20">
      <t>ヒリツ</t>
    </rPh>
    <rPh sb="27" eb="28">
      <t>タ</t>
    </rPh>
    <rPh sb="29" eb="31">
      <t>ヒモク</t>
    </rPh>
    <rPh sb="37" eb="39">
      <t>セッテイ</t>
    </rPh>
    <rPh sb="45" eb="47">
      <t>チイキ</t>
    </rPh>
    <rPh sb="51" eb="52">
      <t>オオ</t>
    </rPh>
    <rPh sb="54" eb="55">
      <t>コト</t>
    </rPh>
    <rPh sb="60" eb="62">
      <t>リュウイ</t>
    </rPh>
    <phoneticPr fontId="5"/>
  </si>
  <si>
    <t>→　本事業の資金調達にあたり、地域内のスポンサー（事業実施主体を含む）による出資比率が何％か</t>
    <rPh sb="2" eb="3">
      <t>ホン</t>
    </rPh>
    <rPh sb="3" eb="5">
      <t>ジギョウ</t>
    </rPh>
    <rPh sb="6" eb="8">
      <t>シキン</t>
    </rPh>
    <rPh sb="8" eb="10">
      <t>チョウタツ</t>
    </rPh>
    <rPh sb="15" eb="17">
      <t>チイキ</t>
    </rPh>
    <rPh sb="17" eb="18">
      <t>ナイ</t>
    </rPh>
    <rPh sb="25" eb="27">
      <t>ジギョウ</t>
    </rPh>
    <rPh sb="27" eb="31">
      <t>ジッシシュタイ</t>
    </rPh>
    <rPh sb="32" eb="33">
      <t>フク</t>
    </rPh>
    <rPh sb="38" eb="40">
      <t>シュッシ</t>
    </rPh>
    <rPh sb="40" eb="42">
      <t>ヒリツ</t>
    </rPh>
    <rPh sb="43" eb="44">
      <t>ナン</t>
    </rPh>
    <phoneticPr fontId="5"/>
  </si>
  <si>
    <t>　　 デフォルト値を50%設定しているが、事例により大きく異なることに留意されたい。</t>
    <rPh sb="8" eb="9">
      <t>チ</t>
    </rPh>
    <rPh sb="13" eb="15">
      <t>セッテイ</t>
    </rPh>
    <rPh sb="21" eb="23">
      <t>ジレイ</t>
    </rPh>
    <rPh sb="26" eb="27">
      <t>オオ</t>
    </rPh>
    <rPh sb="29" eb="30">
      <t>コト</t>
    </rPh>
    <rPh sb="35" eb="37">
      <t>リュウイ</t>
    </rPh>
    <phoneticPr fontId="5"/>
  </si>
  <si>
    <t xml:space="preserve">    事業利益が地域内の収益とならない場合がある。</t>
    <phoneticPr fontId="5"/>
  </si>
  <si>
    <t xml:space="preserve"> ②建設関連事業者の事業利益</t>
    <rPh sb="2" eb="4">
      <t>ケンセツ</t>
    </rPh>
    <rPh sb="4" eb="6">
      <t>カンレン</t>
    </rPh>
    <rPh sb="6" eb="9">
      <t>ジギョウシャ</t>
    </rPh>
    <rPh sb="10" eb="14">
      <t>ジギョウリエキ</t>
    </rPh>
    <phoneticPr fontId="4"/>
  </si>
  <si>
    <t>　　通常、海外製設備の場合は地域経済効果に繋がりにくい。工事費用などを地域事業者に委託によって経済効果の増大に寄与できる可能性がある。</t>
    <phoneticPr fontId="4"/>
  </si>
  <si>
    <t>　　STEP2で想定した人件費を除いた運転維持費に地域内事業者への発注割合を乗算した額から、法人企業統計における営業利益の割合を乗算したもの。</t>
    <rPh sb="8" eb="10">
      <t>ソウテイ</t>
    </rPh>
    <rPh sb="12" eb="15">
      <t>ジンケンヒ</t>
    </rPh>
    <rPh sb="16" eb="17">
      <t>ノゾ</t>
    </rPh>
    <rPh sb="19" eb="21">
      <t>ウンテン</t>
    </rPh>
    <rPh sb="21" eb="24">
      <t>イジヒ</t>
    </rPh>
    <rPh sb="25" eb="28">
      <t>チイキナイ</t>
    </rPh>
    <rPh sb="28" eb="31">
      <t>ジギョウシャ</t>
    </rPh>
    <rPh sb="33" eb="35">
      <t>ハッチュウ</t>
    </rPh>
    <rPh sb="35" eb="37">
      <t>ワリアイ</t>
    </rPh>
    <rPh sb="38" eb="40">
      <t>ジョウサン</t>
    </rPh>
    <rPh sb="42" eb="43">
      <t>ガク</t>
    </rPh>
    <rPh sb="46" eb="52">
      <t>ホウジンキギョウトウケイ</t>
    </rPh>
    <rPh sb="56" eb="60">
      <t>エイギョウリエキ</t>
    </rPh>
    <rPh sb="61" eb="63">
      <t>ワリアイ</t>
    </rPh>
    <rPh sb="64" eb="66">
      <t>ジョウサン</t>
    </rPh>
    <phoneticPr fontId="4"/>
  </si>
  <si>
    <t>　　地域外のメーカーの設備を導入する場合、可能な限り運転管理を地域内事業者で内制化できることが経済効果を高めるうえで望ましい。</t>
    <rPh sb="2" eb="4">
      <t>チイキ</t>
    </rPh>
    <rPh sb="4" eb="5">
      <t>ガイ</t>
    </rPh>
    <rPh sb="11" eb="13">
      <t>セツビ</t>
    </rPh>
    <rPh sb="14" eb="16">
      <t>ドウニュウ</t>
    </rPh>
    <rPh sb="18" eb="20">
      <t>バアイ</t>
    </rPh>
    <rPh sb="21" eb="23">
      <t>カノウ</t>
    </rPh>
    <rPh sb="24" eb="25">
      <t>カギ</t>
    </rPh>
    <rPh sb="26" eb="28">
      <t>ウンテン</t>
    </rPh>
    <rPh sb="28" eb="30">
      <t>カンリ</t>
    </rPh>
    <rPh sb="31" eb="33">
      <t>チイキ</t>
    </rPh>
    <rPh sb="33" eb="34">
      <t>ナイ</t>
    </rPh>
    <rPh sb="34" eb="37">
      <t>ジギョウシャ</t>
    </rPh>
    <rPh sb="38" eb="39">
      <t>ウチ</t>
    </rPh>
    <rPh sb="39" eb="41">
      <t>セイカ</t>
    </rPh>
    <rPh sb="47" eb="49">
      <t>ケイザイ</t>
    </rPh>
    <rPh sb="49" eb="51">
      <t>コウカ</t>
    </rPh>
    <rPh sb="52" eb="53">
      <t>タカ</t>
    </rPh>
    <rPh sb="58" eb="59">
      <t>ノゾ</t>
    </rPh>
    <phoneticPr fontId="4"/>
  </si>
  <si>
    <t>　　割合を乗算したものから所得税を減算したもの。他の再エネと比べ、通常バイオマス事業では原料・燃料の調達や保守管理において高い雇用効果が見込める。</t>
    <rPh sb="24" eb="25">
      <t>ホカ</t>
    </rPh>
    <rPh sb="26" eb="27">
      <t>サイ</t>
    </rPh>
    <rPh sb="30" eb="31">
      <t>クラ</t>
    </rPh>
    <rPh sb="33" eb="35">
      <t>ツウジョウ</t>
    </rPh>
    <rPh sb="40" eb="42">
      <t>ジギョウ</t>
    </rPh>
    <rPh sb="44" eb="46">
      <t>ゲンリョウ</t>
    </rPh>
    <rPh sb="47" eb="49">
      <t>ネンリョウ</t>
    </rPh>
    <rPh sb="50" eb="52">
      <t>チョウタツ</t>
    </rPh>
    <rPh sb="53" eb="55">
      <t>ホシュ</t>
    </rPh>
    <rPh sb="55" eb="57">
      <t>カンリ</t>
    </rPh>
    <rPh sb="61" eb="62">
      <t>タカ</t>
    </rPh>
    <rPh sb="63" eb="65">
      <t>コヨウ</t>
    </rPh>
    <rPh sb="65" eb="67">
      <t>コウカ</t>
    </rPh>
    <rPh sb="68" eb="70">
      <t>ミコ</t>
    </rPh>
    <phoneticPr fontId="4"/>
  </si>
  <si>
    <t>　　この収入見込みから助成金を設定し、バイオマス事業の促進を検討することも可能である。</t>
    <rPh sb="37" eb="39">
      <t>カノウ</t>
    </rPh>
    <phoneticPr fontId="4"/>
  </si>
  <si>
    <t>　　事業開始前に同原料が廃棄物処理として廃棄されていた場合、処理委託費用の削減効果も得られる。</t>
    <rPh sb="2" eb="6">
      <t>ジギョウカイシ</t>
    </rPh>
    <rPh sb="6" eb="7">
      <t>マエ</t>
    </rPh>
    <rPh sb="8" eb="11">
      <t>ドウゲンリョウ</t>
    </rPh>
    <rPh sb="12" eb="15">
      <t>ハイキブツ</t>
    </rPh>
    <rPh sb="15" eb="17">
      <t>ショリ</t>
    </rPh>
    <rPh sb="20" eb="22">
      <t>ハイキ</t>
    </rPh>
    <rPh sb="27" eb="29">
      <t>バアイ</t>
    </rPh>
    <rPh sb="30" eb="32">
      <t>ショリ</t>
    </rPh>
    <rPh sb="32" eb="34">
      <t>イタク</t>
    </rPh>
    <rPh sb="34" eb="36">
      <t>ヒヨウ</t>
    </rPh>
    <rPh sb="37" eb="39">
      <t>サクゲン</t>
    </rPh>
    <rPh sb="39" eb="41">
      <t>コウカ</t>
    </rPh>
    <rPh sb="42" eb="43">
      <t>エ</t>
    </rPh>
    <phoneticPr fontId="4"/>
  </si>
  <si>
    <t>　　地域のバイオマス利活用の社会的意義や環境価値を考慮し、排出者が従来価格よりも高値で処理委託する例も存在する。</t>
    <rPh sb="2" eb="4">
      <t>チイキ</t>
    </rPh>
    <rPh sb="10" eb="13">
      <t>リカツヨウ</t>
    </rPh>
    <rPh sb="14" eb="16">
      <t>シャカイ</t>
    </rPh>
    <rPh sb="16" eb="17">
      <t>テキ</t>
    </rPh>
    <rPh sb="17" eb="19">
      <t>イギ</t>
    </rPh>
    <rPh sb="20" eb="22">
      <t>カンキョウ</t>
    </rPh>
    <rPh sb="22" eb="24">
      <t>カチ</t>
    </rPh>
    <rPh sb="25" eb="27">
      <t>コウリョ</t>
    </rPh>
    <rPh sb="29" eb="32">
      <t>ハイシュツシャ</t>
    </rPh>
    <rPh sb="33" eb="35">
      <t>ジュウライ</t>
    </rPh>
    <rPh sb="35" eb="37">
      <t>カカク</t>
    </rPh>
    <rPh sb="40" eb="42">
      <t>タカネ</t>
    </rPh>
    <rPh sb="43" eb="45">
      <t>ショリ</t>
    </rPh>
    <rPh sb="45" eb="47">
      <t>イタク</t>
    </rPh>
    <rPh sb="49" eb="50">
      <t>レイ</t>
    </rPh>
    <rPh sb="51" eb="53">
      <t>ソンザイ</t>
    </rPh>
    <phoneticPr fontId="4"/>
  </si>
  <si>
    <t>　　熱供給事業の場合、バイオマス熱の販売価格を需要家の従来の化石燃料価格と同額とするケースも多いが、環境価値や地域貢献の価値を上乗せする例もある。</t>
    <phoneticPr fontId="4"/>
  </si>
  <si>
    <r>
      <rPr>
        <sz val="14"/>
        <color theme="1"/>
        <rFont val="ＭＳ Ｐゴシック"/>
        <family val="3"/>
        <charset val="128"/>
      </rPr>
      <t>※</t>
    </r>
    <r>
      <rPr>
        <sz val="14"/>
        <color theme="1"/>
        <rFont val="Arial"/>
        <family val="2"/>
      </rPr>
      <t>1</t>
    </r>
    <r>
      <rPr>
        <sz val="14"/>
        <color theme="1"/>
        <rFont val="ＭＳ Ｐゴシック"/>
        <family val="3"/>
        <charset val="128"/>
      </rPr>
      <t>季節変動が見込まれる場合は最大値を入力し、年間の平均値は</t>
    </r>
    <r>
      <rPr>
        <sz val="14"/>
        <color theme="1"/>
        <rFont val="Arial"/>
        <family val="2"/>
      </rPr>
      <t>E58:63</t>
    </r>
    <r>
      <rPr>
        <sz val="14"/>
        <color theme="1"/>
        <rFont val="ＭＳ Ｐゴシック"/>
        <family val="3"/>
        <charset val="128"/>
      </rPr>
      <t>セルに記入</t>
    </r>
    <rPh sb="2" eb="4">
      <t>キセツ</t>
    </rPh>
    <rPh sb="4" eb="6">
      <t>ヘンドウ</t>
    </rPh>
    <rPh sb="7" eb="9">
      <t>ミコ</t>
    </rPh>
    <rPh sb="12" eb="14">
      <t>バアイ</t>
    </rPh>
    <rPh sb="15" eb="18">
      <t>サイダイチ</t>
    </rPh>
    <rPh sb="19" eb="21">
      <t>ニュウリョク</t>
    </rPh>
    <rPh sb="23" eb="25">
      <t>ネンカン</t>
    </rPh>
    <rPh sb="26" eb="29">
      <t>ヘイキンチ</t>
    </rPh>
    <rPh sb="39" eb="41">
      <t>キニュウ</t>
    </rPh>
    <phoneticPr fontId="4"/>
  </si>
  <si>
    <t>年間調達量から算出する場合は、年間調達量÷稼働日数（デフォルト330日）で算出</t>
  </si>
  <si>
    <t>→　電力・熱の販売先となる需要家が、事業開始以前にいくらで電力・熱を購入していたか。デフォルト値ではSTEP2と同じ値が設定されている。</t>
    <rPh sb="2" eb="4">
      <t>デンリョク</t>
    </rPh>
    <rPh sb="5" eb="6">
      <t>ネツ</t>
    </rPh>
    <rPh sb="7" eb="9">
      <t>ハンバイ</t>
    </rPh>
    <rPh sb="9" eb="10">
      <t>サキ</t>
    </rPh>
    <rPh sb="13" eb="15">
      <t>ジュヨウ</t>
    </rPh>
    <rPh sb="15" eb="16">
      <t>イエ</t>
    </rPh>
    <rPh sb="18" eb="20">
      <t>ジギョウ</t>
    </rPh>
    <rPh sb="20" eb="22">
      <t>カイシ</t>
    </rPh>
    <rPh sb="22" eb="24">
      <t>イゼン</t>
    </rPh>
    <rPh sb="29" eb="31">
      <t>デンリョク</t>
    </rPh>
    <rPh sb="32" eb="33">
      <t>ネツ</t>
    </rPh>
    <rPh sb="34" eb="36">
      <t>コウニュウ</t>
    </rPh>
    <phoneticPr fontId="5"/>
  </si>
  <si>
    <t>　　地産地消でのエネルギー供給事業を想定する場合、一般的には地域事業者の小売電力料金が比較対象となる。</t>
    <phoneticPr fontId="5"/>
  </si>
  <si>
    <t>　　STEP2で想定した設備費・工事費に地域内事業者への発注割合を乗算した額から、法人企業統計における営業利益の割合を乗算したもの。</t>
    <rPh sb="8" eb="10">
      <t>ソウテイ</t>
    </rPh>
    <rPh sb="12" eb="15">
      <t>セツビヒ</t>
    </rPh>
    <rPh sb="16" eb="19">
      <t>コウジヒ</t>
    </rPh>
    <rPh sb="20" eb="23">
      <t>チイキナイ</t>
    </rPh>
    <rPh sb="23" eb="26">
      <t>ジギョウシャ</t>
    </rPh>
    <rPh sb="28" eb="30">
      <t>ハッチュウ</t>
    </rPh>
    <rPh sb="30" eb="32">
      <t>ワリアイ</t>
    </rPh>
    <rPh sb="33" eb="35">
      <t>ジョウサン</t>
    </rPh>
    <rPh sb="37" eb="38">
      <t>ガク</t>
    </rPh>
    <rPh sb="41" eb="47">
      <t>ホウジンキギョウトウケイ</t>
    </rPh>
    <rPh sb="51" eb="55">
      <t>エイギョウリエキ</t>
    </rPh>
    <rPh sb="56" eb="58">
      <t>ワリアイ</t>
    </rPh>
    <rPh sb="59" eb="61">
      <t>ジョウサン</t>
    </rPh>
    <phoneticPr fontId="4"/>
  </si>
  <si>
    <t>　　STEP2で想定したバイオマス事業の人件費、初期投資費用・運転維持費に地域内事業者への発注割合を乗算した額から法人企業統計における人件費。</t>
    <rPh sb="8" eb="10">
      <t>ソウテイ</t>
    </rPh>
    <rPh sb="17" eb="19">
      <t>ジギョウ</t>
    </rPh>
    <rPh sb="20" eb="23">
      <t>ジンケンヒ</t>
    </rPh>
    <rPh sb="24" eb="28">
      <t>ショキトウシ</t>
    </rPh>
    <rPh sb="28" eb="30">
      <t>ヒヨウ</t>
    </rPh>
    <rPh sb="31" eb="33">
      <t>ウンテン</t>
    </rPh>
    <rPh sb="33" eb="35">
      <t>イジ</t>
    </rPh>
    <rPh sb="35" eb="36">
      <t>ヒ</t>
    </rPh>
    <rPh sb="57" eb="63">
      <t>ホウジンキギョウトウケイ</t>
    </rPh>
    <rPh sb="67" eb="70">
      <t>ジンケンヒ</t>
    </rPh>
    <phoneticPr fontId="4"/>
  </si>
  <si>
    <t>　　バイオマス事業・地域内事業者の営業利益・人件費から得られる法人税・所得税および固定資産税による自治体の収入。</t>
    <rPh sb="7" eb="9">
      <t>ジギョウ</t>
    </rPh>
    <rPh sb="10" eb="12">
      <t>チイキ</t>
    </rPh>
    <rPh sb="12" eb="13">
      <t>ナイ</t>
    </rPh>
    <rPh sb="13" eb="16">
      <t>ジギョウシャ</t>
    </rPh>
    <rPh sb="17" eb="21">
      <t>エイギョウリエキ</t>
    </rPh>
    <rPh sb="22" eb="25">
      <t>ジンケンヒ</t>
    </rPh>
    <rPh sb="27" eb="28">
      <t>エ</t>
    </rPh>
    <rPh sb="31" eb="34">
      <t>ホウジンゼイ</t>
    </rPh>
    <rPh sb="35" eb="37">
      <t>ショトク</t>
    </rPh>
    <rPh sb="37" eb="38">
      <t>ゼイ</t>
    </rPh>
    <rPh sb="41" eb="45">
      <t>コテイシサン</t>
    </rPh>
    <rPh sb="45" eb="46">
      <t>ゼイ</t>
    </rPh>
    <rPh sb="49" eb="52">
      <t>ジチタイ</t>
    </rPh>
    <rPh sb="53" eb="55">
      <t>シュウニュウ</t>
    </rPh>
    <phoneticPr fontId="4"/>
  </si>
  <si>
    <t>　　バイオマス事業の開始前と比較して、開始後にエネルギー需要家が得られるエネルギー調達費用の削減効果。</t>
    <rPh sb="7" eb="9">
      <t>ジギョウ</t>
    </rPh>
    <rPh sb="10" eb="13">
      <t>カイシマエ</t>
    </rPh>
    <rPh sb="14" eb="16">
      <t>ヒカク</t>
    </rPh>
    <rPh sb="19" eb="21">
      <t>カイシ</t>
    </rPh>
    <rPh sb="21" eb="22">
      <t>ゴ</t>
    </rPh>
    <rPh sb="28" eb="31">
      <t>ジュヨウカ</t>
    </rPh>
    <rPh sb="32" eb="33">
      <t>エ</t>
    </rPh>
    <rPh sb="41" eb="43">
      <t>チョウタツ</t>
    </rPh>
    <rPh sb="43" eb="45">
      <t>ヒヨウ</t>
    </rPh>
    <rPh sb="46" eb="50">
      <t>サクゲンコウカ</t>
    </rPh>
    <phoneticPr fontId="4"/>
  </si>
  <si>
    <t>　　バイオマス原料の提供者が得られるバイオマス事業開始前のバイオマス原料の売上と、事業開始後のバイオマス原料の売上の差分。</t>
    <rPh sb="7" eb="9">
      <t>ゲンリョウ</t>
    </rPh>
    <rPh sb="10" eb="12">
      <t>テイキョウ</t>
    </rPh>
    <rPh sb="12" eb="13">
      <t>シャ</t>
    </rPh>
    <rPh sb="14" eb="15">
      <t>エ</t>
    </rPh>
    <rPh sb="25" eb="28">
      <t>カイシマエ</t>
    </rPh>
    <rPh sb="34" eb="36">
      <t>ゲンリョウ</t>
    </rPh>
    <rPh sb="37" eb="39">
      <t>ウリアゲ</t>
    </rPh>
    <rPh sb="41" eb="45">
      <t>ジギョウカイシ</t>
    </rPh>
    <rPh sb="45" eb="46">
      <t>ゴ</t>
    </rPh>
    <rPh sb="52" eb="54">
      <t>ゲンリョウ</t>
    </rPh>
    <rPh sb="55" eb="57">
      <t>ウリアゲ</t>
    </rPh>
    <rPh sb="58" eb="60">
      <t>サブン</t>
    </rPh>
    <phoneticPr fontId="5"/>
  </si>
  <si>
    <t>※発電効率を26%、熱効率を50%として試算</t>
  </si>
  <si>
    <r>
      <rPr>
        <sz val="10"/>
        <color indexed="8"/>
        <rFont val="ＭＳ Ｐゴシック"/>
        <family val="3"/>
        <charset val="128"/>
      </rPr>
      <t>※季節ごとにバイオマス原料の受入に変動がある場合は、最大量を</t>
    </r>
    <r>
      <rPr>
        <sz val="10"/>
        <color indexed="8"/>
        <rFont val="Arial"/>
        <family val="2"/>
      </rPr>
      <t>STEP1</t>
    </r>
    <r>
      <rPr>
        <sz val="10"/>
        <color indexed="8"/>
        <rFont val="ＭＳ Ｐゴシック"/>
        <family val="3"/>
        <charset val="128"/>
      </rPr>
      <t xml:space="preserve">で、年間の調達量をこちらで入力
</t>
    </r>
    <rPh sb="1" eb="3">
      <t>キセツ</t>
    </rPh>
    <rPh sb="11" eb="13">
      <t>ゲンリョウ</t>
    </rPh>
    <rPh sb="14" eb="16">
      <t>ウケイレ</t>
    </rPh>
    <rPh sb="17" eb="19">
      <t>ヘンドウ</t>
    </rPh>
    <rPh sb="22" eb="24">
      <t>バアイ</t>
    </rPh>
    <rPh sb="26" eb="29">
      <t>サイダイリョウ</t>
    </rPh>
    <rPh sb="37" eb="39">
      <t>ネンカン</t>
    </rPh>
    <rPh sb="40" eb="42">
      <t>チョウタツ</t>
    </rPh>
    <rPh sb="42" eb="43">
      <t>リョウ</t>
    </rPh>
    <rPh sb="48" eb="50">
      <t>ニュウリョク</t>
    </rPh>
    <phoneticPr fontId="5"/>
  </si>
  <si>
    <t>内容</t>
    <rPh sb="0" eb="2">
      <t>ナイヨウ</t>
    </rPh>
    <phoneticPr fontId="4"/>
  </si>
  <si>
    <t>熱収益の計算について修正を行いました。</t>
    <rPh sb="0" eb="1">
      <t>ネツ</t>
    </rPh>
    <rPh sb="1" eb="3">
      <t>シュウエキ</t>
    </rPh>
    <rPh sb="4" eb="6">
      <t>ケイサン</t>
    </rPh>
    <rPh sb="10" eb="12">
      <t>シュウセイ</t>
    </rPh>
    <rPh sb="13" eb="14">
      <t>オコナ</t>
    </rPh>
    <phoneticPr fontId="4"/>
  </si>
  <si>
    <t>入門編_計算シート</t>
  </si>
  <si>
    <t>バージョン</t>
    <phoneticPr fontId="4"/>
  </si>
  <si>
    <t>β1.1</t>
    <phoneticPr fontId="4"/>
  </si>
  <si>
    <t>関連出力シート</t>
    <rPh sb="0" eb="1">
      <t>カン</t>
    </rPh>
    <rPh sb="1" eb="2">
      <t>レン</t>
    </rPh>
    <rPh sb="2" eb="4">
      <t>シュツリョク</t>
    </rPh>
    <phoneticPr fontId="4"/>
  </si>
  <si>
    <t>関連出力セル</t>
    <rPh sb="0" eb="1">
      <t>カン</t>
    </rPh>
    <rPh sb="1" eb="2">
      <t>レン</t>
    </rPh>
    <rPh sb="2" eb="4">
      <t>シュツリョク</t>
    </rPh>
    <phoneticPr fontId="4"/>
  </si>
  <si>
    <t>C73</t>
    <phoneticPr fontId="4"/>
  </si>
  <si>
    <t>β1.1</t>
  </si>
  <si>
    <t>自治体への地域経済効果の算出について修正を行いました</t>
    <rPh sb="0" eb="3">
      <t>ジチタイ</t>
    </rPh>
    <rPh sb="5" eb="7">
      <t>チイキ</t>
    </rPh>
    <rPh sb="7" eb="9">
      <t>ケイザイ</t>
    </rPh>
    <rPh sb="9" eb="11">
      <t>コウカ</t>
    </rPh>
    <rPh sb="12" eb="14">
      <t>サンシュツ</t>
    </rPh>
    <rPh sb="18" eb="20">
      <t>シュウ</t>
    </rPh>
    <rPh sb="21" eb="22">
      <t>オコナ</t>
    </rPh>
    <phoneticPr fontId="4"/>
  </si>
  <si>
    <t>C210-D211</t>
    <phoneticPr fontId="4"/>
  </si>
  <si>
    <t>熱利用率の感度分析</t>
    <rPh sb="0" eb="1">
      <t>ネツ</t>
    </rPh>
    <rPh sb="1" eb="4">
      <t>リヨウリツ</t>
    </rPh>
    <rPh sb="5" eb="9">
      <t>カンドブンセキ</t>
    </rPh>
    <phoneticPr fontId="5"/>
  </si>
  <si>
    <t>借り入れ金考慮時の計算について修正を行いました</t>
    <rPh sb="0" eb="1">
      <t>カ</t>
    </rPh>
    <rPh sb="2" eb="3">
      <t>イ</t>
    </rPh>
    <rPh sb="4" eb="5">
      <t>キン</t>
    </rPh>
    <rPh sb="5" eb="7">
      <t>コウリョ</t>
    </rPh>
    <rPh sb="7" eb="8">
      <t>ジ</t>
    </rPh>
    <rPh sb="9" eb="11">
      <t>ケイサン</t>
    </rPh>
    <rPh sb="15" eb="17">
      <t>シュウセイ</t>
    </rPh>
    <rPh sb="18" eb="23">
      <t>オコ</t>
    </rPh>
    <phoneticPr fontId="2"/>
  </si>
  <si>
    <t>入門編_計算シート</t>
    <rPh sb="0" eb="3">
      <t>ニュウモンヘン</t>
    </rPh>
    <rPh sb="4" eb="6">
      <t>ケイサン</t>
    </rPh>
    <phoneticPr fontId="4"/>
  </si>
  <si>
    <t>D84</t>
    <phoneticPr fontId="4"/>
  </si>
  <si>
    <t>事業者利益配当（域外）</t>
    <rPh sb="0" eb="3">
      <t>ジギョウシャ</t>
    </rPh>
    <rPh sb="3" eb="5">
      <t>リエキ</t>
    </rPh>
    <rPh sb="5" eb="7">
      <t>ハイトウ</t>
    </rPh>
    <rPh sb="8" eb="10">
      <t>イキガイ</t>
    </rPh>
    <phoneticPr fontId="4"/>
  </si>
  <si>
    <t>地域内循環キャッシュ</t>
    <rPh sb="0" eb="3">
      <t>チイキナ</t>
    </rPh>
    <rPh sb="3" eb="5">
      <t>ジュンカン</t>
    </rPh>
    <phoneticPr fontId="4"/>
  </si>
  <si>
    <t>円</t>
  </si>
  <si>
    <t>地域外流出費用</t>
    <rPh sb="0" eb="2">
      <t>チイキ</t>
    </rPh>
    <rPh sb="2" eb="3">
      <t>ガイ</t>
    </rPh>
    <rPh sb="3" eb="5">
      <t>リュウシュツ</t>
    </rPh>
    <rPh sb="5" eb="7">
      <t>ヒヨウ</t>
    </rPh>
    <phoneticPr fontId="4"/>
  </si>
  <si>
    <t>売上（税別）</t>
    <phoneticPr fontId="4"/>
  </si>
  <si>
    <t>○事業開始後　地域内で循環するキャッシュの総量</t>
    <rPh sb="1" eb="5">
      <t>ジギョウカイシ</t>
    </rPh>
    <rPh sb="5" eb="6">
      <t>ゴ</t>
    </rPh>
    <rPh sb="7" eb="10">
      <t>チイキナイ</t>
    </rPh>
    <rPh sb="11" eb="13">
      <t>ジュンカン</t>
    </rPh>
    <rPh sb="21" eb="23">
      <t>ソウリョウ</t>
    </rPh>
    <phoneticPr fontId="4"/>
  </si>
  <si>
    <t>従業員可処分所得</t>
    <rPh sb="0" eb="3">
      <t>ジュウギョウイン</t>
    </rPh>
    <rPh sb="3" eb="6">
      <t>カショブン</t>
    </rPh>
    <rPh sb="6" eb="8">
      <t>ショトク</t>
    </rPh>
    <phoneticPr fontId="4"/>
  </si>
  <si>
    <t>税差</t>
    <rPh sb="0" eb="1">
      <t>ゼイ</t>
    </rPh>
    <rPh sb="1" eb="2">
      <t>サ</t>
    </rPh>
    <phoneticPr fontId="4"/>
  </si>
  <si>
    <t>法人住民税（均等割※※）</t>
    <rPh sb="0" eb="5">
      <t>ホウジンジュウミンゼイ</t>
    </rPh>
    <rPh sb="6" eb="9">
      <t>キントウワリ</t>
    </rPh>
    <phoneticPr fontId="4"/>
  </si>
  <si>
    <t>均等割市町村</t>
    <rPh sb="0" eb="3">
      <t>キントウワリ</t>
    </rPh>
    <rPh sb="3" eb="6">
      <t>シチョウソン</t>
    </rPh>
    <phoneticPr fontId="4"/>
  </si>
  <si>
    <t>均等割都道府県</t>
    <rPh sb="0" eb="3">
      <t>キントウワリ</t>
    </rPh>
    <rPh sb="3" eb="7">
      <t>トドウフケン</t>
    </rPh>
    <phoneticPr fontId="4"/>
  </si>
  <si>
    <t>億円</t>
    <rPh sb="0" eb="1">
      <t>オク</t>
    </rPh>
    <rPh sb="1" eb="2">
      <t>エン</t>
    </rPh>
    <phoneticPr fontId="4"/>
  </si>
  <si>
    <t>円</t>
    <rPh sb="0" eb="1">
      <t>エン</t>
    </rPh>
    <phoneticPr fontId="4"/>
  </si>
  <si>
    <t>均等割標準税率（年額）</t>
    <rPh sb="0" eb="3">
      <t>キントウワリ</t>
    </rPh>
    <rPh sb="3" eb="7">
      <t>ヒョウジュンゼイリツ</t>
    </rPh>
    <rPh sb="8" eb="10">
      <t>ネンガク</t>
    </rPh>
    <phoneticPr fontId="4"/>
  </si>
  <si>
    <t>総務省HP</t>
    <rPh sb="0" eb="3">
      <t>ソウムショウ</t>
    </rPh>
    <phoneticPr fontId="4"/>
  </si>
  <si>
    <t>所得割/法人税割（市町村）</t>
    <rPh sb="0" eb="3">
      <t>ショトクワリ</t>
    </rPh>
    <rPh sb="4" eb="8">
      <t>ホウジンゼイワリ</t>
    </rPh>
    <rPh sb="9" eb="12">
      <t>シチョウソン</t>
    </rPh>
    <phoneticPr fontId="4"/>
  </si>
  <si>
    <t>所得割/法人税割（都道府県）</t>
    <rPh sb="0" eb="3">
      <t>ショトクワリ</t>
    </rPh>
    <rPh sb="4" eb="8">
      <t>ホウジンゼイワリ</t>
    </rPh>
    <rPh sb="9" eb="13">
      <t>トドウフケン</t>
    </rPh>
    <phoneticPr fontId="4"/>
  </si>
  <si>
    <t>数値は総務省HP令和元年度見込額より</t>
    <rPh sb="0" eb="2">
      <t>スウチ</t>
    </rPh>
    <rPh sb="3" eb="6">
      <t>ソウムショウ</t>
    </rPh>
    <rPh sb="8" eb="10">
      <t>レイワ</t>
    </rPh>
    <rPh sb="10" eb="11">
      <t>ガン</t>
    </rPh>
    <rPh sb="11" eb="13">
      <t>ネンド</t>
    </rPh>
    <rPh sb="13" eb="16">
      <t>ミコミガク</t>
    </rPh>
    <phoneticPr fontId="4"/>
  </si>
  <si>
    <t>※個人住民税収全額における所得割との比率で計算</t>
    <rPh sb="1" eb="6">
      <t>コジンジュウミンゼイ</t>
    </rPh>
    <rPh sb="6" eb="7">
      <t>シュウ</t>
    </rPh>
    <rPh sb="7" eb="9">
      <t>ゼンガク</t>
    </rPh>
    <rPh sb="13" eb="16">
      <t>ショトクワリ</t>
    </rPh>
    <rPh sb="18" eb="20">
      <t>ヒリツ</t>
    </rPh>
    <rPh sb="21" eb="23">
      <t>ケイサン</t>
    </rPh>
    <phoneticPr fontId="4"/>
  </si>
  <si>
    <t>※※法人住民税収全額における法人税割との比率で計算</t>
    <rPh sb="2" eb="4">
      <t>ホウジン</t>
    </rPh>
    <rPh sb="4" eb="7">
      <t>ジュウミンゼイ</t>
    </rPh>
    <rPh sb="7" eb="8">
      <t>シュウ</t>
    </rPh>
    <rPh sb="8" eb="10">
      <t>ゼンガク</t>
    </rPh>
    <rPh sb="14" eb="16">
      <t>ホウジン</t>
    </rPh>
    <rPh sb="16" eb="17">
      <t>ゼイ</t>
    </rPh>
    <rPh sb="17" eb="18">
      <t>ワリ</t>
    </rPh>
    <rPh sb="20" eb="22">
      <t>ヒリツ</t>
    </rPh>
    <rPh sb="23" eb="25">
      <t>ケイサン</t>
    </rPh>
    <phoneticPr fontId="4"/>
  </si>
  <si>
    <t>更新　法人税割比</t>
    <rPh sb="0" eb="2">
      <t>コウシン</t>
    </rPh>
    <rPh sb="3" eb="6">
      <t>ホウジンゼイ</t>
    </rPh>
    <rPh sb="6" eb="7">
      <t>ワリ</t>
    </rPh>
    <rPh sb="7" eb="8">
      <t>ヒ</t>
    </rPh>
    <phoneticPr fontId="4"/>
  </si>
  <si>
    <t>更新　所得割比</t>
    <rPh sb="0" eb="2">
      <t>コウシン</t>
    </rPh>
    <rPh sb="3" eb="6">
      <t>ショトクワリ</t>
    </rPh>
    <rPh sb="6" eb="7">
      <t>ヒ</t>
    </rPh>
    <phoneticPr fontId="4"/>
  </si>
  <si>
    <t>法人住民税（法人税割）</t>
    <rPh sb="0" eb="5">
      <t>ホウジンジュウミンゼイ</t>
    </rPh>
    <rPh sb="6" eb="10">
      <t>ホウジンゼイワリ</t>
    </rPh>
    <phoneticPr fontId="4"/>
  </si>
  <si>
    <t>資本金１億円以下の普通法人　https://www.nta.go.jp/taxes/shiraberu/taxanswer/hojin/5759.htm</t>
    <rPh sb="9" eb="13">
      <t>フツウホウジン</t>
    </rPh>
    <phoneticPr fontId="4"/>
  </si>
  <si>
    <t>3,300,000円 から 6,949,000円まで　https://www.nta.go.jp/taxes/shiraberu/taxanswer/shotoku/2260.htm</t>
    <phoneticPr fontId="4"/>
  </si>
  <si>
    <t>https://www.soumu.go.jp/main_sosiki/jichi_zeisei/czaisei/czaisei_seido/149767_04.html</t>
  </si>
  <si>
    <t>https://www.soumu.go.jp/main_sosiki/jichi_zeisei/czaisei/czaisei_seido/pdf/ichiran06_h31/ichiran06_h31_00.pdf</t>
    <phoneticPr fontId="4"/>
  </si>
  <si>
    <t>法人事業税（収入割）</t>
    <rPh sb="0" eb="2">
      <t>ホウジン</t>
    </rPh>
    <rPh sb="2" eb="5">
      <t>ジギョウゼイ</t>
    </rPh>
    <rPh sb="3" eb="4">
      <t>ギョウ</t>
    </rPh>
    <rPh sb="4" eb="5">
      <t>ゼイ</t>
    </rPh>
    <rPh sb="6" eb="8">
      <t>シュウニュウ</t>
    </rPh>
    <rPh sb="8" eb="9">
      <t>ワリ</t>
    </rPh>
    <phoneticPr fontId="4"/>
  </si>
  <si>
    <t>法人事業税（所得割）</t>
    <rPh sb="0" eb="2">
      <t>ホウジン</t>
    </rPh>
    <rPh sb="2" eb="5">
      <t>ジギョウゼイ</t>
    </rPh>
    <rPh sb="3" eb="4">
      <t>ギョウ</t>
    </rPh>
    <rPh sb="4" eb="5">
      <t>ゼイ</t>
    </rPh>
    <rPh sb="6" eb="9">
      <t>ショトクワリ</t>
    </rPh>
    <phoneticPr fontId="4"/>
  </si>
  <si>
    <t>特別法人事業税（法人事業税収入割比）</t>
    <rPh sb="0" eb="2">
      <t>トクベツ</t>
    </rPh>
    <rPh sb="2" eb="7">
      <t>ホウジンジギョウゼイ</t>
    </rPh>
    <rPh sb="8" eb="13">
      <t>ホウジンジギョウゼイ</t>
    </rPh>
    <rPh sb="13" eb="15">
      <t>シュウニュウ</t>
    </rPh>
    <rPh sb="15" eb="16">
      <t>ワリ</t>
    </rPh>
    <rPh sb="16" eb="17">
      <t>ヒ</t>
    </rPh>
    <phoneticPr fontId="4"/>
  </si>
  <si>
    <t>https://www.pref.kyoto.jp/zeimu/documents/zeirituhyou.pdf</t>
  </si>
  <si>
    <t>総額</t>
    <rPh sb="0" eb="2">
      <t>ソウガク</t>
    </rPh>
    <phoneticPr fontId="4"/>
  </si>
  <si>
    <t>発電事業者（資本金一億円以下を想定）</t>
    <rPh sb="0" eb="5">
      <t>ハツデンジギョウシャ</t>
    </rPh>
    <rPh sb="6" eb="9">
      <t>シホンキン</t>
    </rPh>
    <rPh sb="9" eb="12">
      <t>イチオクエン</t>
    </rPh>
    <rPh sb="12" eb="14">
      <t>イカ</t>
    </rPh>
    <rPh sb="15" eb="17">
      <t>ソウテイ</t>
    </rPh>
    <phoneticPr fontId="4"/>
  </si>
  <si>
    <t>その他事業者（資本金一億円以下を想定）</t>
    <rPh sb="2" eb="3">
      <t>タ</t>
    </rPh>
    <rPh sb="3" eb="6">
      <t>ジギョウシャ</t>
    </rPh>
    <rPh sb="7" eb="10">
      <t>シホンキン</t>
    </rPh>
    <rPh sb="10" eb="13">
      <t>イチ</t>
    </rPh>
    <rPh sb="13" eb="15">
      <t>イカ</t>
    </rPh>
    <rPh sb="16" eb="18">
      <t>ソウテイ</t>
    </rPh>
    <phoneticPr fontId="4"/>
  </si>
  <si>
    <t>売上高に対する
所得税（国税）</t>
    <rPh sb="0" eb="3">
      <t>ウリアゲダカ</t>
    </rPh>
    <rPh sb="4" eb="5">
      <t>タイ</t>
    </rPh>
    <rPh sb="8" eb="11">
      <t>ショトクゼイ</t>
    </rPh>
    <rPh sb="12" eb="14">
      <t>コクゼイ</t>
    </rPh>
    <phoneticPr fontId="4"/>
  </si>
  <si>
    <t>売上高に対する
法人税（国税）</t>
    <rPh sb="0" eb="3">
      <t>ウリアゲダカ</t>
    </rPh>
    <rPh sb="4" eb="5">
      <t>タイ</t>
    </rPh>
    <rPh sb="8" eb="11">
      <t>ホウジンゼイ</t>
    </rPh>
    <rPh sb="12" eb="14">
      <t>コクゼイ</t>
    </rPh>
    <phoneticPr fontId="4"/>
  </si>
  <si>
    <t>所得税うち国税</t>
    <rPh sb="0" eb="3">
      <t>ショトクゼイ</t>
    </rPh>
    <rPh sb="5" eb="7">
      <t>コクゼイ</t>
    </rPh>
    <phoneticPr fontId="4"/>
  </si>
  <si>
    <t>木材・木製品製造業</t>
  </si>
  <si>
    <t>費用総額</t>
    <rPh sb="0" eb="2">
      <t>ヒヨウ</t>
    </rPh>
    <rPh sb="2" eb="4">
      <t>ソウガク</t>
    </rPh>
    <phoneticPr fontId="4"/>
  </si>
  <si>
    <t>所得税のうち国税</t>
    <rPh sb="0" eb="3">
      <t>ショトクゼイ</t>
    </rPh>
    <rPh sb="6" eb="8">
      <t>コクゼイ</t>
    </rPh>
    <phoneticPr fontId="4"/>
  </si>
  <si>
    <t>地域内循環キャッシュ（人件費）</t>
    <rPh sb="0" eb="3">
      <t>チイキナ</t>
    </rPh>
    <rPh sb="3" eb="5">
      <t>ジュンカン</t>
    </rPh>
    <rPh sb="11" eb="14">
      <t>ジンケンヒ</t>
    </rPh>
    <phoneticPr fontId="4"/>
  </si>
  <si>
    <t>地域外流出費用（人件費）</t>
    <rPh sb="0" eb="2">
      <t>チイキ</t>
    </rPh>
    <rPh sb="2" eb="3">
      <t>ガイ</t>
    </rPh>
    <rPh sb="3" eb="5">
      <t>リュウシュツ</t>
    </rPh>
    <rPh sb="5" eb="7">
      <t>ヒヨウ</t>
    </rPh>
    <rPh sb="8" eb="11">
      <t>ジンケンヒ</t>
    </rPh>
    <phoneticPr fontId="4"/>
  </si>
  <si>
    <t>事業者国税</t>
    <rPh sb="0" eb="3">
      <t>ジギョウシャ</t>
    </rPh>
    <rPh sb="3" eb="5">
      <t>コクゼイ</t>
    </rPh>
    <phoneticPr fontId="4"/>
  </si>
  <si>
    <t>投入金額</t>
    <rPh sb="0" eb="2">
      <t>トウニュウ</t>
    </rPh>
    <rPh sb="2" eb="4">
      <t>キンガク</t>
    </rPh>
    <phoneticPr fontId="4"/>
  </si>
  <si>
    <t>個人住民課税（所得割）</t>
    <rPh sb="0" eb="6">
      <t>コジンジュウミンカゼイ</t>
    </rPh>
    <rPh sb="7" eb="9">
      <t>ショトク</t>
    </rPh>
    <rPh sb="9" eb="10">
      <t>ワリ</t>
    </rPh>
    <phoneticPr fontId="4"/>
  </si>
  <si>
    <t>$D$59+$D$59＊$D$57)</t>
    <phoneticPr fontId="4"/>
  </si>
  <si>
    <t>https://www.pref.kyoto.jp/zeimu/documents/zeirituhyou.pdf</t>
    <phoneticPr fontId="4"/>
  </si>
  <si>
    <t>https://www.soumu.go.jp/main_content/000758659.pdf</t>
    <phoneticPr fontId="4"/>
  </si>
  <si>
    <t>消費税（都道府県）</t>
    <rPh sb="0" eb="3">
      <t>ショウヒゼイ</t>
    </rPh>
    <rPh sb="4" eb="8">
      <t>トドウフケン</t>
    </rPh>
    <phoneticPr fontId="4"/>
  </si>
  <si>
    <t>消費税（市町村）</t>
    <rPh sb="0" eb="3">
      <t>ショウヒゼイ</t>
    </rPh>
    <rPh sb="4" eb="7">
      <t>シチョウソン</t>
    </rPh>
    <phoneticPr fontId="4"/>
  </si>
  <si>
    <t>その他収入</t>
    <rPh sb="2" eb="3">
      <t>タ</t>
    </rPh>
    <rPh sb="3" eb="5">
      <t>シュウニュウ</t>
    </rPh>
    <phoneticPr fontId="4"/>
  </si>
  <si>
    <t>その他収入</t>
    <rPh sb="2" eb="3">
      <t>タ</t>
    </rPh>
    <rPh sb="3" eb="5">
      <t>シュウニュウ</t>
    </rPh>
    <phoneticPr fontId="4"/>
  </si>
  <si>
    <t>円</t>
    <rPh sb="0" eb="1">
      <t>エン</t>
    </rPh>
    <phoneticPr fontId="4"/>
  </si>
  <si>
    <t>https://www.soumu.go.jp/main_sosiki/jichi_zeisei/czaisei/czaisei_seido/149767_04.html</t>
    <phoneticPr fontId="4"/>
  </si>
  <si>
    <t>更新　所得割個人住民課税比</t>
    <rPh sb="0" eb="2">
      <t>コウシン</t>
    </rPh>
    <rPh sb="3" eb="5">
      <t>ショトク</t>
    </rPh>
    <rPh sb="5" eb="6">
      <t>ワリ</t>
    </rPh>
    <rPh sb="6" eb="8">
      <t>コジン</t>
    </rPh>
    <rPh sb="8" eb="10">
      <t>ジュウミン</t>
    </rPh>
    <rPh sb="10" eb="12">
      <t>カゼイ</t>
    </rPh>
    <rPh sb="12" eb="13">
      <t>ヒ</t>
    </rPh>
    <phoneticPr fontId="4"/>
  </si>
  <si>
    <t>特別法人事業税（法人事業税（所得割比））</t>
    <rPh sb="0" eb="2">
      <t>トクベツ</t>
    </rPh>
    <rPh sb="2" eb="7">
      <t>ホウジンジギョウゼイ</t>
    </rPh>
    <rPh sb="8" eb="13">
      <t>ホウジンジギョウゼイ</t>
    </rPh>
    <rPh sb="14" eb="16">
      <t>ショトク</t>
    </rPh>
    <rPh sb="16" eb="17">
      <t>ワリ</t>
    </rPh>
    <rPh sb="17" eb="18">
      <t>ヒ</t>
    </rPh>
    <phoneticPr fontId="4"/>
  </si>
  <si>
    <t>　法人税（国税）</t>
  </si>
  <si>
    <t>　法人税（都道府県）</t>
  </si>
  <si>
    <t>　法人税（市町村）</t>
  </si>
  <si>
    <t>　バイオマス事業の費用は実施地域や条件に応じて変動しやすい。下記を踏まえたパラメータースタディの実施を推奨</t>
    <rPh sb="6" eb="8">
      <t>ジギョウ</t>
    </rPh>
    <rPh sb="9" eb="11">
      <t>ヒヨウ</t>
    </rPh>
    <rPh sb="12" eb="14">
      <t>ジッシ</t>
    </rPh>
    <rPh sb="14" eb="16">
      <t>チイキ</t>
    </rPh>
    <rPh sb="17" eb="19">
      <t>ジョウケン</t>
    </rPh>
    <rPh sb="20" eb="21">
      <t>オウ</t>
    </rPh>
    <rPh sb="23" eb="25">
      <t>ヘンドウ</t>
    </rPh>
    <rPh sb="30" eb="32">
      <t>カキ</t>
    </rPh>
    <rPh sb="33" eb="34">
      <t>フ</t>
    </rPh>
    <rPh sb="48" eb="50">
      <t>ジッシ</t>
    </rPh>
    <rPh sb="51" eb="53">
      <t>スイショウ</t>
    </rPh>
    <phoneticPr fontId="5"/>
  </si>
  <si>
    <t>　・　バイオマス原料の調達価格</t>
    <rPh sb="8" eb="10">
      <t>ゲンリョウ</t>
    </rPh>
    <rPh sb="11" eb="13">
      <t>チョウタツ</t>
    </rPh>
    <rPh sb="13" eb="15">
      <t>カカク</t>
    </rPh>
    <phoneticPr fontId="5"/>
  </si>
  <si>
    <t>　　　一般的にバイオマス調達価格は支出の大半を占める。調達原料の性状などの具体的な項目は次のPointを参照</t>
    <rPh sb="3" eb="6">
      <t>イッパンテキ</t>
    </rPh>
    <rPh sb="12" eb="14">
      <t>チョウタツ</t>
    </rPh>
    <rPh sb="14" eb="16">
      <t>カカク</t>
    </rPh>
    <rPh sb="17" eb="19">
      <t>シシュツ</t>
    </rPh>
    <rPh sb="20" eb="22">
      <t>タイハン</t>
    </rPh>
    <rPh sb="23" eb="24">
      <t>シ</t>
    </rPh>
    <rPh sb="27" eb="29">
      <t>チョウタツ</t>
    </rPh>
    <rPh sb="29" eb="31">
      <t>ゲンリョウ</t>
    </rPh>
    <rPh sb="32" eb="34">
      <t>セイジョウ</t>
    </rPh>
    <rPh sb="37" eb="40">
      <t>グタイテキ</t>
    </rPh>
    <rPh sb="41" eb="43">
      <t>コウモク</t>
    </rPh>
    <rPh sb="44" eb="45">
      <t>ツギ</t>
    </rPh>
    <rPh sb="52" eb="54">
      <t>サンショウ</t>
    </rPh>
    <phoneticPr fontId="5"/>
  </si>
  <si>
    <t>　・　年間稼働日数と稼働時間</t>
    <rPh sb="3" eb="5">
      <t>ネンカン</t>
    </rPh>
    <rPh sb="5" eb="7">
      <t>カドウ</t>
    </rPh>
    <rPh sb="7" eb="9">
      <t>ニッスウ</t>
    </rPh>
    <rPh sb="10" eb="14">
      <t>カドウジカン</t>
    </rPh>
    <phoneticPr fontId="5"/>
  </si>
  <si>
    <t>　　　電力・熱（温水）の供給は実際の需要サイドの時間・既設によって変動する場合が多く、設備利用率の低下につながる</t>
    <rPh sb="3" eb="5">
      <t>デンリョク</t>
    </rPh>
    <rPh sb="6" eb="7">
      <t>ネツ</t>
    </rPh>
    <rPh sb="8" eb="10">
      <t>オンスイ</t>
    </rPh>
    <rPh sb="12" eb="14">
      <t>キョウキュウ</t>
    </rPh>
    <rPh sb="15" eb="17">
      <t>ジッサイ</t>
    </rPh>
    <rPh sb="18" eb="20">
      <t>ジュヨウ</t>
    </rPh>
    <rPh sb="24" eb="26">
      <t>ジカン</t>
    </rPh>
    <rPh sb="27" eb="29">
      <t>キセツ</t>
    </rPh>
    <rPh sb="33" eb="35">
      <t>ヘンドウ</t>
    </rPh>
    <rPh sb="37" eb="39">
      <t>バアイ</t>
    </rPh>
    <rPh sb="40" eb="41">
      <t>オオ</t>
    </rPh>
    <rPh sb="43" eb="48">
      <t>セツビ</t>
    </rPh>
    <rPh sb="49" eb="51">
      <t>テイカ</t>
    </rPh>
    <phoneticPr fontId="5"/>
  </si>
  <si>
    <t>　・　人件費</t>
    <rPh sb="3" eb="6">
      <t>ジンケンヒ</t>
    </rPh>
    <phoneticPr fontId="5"/>
  </si>
  <si>
    <t>　　　デフォルトでは最低1名相当の費用を見込んでいるが、既存施設への設置の場合は人材リソースを追加する必要がなくなる</t>
    <rPh sb="10" eb="12">
      <t>サイテイ</t>
    </rPh>
    <rPh sb="13" eb="14">
      <t>メイ</t>
    </rPh>
    <rPh sb="14" eb="16">
      <t>ソウトウ</t>
    </rPh>
    <rPh sb="17" eb="19">
      <t>ヒヨウ</t>
    </rPh>
    <rPh sb="20" eb="22">
      <t>ミコ</t>
    </rPh>
    <rPh sb="28" eb="30">
      <t>キゾン</t>
    </rPh>
    <rPh sb="30" eb="32">
      <t>シセツ</t>
    </rPh>
    <rPh sb="34" eb="36">
      <t>セッチ</t>
    </rPh>
    <rPh sb="37" eb="39">
      <t>バアイ</t>
    </rPh>
    <rPh sb="40" eb="42">
      <t>ジンザイ</t>
    </rPh>
    <rPh sb="47" eb="49">
      <t>ツイカ</t>
    </rPh>
    <rPh sb="51" eb="53">
      <t>ヒツヨウ</t>
    </rPh>
    <phoneticPr fontId="5"/>
  </si>
  <si>
    <t>　　　大規模改修の見積もりも必ず行う必要がある。デフォルト値は20年平均で算出したもの。</t>
    <rPh sb="3" eb="6">
      <t>ダイキボ</t>
    </rPh>
    <rPh sb="6" eb="8">
      <t>カイシュウ</t>
    </rPh>
    <rPh sb="9" eb="11">
      <t>ミツ</t>
    </rPh>
    <rPh sb="14" eb="15">
      <t>カナラ</t>
    </rPh>
    <rPh sb="16" eb="17">
      <t>オコナ</t>
    </rPh>
    <rPh sb="18" eb="20">
      <t>ヒツヨウ</t>
    </rPh>
    <rPh sb="29" eb="30">
      <t>チ</t>
    </rPh>
    <rPh sb="33" eb="36">
      <t>ネンヘイキン</t>
    </rPh>
    <rPh sb="37" eb="39">
      <t>サンシュツ</t>
    </rPh>
    <phoneticPr fontId="5"/>
  </si>
  <si>
    <t>ガス化・BTG</t>
    <rPh sb="2" eb="3">
      <t>カ</t>
    </rPh>
    <phoneticPr fontId="4"/>
  </si>
  <si>
    <t>温水ボイラー</t>
    <rPh sb="0" eb="2">
      <t>オンスイ</t>
    </rPh>
    <phoneticPr fontId="4"/>
  </si>
  <si>
    <t>　メンテナンス・修繕費</t>
    <rPh sb="8" eb="11">
      <t>シュウゼンヒ</t>
    </rPh>
    <phoneticPr fontId="4"/>
  </si>
  <si>
    <t>　・　エネルギー販売費用</t>
    <rPh sb="8" eb="10">
      <t>ハンバイ</t>
    </rPh>
    <rPh sb="10" eb="12">
      <t>ヒヨウ</t>
    </rPh>
    <phoneticPr fontId="5"/>
  </si>
  <si>
    <t>年間の運転維持費の50%と設備費用の10%の大規模修繕費を20年間で除算</t>
  </si>
  <si>
    <r>
      <rPr>
        <sz val="11"/>
        <color theme="1"/>
        <rFont val="ＭＳ Ｐゴシック"/>
        <family val="3"/>
        <charset val="128"/>
      </rPr>
      <t>年間の運転維持費の</t>
    </r>
    <r>
      <rPr>
        <sz val="11"/>
        <color theme="1"/>
        <rFont val="Arial"/>
        <family val="2"/>
      </rPr>
      <t>17.5%</t>
    </r>
    <r>
      <rPr>
        <sz val="11"/>
        <color theme="1"/>
        <rFont val="ＭＳ Ｐゴシック"/>
        <family val="3"/>
        <charset val="128"/>
      </rPr>
      <t>を想定</t>
    </r>
    <rPh sb="15" eb="17">
      <t>ソウテイ</t>
    </rPh>
    <phoneticPr fontId="5"/>
  </si>
  <si>
    <t>　・　メンテナンス・修繕費</t>
    <rPh sb="10" eb="13">
      <t>シュウゼンヒ</t>
    </rPh>
    <phoneticPr fontId="5"/>
  </si>
  <si>
    <t>　・　地域の燃料供給業者からチップまたはペレット燃料を購入する場合と、事業者自ら原料を調達し燃料加工を行う場合がある。</t>
    <rPh sb="3" eb="5">
      <t>チイキ</t>
    </rPh>
    <rPh sb="6" eb="8">
      <t>ネンリョウ</t>
    </rPh>
    <rPh sb="8" eb="10">
      <t>キョウキュウ</t>
    </rPh>
    <rPh sb="10" eb="12">
      <t>ギョウシャ</t>
    </rPh>
    <rPh sb="24" eb="26">
      <t>ネンリョウ</t>
    </rPh>
    <rPh sb="27" eb="29">
      <t>コウニュウ</t>
    </rPh>
    <rPh sb="31" eb="33">
      <t>バアイ</t>
    </rPh>
    <rPh sb="35" eb="38">
      <t>ジギョウシャ</t>
    </rPh>
    <rPh sb="38" eb="39">
      <t>ミズカ</t>
    </rPh>
    <rPh sb="40" eb="42">
      <t>ゲンリョウ</t>
    </rPh>
    <rPh sb="43" eb="45">
      <t>チョウタツ</t>
    </rPh>
    <phoneticPr fontId="4"/>
  </si>
  <si>
    <t>　・　利用予定のバイオマス原料および燃料が事業期間にわたり安定的に調達可能か、地域の実態と乖離していないかを十分</t>
    <rPh sb="3" eb="5">
      <t>リヨウ</t>
    </rPh>
    <rPh sb="5" eb="7">
      <t>ヨテイ</t>
    </rPh>
    <rPh sb="18" eb="20">
      <t>ネンリョウ</t>
    </rPh>
    <rPh sb="21" eb="23">
      <t>ジギョウ</t>
    </rPh>
    <rPh sb="23" eb="25">
      <t>キカン</t>
    </rPh>
    <rPh sb="39" eb="41">
      <t>チイキ</t>
    </rPh>
    <phoneticPr fontId="5"/>
  </si>
  <si>
    <t>　　　確認する。</t>
    <phoneticPr fontId="5"/>
  </si>
  <si>
    <t>　・　事業期間中、周辺のバイオマス利用施設や製材業、紙パルプ産業などの関連産業の動向によっても調達量や調達価格が</t>
    <rPh sb="3" eb="7">
      <t>ジギョウキカン</t>
    </rPh>
    <rPh sb="7" eb="8">
      <t>チュウ</t>
    </rPh>
    <rPh sb="9" eb="11">
      <t>シュウヘン</t>
    </rPh>
    <rPh sb="17" eb="19">
      <t>リヨウ</t>
    </rPh>
    <rPh sb="19" eb="21">
      <t>シセツ</t>
    </rPh>
    <rPh sb="22" eb="24">
      <t>セイザイ</t>
    </rPh>
    <rPh sb="24" eb="25">
      <t>ギョウ</t>
    </rPh>
    <rPh sb="26" eb="27">
      <t>カミ</t>
    </rPh>
    <rPh sb="30" eb="32">
      <t>サンギョウ</t>
    </rPh>
    <rPh sb="35" eb="37">
      <t>カンレン</t>
    </rPh>
    <rPh sb="37" eb="39">
      <t>サンギョウ</t>
    </rPh>
    <rPh sb="40" eb="42">
      <t>ドウコウ</t>
    </rPh>
    <phoneticPr fontId="5"/>
  </si>
  <si>
    <t>　　　変動する可能性があることにも留意する。</t>
    <phoneticPr fontId="5"/>
  </si>
  <si>
    <t>　・　灰処理費用</t>
    <rPh sb="3" eb="4">
      <t>ハイ</t>
    </rPh>
    <rPh sb="4" eb="8">
      <t>ショリヒヨウ</t>
    </rPh>
    <phoneticPr fontId="5"/>
  </si>
  <si>
    <t>　　　負担するかについても明確にしておく必要がある。</t>
    <phoneticPr fontId="5"/>
  </si>
  <si>
    <t>　・　導入するエネルギー変換設備により要求される燃料形態（チップまたはペレット）および品質が異なり、コストに影響することに</t>
    <phoneticPr fontId="5"/>
  </si>
  <si>
    <t>　　　留意する。特に廃棄物系は設備によってはトラブルが多発することがある。</t>
    <phoneticPr fontId="5"/>
  </si>
  <si>
    <t>　・　原料・燃料中の水分が高い場合は乾燥プロセスが必要となり施設やヤード等の費用が発生することがある。</t>
    <phoneticPr fontId="5"/>
  </si>
  <si>
    <t>　・　エネルギー変換設備毎に法定点検頻度（通常数年に１回）や必要となるメンテナンス費用が異なる。</t>
    <rPh sb="8" eb="10">
      <t>ヘンカン</t>
    </rPh>
    <rPh sb="10" eb="12">
      <t>セツビ</t>
    </rPh>
    <rPh sb="12" eb="13">
      <t>マイ</t>
    </rPh>
    <rPh sb="14" eb="16">
      <t>ホウテイ</t>
    </rPh>
    <rPh sb="16" eb="18">
      <t>テンケン</t>
    </rPh>
    <rPh sb="18" eb="20">
      <t>ヒンド</t>
    </rPh>
    <rPh sb="21" eb="23">
      <t>ツウジョウ</t>
    </rPh>
    <rPh sb="23" eb="25">
      <t>スウネン</t>
    </rPh>
    <rPh sb="27" eb="28">
      <t>カイ</t>
    </rPh>
    <rPh sb="30" eb="32">
      <t>ヒツヨウ</t>
    </rPh>
    <rPh sb="41" eb="43">
      <t>ヒヨウ</t>
    </rPh>
    <rPh sb="44" eb="45">
      <t>コト</t>
    </rPh>
    <phoneticPr fontId="5"/>
  </si>
  <si>
    <t>　・　事業期間を通じてメンテナンス費用は増加するため、詳細なキャッシュフロー分析の際には考慮が必要。</t>
    <rPh sb="3" eb="5">
      <t>ジギョウ</t>
    </rPh>
    <rPh sb="5" eb="7">
      <t>キカン</t>
    </rPh>
    <rPh sb="8" eb="9">
      <t>ツウ</t>
    </rPh>
    <rPh sb="17" eb="19">
      <t>ヒヨウ</t>
    </rPh>
    <rPh sb="20" eb="22">
      <t>ゾウカ</t>
    </rPh>
    <rPh sb="27" eb="29">
      <t>ショウサイ</t>
    </rPh>
    <rPh sb="38" eb="40">
      <t>ブンセキ</t>
    </rPh>
    <rPh sb="41" eb="42">
      <t>サイ</t>
    </rPh>
    <rPh sb="44" eb="46">
      <t>コウリョ</t>
    </rPh>
    <rPh sb="47" eb="49">
      <t>ヒツヨウ</t>
    </rPh>
    <phoneticPr fontId="5"/>
  </si>
  <si>
    <t>　・　設備の保守・メンテナンスをできる限り内製化することにより、維持管理費用を削減することができる。</t>
    <phoneticPr fontId="5"/>
  </si>
  <si>
    <t>　・　海外メーカーの場合は、運転トラブル対応や部品の交換が迅速に実施できないこともある。</t>
    <rPh sb="3" eb="5">
      <t>カイガイ</t>
    </rPh>
    <rPh sb="10" eb="12">
      <t>バアイ</t>
    </rPh>
    <rPh sb="14" eb="16">
      <t>ウンテン</t>
    </rPh>
    <rPh sb="20" eb="22">
      <t>タイオウ</t>
    </rPh>
    <rPh sb="23" eb="25">
      <t>ブヒン</t>
    </rPh>
    <rPh sb="26" eb="28">
      <t>コウカン</t>
    </rPh>
    <rPh sb="29" eb="31">
      <t>ジンソク</t>
    </rPh>
    <rPh sb="32" eb="34">
      <t>ジッシ</t>
    </rPh>
    <phoneticPr fontId="5"/>
  </si>
  <si>
    <t>　　　設備が海外メーカーとなる場合は事業実施地域までの輸送コストも発生することに注意</t>
    <rPh sb="3" eb="5">
      <t>セツビ</t>
    </rPh>
    <rPh sb="6" eb="8">
      <t>カイガイ</t>
    </rPh>
    <rPh sb="15" eb="17">
      <t>バアイ</t>
    </rPh>
    <rPh sb="18" eb="22">
      <t>ジギョウジッシ</t>
    </rPh>
    <rPh sb="22" eb="24">
      <t>チイキ</t>
    </rPh>
    <rPh sb="27" eb="29">
      <t>ユソウ</t>
    </rPh>
    <rPh sb="33" eb="35">
      <t>ハッセイ</t>
    </rPh>
    <rPh sb="40" eb="42">
      <t>チュウイ</t>
    </rPh>
    <phoneticPr fontId="5"/>
  </si>
  <si>
    <t>　・　工事費</t>
    <rPh sb="3" eb="5">
      <t>コウジ</t>
    </rPh>
    <phoneticPr fontId="5"/>
  </si>
  <si>
    <t>　・　設備費</t>
    <rPh sb="3" eb="5">
      <t>セツビ</t>
    </rPh>
    <phoneticPr fontId="5"/>
  </si>
  <si>
    <t>　　　事業実施地域の土壌や、傾斜などの状況により工事費用が変動しやすいことに注意</t>
    <rPh sb="3" eb="7">
      <t>ジギョウジッシ</t>
    </rPh>
    <rPh sb="7" eb="9">
      <t>チイキ</t>
    </rPh>
    <rPh sb="10" eb="12">
      <t>ドジョウ</t>
    </rPh>
    <rPh sb="14" eb="16">
      <t>ケイシャ</t>
    </rPh>
    <rPh sb="19" eb="21">
      <t>ジョウキョウ</t>
    </rPh>
    <rPh sb="24" eb="28">
      <t>コウジヒヨウ</t>
    </rPh>
    <rPh sb="29" eb="31">
      <t>ヘンドウ</t>
    </rPh>
    <rPh sb="38" eb="40">
      <t>チュウイ</t>
    </rPh>
    <phoneticPr fontId="5"/>
  </si>
  <si>
    <t>　　　→　費目の変動要素はSTEP 2のPointや、ガイドラインを参照ください</t>
    <rPh sb="5" eb="7">
      <t>ヒモク</t>
    </rPh>
    <rPh sb="8" eb="10">
      <t>ヘンドウ</t>
    </rPh>
    <rPh sb="10" eb="12">
      <t>ヨウソ</t>
    </rPh>
    <rPh sb="34" eb="36">
      <t>サンショウ</t>
    </rPh>
    <phoneticPr fontId="5"/>
  </si>
  <si>
    <r>
      <t>　・　本計算ツールで試算した結果はバイオマス事業の全体感を把握するものであり、</t>
    </r>
    <r>
      <rPr>
        <b/>
        <sz val="12"/>
        <color rgb="FFFF0000"/>
        <rFont val="ＭＳ Ｐゴシック"/>
        <family val="3"/>
        <charset val="128"/>
        <scheme val="minor"/>
      </rPr>
      <t>事業性を確約するものでは無いことにご注意ください</t>
    </r>
    <r>
      <rPr>
        <sz val="12"/>
        <rFont val="ＭＳ Ｐゴシック"/>
        <family val="3"/>
        <charset val="128"/>
        <scheme val="minor"/>
      </rPr>
      <t>。</t>
    </r>
    <rPh sb="3" eb="4">
      <t>ホン</t>
    </rPh>
    <rPh sb="4" eb="6">
      <t>ケイサン</t>
    </rPh>
    <rPh sb="10" eb="12">
      <t>シサン</t>
    </rPh>
    <rPh sb="14" eb="16">
      <t>ケッカ</t>
    </rPh>
    <rPh sb="22" eb="24">
      <t>ジギョウ</t>
    </rPh>
    <rPh sb="25" eb="27">
      <t>ゼンタイ</t>
    </rPh>
    <rPh sb="27" eb="28">
      <t>カン</t>
    </rPh>
    <rPh sb="29" eb="31">
      <t>ハアク</t>
    </rPh>
    <rPh sb="39" eb="42">
      <t>ジギョウセイ</t>
    </rPh>
    <rPh sb="43" eb="45">
      <t>カクヤク</t>
    </rPh>
    <rPh sb="51" eb="52">
      <t>ナ</t>
    </rPh>
    <rPh sb="57" eb="59">
      <t>チュウイ</t>
    </rPh>
    <phoneticPr fontId="4"/>
  </si>
  <si>
    <t>　※　本分析のご利用に関する注意事項は"はじめに"のシートをご確認ください</t>
    <rPh sb="3" eb="6">
      <t>ホンブンセキ</t>
    </rPh>
    <rPh sb="8" eb="10">
      <t>リヨウ</t>
    </rPh>
    <rPh sb="11" eb="12">
      <t>カン</t>
    </rPh>
    <rPh sb="14" eb="18">
      <t>チュウイジコウ</t>
    </rPh>
    <rPh sb="31" eb="33">
      <t>カクニン</t>
    </rPh>
    <phoneticPr fontId="5"/>
  </si>
  <si>
    <t>Project IRR（税引後）</t>
    <rPh sb="12" eb="14">
      <t>ゼイビ</t>
    </rPh>
    <rPh sb="14" eb="15">
      <t>ゴ</t>
    </rPh>
    <phoneticPr fontId="4"/>
  </si>
  <si>
    <t>（重要）本ツールの位置づけと実際の検討における注意点</t>
    <rPh sb="1" eb="3">
      <t>ジュウヨウ</t>
    </rPh>
    <rPh sb="4" eb="5">
      <t>ホン</t>
    </rPh>
    <rPh sb="5" eb="6">
      <t>ジホン</t>
    </rPh>
    <rPh sb="9" eb="11">
      <t>イチ</t>
    </rPh>
    <rPh sb="14" eb="16">
      <t>ジッサイ</t>
    </rPh>
    <rPh sb="17" eb="19">
      <t>ケントウ</t>
    </rPh>
    <rPh sb="23" eb="26">
      <t>チュウイテン</t>
    </rPh>
    <phoneticPr fontId="4"/>
  </si>
  <si>
    <t>Point　バイオマス原料の調達リスク</t>
    <rPh sb="11" eb="13">
      <t>ゲンリョウ</t>
    </rPh>
    <rPh sb="14" eb="16">
      <t>チョウタツ</t>
    </rPh>
    <phoneticPr fontId="4"/>
  </si>
  <si>
    <t>　・　特に森林未利用材については、原料のポテンシャルだけでなく地域の林業事業者および輸送業者の体制も鑑みた現実的な</t>
    <rPh sb="3" eb="4">
      <t>トク</t>
    </rPh>
    <rPh sb="5" eb="7">
      <t>シンリン</t>
    </rPh>
    <rPh sb="7" eb="11">
      <t>ミリヨウザイ</t>
    </rPh>
    <rPh sb="17" eb="19">
      <t>ゲンリョウ</t>
    </rPh>
    <rPh sb="31" eb="33">
      <t>チイキ</t>
    </rPh>
    <rPh sb="34" eb="36">
      <t>リンギョウ</t>
    </rPh>
    <rPh sb="36" eb="39">
      <t>ジギョウシャ</t>
    </rPh>
    <rPh sb="42" eb="44">
      <t>ユソウ</t>
    </rPh>
    <rPh sb="44" eb="46">
      <t>ギョウシャ</t>
    </rPh>
    <phoneticPr fontId="5"/>
  </si>
  <si>
    <t>　　　調達可能量を検討する必要がある。</t>
    <phoneticPr fontId="5"/>
  </si>
  <si>
    <t>　・　遠方から調達する場合は輸送費が増加することに留意する。また、特に廃棄物系の場合は輸送費を排出元と利用者のどちらが</t>
    <rPh sb="3" eb="5">
      <t>エンポウ</t>
    </rPh>
    <rPh sb="7" eb="9">
      <t>チョウタツ</t>
    </rPh>
    <rPh sb="11" eb="13">
      <t>バアイ</t>
    </rPh>
    <rPh sb="14" eb="16">
      <t>ユソウ</t>
    </rPh>
    <rPh sb="18" eb="20">
      <t>ゾウカ</t>
    </rPh>
    <rPh sb="25" eb="27">
      <t>リュウイ</t>
    </rPh>
    <rPh sb="33" eb="34">
      <t>トク</t>
    </rPh>
    <rPh sb="35" eb="39">
      <t>ハイキブツケイ</t>
    </rPh>
    <rPh sb="40" eb="42">
      <t>バアイ</t>
    </rPh>
    <rPh sb="43" eb="45">
      <t>ユソウ</t>
    </rPh>
    <rPh sb="45" eb="46">
      <t>ヒ</t>
    </rPh>
    <rPh sb="47" eb="49">
      <t>ハイシュツ</t>
    </rPh>
    <rPh sb="49" eb="50">
      <t>モト</t>
    </rPh>
    <phoneticPr fontId="5"/>
  </si>
  <si>
    <t>Point　STEP2の初期条件における注意点（感度分析における主要パラメーター）</t>
    <rPh sb="12" eb="14">
      <t>ショキ</t>
    </rPh>
    <rPh sb="14" eb="16">
      <t>ジョウケン</t>
    </rPh>
    <rPh sb="20" eb="23">
      <t>チュウイテン</t>
    </rPh>
    <rPh sb="24" eb="28">
      <t>カンドブンセキ</t>
    </rPh>
    <rPh sb="32" eb="34">
      <t>シュヨウ</t>
    </rPh>
    <phoneticPr fontId="4"/>
  </si>
  <si>
    <t>　　　電力・熱（温水）の販売価格は需要家の現在の取引価格や環境価値を踏まえて交渉することが必要</t>
    <rPh sb="3" eb="5">
      <t>デンリョク</t>
    </rPh>
    <rPh sb="6" eb="7">
      <t>ネツ</t>
    </rPh>
    <rPh sb="8" eb="10">
      <t>オンスイ</t>
    </rPh>
    <rPh sb="12" eb="14">
      <t>ハンバイ</t>
    </rPh>
    <rPh sb="14" eb="16">
      <t>カカク</t>
    </rPh>
    <rPh sb="17" eb="20">
      <t>ジュヨウカ</t>
    </rPh>
    <rPh sb="21" eb="23">
      <t>ゲンザイ</t>
    </rPh>
    <rPh sb="24" eb="28">
      <t>トリヒキカカク</t>
    </rPh>
    <rPh sb="29" eb="33">
      <t>カンキョウカチ</t>
    </rPh>
    <rPh sb="34" eb="35">
      <t>フ</t>
    </rPh>
    <rPh sb="38" eb="40">
      <t>コウショウ</t>
    </rPh>
    <rPh sb="45" eb="47">
      <t>ヒツヨウ</t>
    </rPh>
    <phoneticPr fontId="5"/>
  </si>
  <si>
    <t>　・　木質バイオマス発電事業の場合は、廃熱も有効活用することで事業性が向上する可能性がある。</t>
    <rPh sb="3" eb="5">
      <t>モクシツ</t>
    </rPh>
    <rPh sb="10" eb="12">
      <t>ハツデン</t>
    </rPh>
    <rPh sb="12" eb="14">
      <t>ジギョウ</t>
    </rPh>
    <rPh sb="15" eb="17">
      <t>バアイ</t>
    </rPh>
    <rPh sb="19" eb="21">
      <t>ハイネツ</t>
    </rPh>
    <rPh sb="22" eb="24">
      <t>ユウコウ</t>
    </rPh>
    <rPh sb="24" eb="26">
      <t>カツヨウ</t>
    </rPh>
    <rPh sb="31" eb="33">
      <t>ジギョウ</t>
    </rPh>
    <rPh sb="33" eb="34">
      <t>セイ</t>
    </rPh>
    <rPh sb="35" eb="37">
      <t>コウジョウ</t>
    </rPh>
    <rPh sb="39" eb="42">
      <t>カノウセイ</t>
    </rPh>
    <phoneticPr fontId="4"/>
  </si>
  <si>
    <t>　・　木質バイオマス熱利用は化石燃料と比較して環境影響が小さいだけでなく、価格変動リスクが少ないメリットがある。</t>
    <rPh sb="3" eb="5">
      <t>モクシツ</t>
    </rPh>
    <rPh sb="10" eb="11">
      <t>ネツ</t>
    </rPh>
    <rPh sb="11" eb="13">
      <t>リヨウ</t>
    </rPh>
    <rPh sb="14" eb="18">
      <t>カセキネンリョウ</t>
    </rPh>
    <rPh sb="19" eb="21">
      <t>ヒカク</t>
    </rPh>
    <rPh sb="23" eb="25">
      <t>カンキョウ</t>
    </rPh>
    <rPh sb="25" eb="27">
      <t>エイキョウ</t>
    </rPh>
    <rPh sb="28" eb="29">
      <t>チイ</t>
    </rPh>
    <rPh sb="37" eb="39">
      <t>カカク</t>
    </rPh>
    <rPh sb="39" eb="41">
      <t>ヘンドウ</t>
    </rPh>
    <rPh sb="45" eb="46">
      <t>スク</t>
    </rPh>
    <phoneticPr fontId="4"/>
  </si>
  <si>
    <t>　・　外部に熱供給を行う場合は需要家との地理的な距離を含めた販売先の確保が課題となる。</t>
    <rPh sb="3" eb="5">
      <t>ガイブ</t>
    </rPh>
    <rPh sb="6" eb="7">
      <t>ネツ</t>
    </rPh>
    <rPh sb="7" eb="9">
      <t>キョウキュウ</t>
    </rPh>
    <rPh sb="10" eb="11">
      <t>オコナ</t>
    </rPh>
    <rPh sb="12" eb="14">
      <t>バアイ</t>
    </rPh>
    <rPh sb="15" eb="18">
      <t>ジュヨウカ</t>
    </rPh>
    <rPh sb="20" eb="23">
      <t>チリテキ</t>
    </rPh>
    <rPh sb="24" eb="26">
      <t>キョリ</t>
    </rPh>
    <rPh sb="27" eb="28">
      <t>フク</t>
    </rPh>
    <rPh sb="30" eb="33">
      <t>ハンバイサキ</t>
    </rPh>
    <rPh sb="34" eb="36">
      <t>カクホ</t>
    </rPh>
    <rPh sb="37" eb="39">
      <t>カダイ</t>
    </rPh>
    <phoneticPr fontId="4"/>
  </si>
  <si>
    <t>　・　そのため、事業開始時に隣接地域の熱需要状況について調査を行う必要がある。</t>
    <phoneticPr fontId="5"/>
  </si>
  <si>
    <r>
      <t>　・　本計算ツールは</t>
    </r>
    <r>
      <rPr>
        <b/>
        <sz val="12"/>
        <color rgb="FFFF0000"/>
        <rFont val="ＭＳ Ｐゴシック"/>
        <family val="3"/>
        <charset val="128"/>
        <scheme val="minor"/>
      </rPr>
      <t>各入力条件の感度分析をとおして、事業の成立において影響度の高い費目と規模感を把握し、バイオマス事業への理解を深めていただくことを</t>
    </r>
    <rPh sb="3" eb="4">
      <t>ホン</t>
    </rPh>
    <rPh sb="4" eb="6">
      <t>ケイサン</t>
    </rPh>
    <rPh sb="10" eb="13">
      <t>カクニュウリョク</t>
    </rPh>
    <rPh sb="13" eb="15">
      <t>ジョウケン</t>
    </rPh>
    <rPh sb="16" eb="20">
      <t>カンドブンセキ</t>
    </rPh>
    <rPh sb="26" eb="28">
      <t>ジギョウ</t>
    </rPh>
    <rPh sb="29" eb="31">
      <t>セイリツ</t>
    </rPh>
    <rPh sb="35" eb="38">
      <t>エイキョウド</t>
    </rPh>
    <rPh sb="39" eb="40">
      <t>タカ</t>
    </rPh>
    <rPh sb="41" eb="43">
      <t>ヒモク</t>
    </rPh>
    <rPh sb="44" eb="47">
      <t>キボカン</t>
    </rPh>
    <rPh sb="48" eb="50">
      <t>ハアク</t>
    </rPh>
    <rPh sb="57" eb="59">
      <t>ジギョウ</t>
    </rPh>
    <rPh sb="61" eb="63">
      <t>リカイ</t>
    </rPh>
    <rPh sb="64" eb="65">
      <t>フカ</t>
    </rPh>
    <phoneticPr fontId="4"/>
  </si>
  <si>
    <t>　　　目的としています。</t>
    <phoneticPr fontId="5"/>
  </si>
  <si>
    <r>
      <rPr>
        <sz val="11"/>
        <color theme="1"/>
        <rFont val="ＭＳ Ｐゴシック"/>
        <family val="3"/>
        <charset val="128"/>
      </rPr>
      <t>年間の運転維持費の</t>
    </r>
    <r>
      <rPr>
        <sz val="11"/>
        <color theme="1"/>
        <rFont val="Arial"/>
        <family val="2"/>
      </rPr>
      <t>12.5%</t>
    </r>
    <r>
      <rPr>
        <sz val="11"/>
        <color theme="1"/>
        <rFont val="ＭＳ Ｐゴシック"/>
        <family val="3"/>
        <charset val="128"/>
      </rPr>
      <t>を想定</t>
    </r>
    <rPh sb="15" eb="17">
      <t>ソウテイ</t>
    </rPh>
    <phoneticPr fontId="5"/>
  </si>
  <si>
    <r>
      <rPr>
        <sz val="11"/>
        <color theme="1"/>
        <rFont val="ＭＳ Ｐゴシック"/>
        <family val="3"/>
        <charset val="128"/>
      </rPr>
      <t>年間の運転維持費の</t>
    </r>
    <r>
      <rPr>
        <sz val="11"/>
        <color theme="1"/>
        <rFont val="Arial"/>
        <family val="2"/>
      </rPr>
      <t>15%</t>
    </r>
    <r>
      <rPr>
        <sz val="11"/>
        <color theme="1"/>
        <rFont val="ＭＳ Ｐゴシック"/>
        <family val="3"/>
        <charset val="128"/>
      </rPr>
      <t>を想定</t>
    </r>
    <rPh sb="13" eb="15">
      <t>ソウテイ</t>
    </rPh>
    <phoneticPr fontId="5"/>
  </si>
  <si>
    <r>
      <rPr>
        <sz val="11"/>
        <color theme="1"/>
        <rFont val="ＭＳ Ｐゴシック"/>
        <family val="3"/>
        <charset val="128"/>
      </rPr>
      <t>年間の運転維持費の</t>
    </r>
    <r>
      <rPr>
        <sz val="11"/>
        <color theme="1"/>
        <rFont val="Arial"/>
        <family val="2"/>
      </rPr>
      <t>5%</t>
    </r>
    <r>
      <rPr>
        <sz val="11"/>
        <color theme="1"/>
        <rFont val="ＭＳ Ｐゴシック"/>
        <family val="3"/>
        <charset val="128"/>
      </rPr>
      <t>を想定</t>
    </r>
    <rPh sb="12" eb="14">
      <t>ソウテイ</t>
    </rPh>
    <phoneticPr fontId="5"/>
  </si>
  <si>
    <r>
      <t>　・　バイオマス事業は地域条件によって設備コストやバイオマス資源の性質等が大きく異なるため、</t>
    </r>
    <r>
      <rPr>
        <b/>
        <sz val="12"/>
        <color rgb="FFFF0000"/>
        <rFont val="ＭＳ Ｐゴシック"/>
        <family val="3"/>
        <charset val="128"/>
        <scheme val="minor"/>
      </rPr>
      <t>実際の事業性判断にはFS調査によるを精緻化する必要があります。</t>
    </r>
    <rPh sb="19" eb="21">
      <t>セツビ</t>
    </rPh>
    <rPh sb="46" eb="48">
      <t>ジッサイ</t>
    </rPh>
    <rPh sb="49" eb="51">
      <t>ジギョウ</t>
    </rPh>
    <rPh sb="51" eb="52">
      <t>セイ</t>
    </rPh>
    <rPh sb="52" eb="54">
      <t>ハンダン</t>
    </rPh>
    <phoneticPr fontId="4"/>
  </si>
  <si>
    <t>地域経済効果を含めた事業のProject IRR</t>
    <rPh sb="0" eb="2">
      <t>チイキ</t>
    </rPh>
    <rPh sb="2" eb="4">
      <t>ケイザイ</t>
    </rPh>
    <rPh sb="4" eb="6">
      <t>コウカ</t>
    </rPh>
    <rPh sb="7" eb="8">
      <t>フク</t>
    </rPh>
    <rPh sb="10" eb="12">
      <t>ジギョウ</t>
    </rPh>
    <phoneticPr fontId="4"/>
  </si>
  <si>
    <t>経済産業省資源エネルギー庁　調達価格算定委員会「令和3年度以降の調達価格等に関する意見」のデータや事業者ヒアリングから設備規模に応じて三sニュつ</t>
    <rPh sb="0" eb="2">
      <t>ケイザイ</t>
    </rPh>
    <rPh sb="2" eb="5">
      <t>サンギョウショウ</t>
    </rPh>
    <rPh sb="5" eb="7">
      <t>シゲン</t>
    </rPh>
    <rPh sb="12" eb="13">
      <t>チョウ</t>
    </rPh>
    <rPh sb="14" eb="16">
      <t>チョウタツ</t>
    </rPh>
    <rPh sb="16" eb="18">
      <t>カカク</t>
    </rPh>
    <rPh sb="18" eb="20">
      <t>サンテイ</t>
    </rPh>
    <rPh sb="20" eb="23">
      <t>イインカイ</t>
    </rPh>
    <rPh sb="24" eb="26">
      <t>レイワ</t>
    </rPh>
    <rPh sb="27" eb="29">
      <t>ネンド</t>
    </rPh>
    <rPh sb="29" eb="31">
      <t>イコウ</t>
    </rPh>
    <rPh sb="32" eb="34">
      <t>チョウタツ</t>
    </rPh>
    <rPh sb="34" eb="37">
      <t>カカクナド</t>
    </rPh>
    <rPh sb="38" eb="39">
      <t>カン</t>
    </rPh>
    <rPh sb="41" eb="43">
      <t>イケン</t>
    </rPh>
    <rPh sb="49" eb="52">
      <t>ジギョウシャ</t>
    </rPh>
    <rPh sb="59" eb="61">
      <t>セツビ</t>
    </rPh>
    <rPh sb="61" eb="63">
      <t>キボ</t>
    </rPh>
    <rPh sb="64" eb="65">
      <t>オウ</t>
    </rPh>
    <rPh sb="67" eb="68">
      <t>サン</t>
    </rPh>
    <phoneticPr fontId="4"/>
  </si>
  <si>
    <t>費用内訳はNEDOバイオマスエネルギーの地域自立システム化実証事業におけるFS報告書や事業者ヒアリングを参考に設定</t>
    <rPh sb="0" eb="2">
      <t>ヒヨウ</t>
    </rPh>
    <rPh sb="2" eb="4">
      <t>ウチワケ</t>
    </rPh>
    <rPh sb="39" eb="42">
      <t>ホウコクショ</t>
    </rPh>
    <rPh sb="43" eb="51">
      <t>ジギョ</t>
    </rPh>
    <rPh sb="52" eb="54">
      <t>サンコウ</t>
    </rPh>
    <rPh sb="55" eb="57">
      <t>セッテイ</t>
    </rPh>
    <phoneticPr fontId="4"/>
  </si>
  <si>
    <t>費用内訳はNEDOバイオマスエネルギーの地域自立システム化実証事業におけるFS報告書や事業者ヒアリングを参考に設定</t>
    <rPh sb="0" eb="2">
      <t>ヒヨウ</t>
    </rPh>
    <rPh sb="2" eb="4">
      <t>ウチワケ</t>
    </rPh>
    <rPh sb="39" eb="42">
      <t>ホウコクショ</t>
    </rPh>
    <phoneticPr fontId="4"/>
  </si>
  <si>
    <t>　※本ツールにおける地域経済性分析は、ツールとして一般化する関係上、全国大の法人企業統計や仮想値を使用しており、地域経済効果の算出は実態と異なる場合</t>
    <rPh sb="2" eb="3">
      <t>ホン</t>
    </rPh>
    <rPh sb="10" eb="14">
      <t>チイキケイザイ</t>
    </rPh>
    <rPh sb="14" eb="15">
      <t>セイ</t>
    </rPh>
    <rPh sb="15" eb="17">
      <t>ブンセキ</t>
    </rPh>
    <rPh sb="25" eb="28">
      <t>イッパンカ</t>
    </rPh>
    <rPh sb="30" eb="33">
      <t>カンケイジョウ</t>
    </rPh>
    <rPh sb="34" eb="36">
      <t>ゼンコク</t>
    </rPh>
    <rPh sb="36" eb="37">
      <t>ダイ</t>
    </rPh>
    <rPh sb="38" eb="42">
      <t>ホウジンキギョウ</t>
    </rPh>
    <rPh sb="42" eb="44">
      <t>トウケイ</t>
    </rPh>
    <rPh sb="45" eb="47">
      <t>カソウ</t>
    </rPh>
    <rPh sb="47" eb="48">
      <t>チ</t>
    </rPh>
    <rPh sb="49" eb="51">
      <t>シヨウ</t>
    </rPh>
    <rPh sb="56" eb="60">
      <t>チイキケイザイ</t>
    </rPh>
    <rPh sb="60" eb="62">
      <t>コウカ</t>
    </rPh>
    <rPh sb="63" eb="65">
      <t>サンシュツ</t>
    </rPh>
    <rPh sb="66" eb="68">
      <t>ジッタイ</t>
    </rPh>
    <rPh sb="69" eb="70">
      <t>コト</t>
    </rPh>
    <rPh sb="72" eb="74">
      <t>バアイ</t>
    </rPh>
    <phoneticPr fontId="4"/>
  </si>
  <si>
    <t>　　　がある。</t>
    <phoneticPr fontId="5"/>
  </si>
  <si>
    <t>　※想定する地域内にガス事業者や電気事業者、廃棄物事業者等が既に存在する場合、新規のバイオマス事業の開始によって既存事業者が影響を受ける可能性につい</t>
    <phoneticPr fontId="4"/>
  </si>
  <si>
    <t>　　 て確認が必要。</t>
    <rPh sb="7" eb="9">
      <t>ヒツヨウ</t>
    </rPh>
    <phoneticPr fontId="4"/>
  </si>
  <si>
    <t>•本ツールの情報は、バイオマスエネルギー事業における諸活動を支援するため作成されたものになります。</t>
  </si>
  <si>
    <t>また、本ツールの使用により発生した不具合に対して、NEDOは一切責任を負いません。不具合等発見された際には、問合せフォームからご連絡をお願いします。</t>
  </si>
  <si>
    <t>地域経済性分析ツール（入門編、木質バイオマス）</t>
    <rPh sb="0" eb="2">
      <t>チイキ</t>
    </rPh>
    <rPh sb="2" eb="5">
      <t>ケイザイセイ</t>
    </rPh>
    <rPh sb="5" eb="7">
      <t>ブンセキ</t>
    </rPh>
    <rPh sb="11" eb="14">
      <t>ニュウモンヘン</t>
    </rPh>
    <rPh sb="15" eb="17">
      <t>モクシツ</t>
    </rPh>
    <phoneticPr fontId="4"/>
  </si>
  <si>
    <t>1.0</t>
    <phoneticPr fontId="4"/>
  </si>
  <si>
    <t>正式版としてリリースしました</t>
    <rPh sb="0" eb="3">
      <t>セイシキバン</t>
    </rPh>
    <phoneticPr fontId="4"/>
  </si>
  <si>
    <t>灰処置費用</t>
    <rPh sb="0" eb="1">
      <t>ハイ</t>
    </rPh>
    <rPh sb="1" eb="3">
      <t>ショチ</t>
    </rPh>
    <rPh sb="3" eb="5">
      <t>ヒヨウ</t>
    </rPh>
    <phoneticPr fontId="4"/>
  </si>
  <si>
    <t>メンテナンス・修繕費用</t>
    <rPh sb="7" eb="9">
      <t>シュウゼン</t>
    </rPh>
    <rPh sb="9" eb="11">
      <t>ヒヨウ</t>
    </rPh>
    <phoneticPr fontId="4"/>
  </si>
  <si>
    <t>BTG</t>
  </si>
  <si>
    <t>計算シートのキャッシュフローと揃える→</t>
    <rPh sb="0" eb="2">
      <t>ケイサン</t>
    </rPh>
    <rPh sb="15" eb="16">
      <t>ソロ</t>
    </rPh>
    <phoneticPr fontId="4"/>
  </si>
  <si>
    <t>　　地域内銀行借入金から得られる金融機関の利息収入のうち、事業利益と従業員所得となる金額。地域内の金融機関活用によって地域経済効果の上昇が可能。</t>
    <rPh sb="2" eb="5">
      <t>チイキナイ</t>
    </rPh>
    <rPh sb="5" eb="7">
      <t>ギンコウ</t>
    </rPh>
    <rPh sb="7" eb="9">
      <t>シャクニュウ</t>
    </rPh>
    <rPh sb="9" eb="10">
      <t>キン</t>
    </rPh>
    <rPh sb="12" eb="13">
      <t>エ</t>
    </rPh>
    <rPh sb="16" eb="20">
      <t>キン</t>
    </rPh>
    <rPh sb="21" eb="23">
      <t>リソク</t>
    </rPh>
    <rPh sb="23" eb="25">
      <t>シュウニュウ</t>
    </rPh>
    <rPh sb="29" eb="33">
      <t>ジギョウリエキ</t>
    </rPh>
    <rPh sb="34" eb="37">
      <t>ジュウギョウイン</t>
    </rPh>
    <rPh sb="37" eb="39">
      <t>ショトク</t>
    </rPh>
    <rPh sb="42" eb="44">
      <t>キンガク</t>
    </rPh>
    <rPh sb="45" eb="48">
      <t>チイキナイ</t>
    </rPh>
    <rPh sb="49" eb="53">
      <t>キンユウキカン</t>
    </rPh>
    <rPh sb="53" eb="55">
      <t>カツヨウ</t>
    </rPh>
    <rPh sb="59" eb="63">
      <t>チイキケイザイ</t>
    </rPh>
    <rPh sb="63" eb="65">
      <t>コウカ</t>
    </rPh>
    <rPh sb="66" eb="68">
      <t>ジョウショウ</t>
    </rPh>
    <rPh sb="69" eb="71">
      <t>カノウ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</si>
</sst>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Red]\-#,##0.0"/>
    <numFmt numFmtId="177" formatCode="0.00_ "/>
    <numFmt numFmtId="178" formatCode="0.0%"/>
    <numFmt numFmtId="179" formatCode="#,##0_ "/>
    <numFmt numFmtId="180" formatCode="#,##0_ ;[Red]\-#,##0\ "/>
    <numFmt numFmtId="181" formatCode="0.0"/>
    <numFmt numFmtId="182" formatCode="#,##0.000;[Red]\-#,##0.000"/>
    <numFmt numFmtId="183" formatCode="#,##0.0000000000000_ ;[Red]\-#,##0.0000000000000\ "/>
    <numFmt numFmtId="184" formatCode="0.000000%"/>
    <numFmt numFmtId="185" formatCode="#,##0.000000000000000_ ;[Red]\-#,##0.000000000000000\ "/>
  </numFmts>
  <fonts count="108" x14ac:knownFonts="1">
    <font>
      <sz val="11"/>
      <color theme="1"/>
      <name val="ＭＳ Ｐゴシック"/>
      <family val="3"/>
      <charset val="128"/>
      <scheme val="minor"/>
    </font>
    <font>
      <sz val="11"/>
      <color theme="1"/>
      <name val="ＭＳ Ｐゴシック"/>
      <family val="2"/>
      <charset val="128"/>
      <scheme val="minor"/>
    </font>
    <font>
      <sz val="10"/>
      <color theme="1"/>
      <name val="Arial"/>
      <family val="2"/>
    </font>
    <font>
      <sz val="10"/>
      <color theme="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color indexed="8"/>
      <name val="Arial"/>
      <family val="2"/>
    </font>
    <font>
      <sz val="10"/>
      <color indexed="8"/>
      <name val="ＭＳ Ｐゴシック"/>
      <family val="3"/>
      <charset val="128"/>
    </font>
    <font>
      <sz val="10"/>
      <name val="ＭＳ Ｐゴシック"/>
      <family val="3"/>
      <charset val="128"/>
    </font>
    <font>
      <sz val="10"/>
      <name val="Arial"/>
      <family val="2"/>
    </font>
    <font>
      <sz val="10"/>
      <color theme="0"/>
      <name val="ＭＳ Ｐゴシック"/>
      <family val="3"/>
      <charset val="128"/>
    </font>
    <font>
      <sz val="10"/>
      <color theme="0"/>
      <name val="Arial"/>
      <family val="2"/>
    </font>
    <font>
      <b/>
      <sz val="10"/>
      <color theme="0"/>
      <name val="ＭＳ Ｐゴシック"/>
      <family val="3"/>
      <charset val="128"/>
    </font>
    <font>
      <b/>
      <sz val="10"/>
      <color theme="0"/>
      <name val="Arial"/>
      <family val="2"/>
    </font>
    <font>
      <b/>
      <sz val="9"/>
      <color indexed="81"/>
      <name val="ＭＳ Ｐゴシック"/>
      <family val="3"/>
      <charset val="128"/>
    </font>
    <font>
      <b/>
      <sz val="10"/>
      <name val="Arial"/>
      <family val="2"/>
    </font>
    <font>
      <b/>
      <sz val="10"/>
      <color indexed="37"/>
      <name val="Arial"/>
      <family val="2"/>
    </font>
    <font>
      <b/>
      <sz val="10"/>
      <name val="ＭＳ Ｐゴシック"/>
      <family val="3"/>
      <charset val="128"/>
    </font>
    <font>
      <sz val="10"/>
      <name val="HGPｺﾞｼｯｸE"/>
      <family val="3"/>
      <charset val="128"/>
    </font>
    <font>
      <sz val="10"/>
      <color rgb="FFFF0000"/>
      <name val="Arial"/>
      <family val="2"/>
    </font>
    <font>
      <b/>
      <sz val="11"/>
      <color theme="0"/>
      <name val="ＭＳ Ｐゴシック"/>
      <family val="3"/>
      <charset val="128"/>
      <scheme val="minor"/>
    </font>
    <font>
      <sz val="9"/>
      <color theme="1"/>
      <name val="ＭＳ Ｐゴシック"/>
      <family val="3"/>
      <charset val="128"/>
    </font>
    <font>
      <sz val="9"/>
      <color indexed="8"/>
      <name val="Arial"/>
      <family val="2"/>
    </font>
    <font>
      <sz val="9"/>
      <color theme="1"/>
      <name val="Arial"/>
      <family val="2"/>
    </font>
    <font>
      <b/>
      <sz val="12"/>
      <color indexed="8"/>
      <name val="ＭＳ Ｐゴシック"/>
      <family val="3"/>
      <charset val="128"/>
    </font>
    <font>
      <sz val="11"/>
      <color indexed="8"/>
      <name val="Arial"/>
      <family val="2"/>
    </font>
    <font>
      <b/>
      <sz val="11"/>
      <color theme="1"/>
      <name val="ＭＳ Ｐゴシック"/>
      <family val="3"/>
      <charset val="128"/>
      <scheme val="minor"/>
    </font>
    <font>
      <b/>
      <sz val="10"/>
      <color theme="1"/>
      <name val="ＭＳ Ｐゴシック"/>
      <family val="3"/>
      <charset val="128"/>
      <scheme val="minor"/>
    </font>
    <font>
      <b/>
      <sz val="10"/>
      <color theme="1"/>
      <name val="ＭＳ Ｐゴシック"/>
      <family val="3"/>
      <charset val="128"/>
    </font>
    <font>
      <sz val="18"/>
      <color indexed="8"/>
      <name val="ＭＳ Ｐゴシック"/>
      <family val="3"/>
      <charset val="128"/>
    </font>
    <font>
      <b/>
      <sz val="10"/>
      <color theme="0"/>
      <name val="ＭＳ Ｐゴシック"/>
      <family val="3"/>
      <charset val="128"/>
      <scheme val="minor"/>
    </font>
    <font>
      <b/>
      <sz val="9"/>
      <color theme="0"/>
      <name val="ＭＳ Ｐゴシック"/>
      <family val="3"/>
      <charset val="128"/>
      <scheme val="minor"/>
    </font>
    <font>
      <b/>
      <sz val="9"/>
      <color theme="0"/>
      <name val="ＭＳ Ｐゴシック"/>
      <family val="3"/>
      <charset val="128"/>
    </font>
    <font>
      <sz val="14"/>
      <color indexed="8"/>
      <name val="ＭＳ Ｐゴシック"/>
      <family val="3"/>
      <charset val="128"/>
    </font>
    <font>
      <sz val="10"/>
      <color theme="1"/>
      <name val="ＭＳ Ｐゴシック"/>
      <family val="3"/>
      <charset val="128"/>
      <scheme val="minor"/>
    </font>
    <font>
      <sz val="9"/>
      <name val="ＭＳ Ｐゴシック"/>
      <family val="3"/>
      <charset val="128"/>
    </font>
    <font>
      <b/>
      <sz val="12"/>
      <color theme="0"/>
      <name val="ＭＳ Ｐゴシック"/>
      <family val="3"/>
      <charset val="128"/>
    </font>
    <font>
      <b/>
      <sz val="12"/>
      <color theme="0"/>
      <name val="Arial"/>
      <family val="2"/>
    </font>
    <font>
      <sz val="12"/>
      <color theme="1"/>
      <name val="ＭＳ Ｐゴシック"/>
      <family val="3"/>
      <charset val="128"/>
      <scheme val="minor"/>
    </font>
    <font>
      <sz val="12"/>
      <color indexed="8"/>
      <name val="ＭＳ Ｐゴシック"/>
      <family val="3"/>
      <charset val="128"/>
    </font>
    <font>
      <sz val="12"/>
      <name val="Arial"/>
      <family val="2"/>
    </font>
    <font>
      <sz val="12"/>
      <name val="ＭＳ Ｐゴシック"/>
      <family val="3"/>
      <charset val="128"/>
    </font>
    <font>
      <sz val="12"/>
      <color indexed="8"/>
      <name val="Arial"/>
      <family val="2"/>
    </font>
    <font>
      <sz val="12"/>
      <color theme="1"/>
      <name val="Arial"/>
      <family val="2"/>
    </font>
    <font>
      <sz val="12"/>
      <color theme="1"/>
      <name val="ＭＳ Ｐゴシック"/>
      <family val="3"/>
      <charset val="128"/>
    </font>
    <font>
      <sz val="9"/>
      <color theme="1"/>
      <name val="ＭＳ Ｐゴシック"/>
      <family val="3"/>
      <charset val="128"/>
      <scheme val="minor"/>
    </font>
    <font>
      <sz val="9"/>
      <name val="ＭＳ Ｐゴシック"/>
      <family val="3"/>
      <charset val="128"/>
      <scheme val="minor"/>
    </font>
    <font>
      <sz val="9"/>
      <color indexed="8"/>
      <name val="ＭＳ Ｐゴシック"/>
      <family val="3"/>
      <charset val="128"/>
    </font>
    <font>
      <sz val="9"/>
      <color theme="0"/>
      <name val="ＭＳ Ｐゴシック"/>
      <family val="3"/>
      <charset val="128"/>
    </font>
    <font>
      <sz val="9"/>
      <color rgb="FFFF0000"/>
      <name val="ＭＳ Ｐゴシック"/>
      <family val="3"/>
      <charset val="128"/>
    </font>
    <font>
      <sz val="9"/>
      <color rgb="FF000000"/>
      <name val="Calibri"/>
      <family val="2"/>
    </font>
    <font>
      <b/>
      <sz val="9"/>
      <name val="ＭＳ Ｐゴシック"/>
      <family val="3"/>
      <charset val="128"/>
    </font>
    <font>
      <b/>
      <sz val="9"/>
      <name val="Arial"/>
      <family val="2"/>
    </font>
    <font>
      <sz val="9"/>
      <color theme="0"/>
      <name val="ＭＳ Ｐゴシック"/>
      <family val="3"/>
      <charset val="128"/>
      <scheme val="minor"/>
    </font>
    <font>
      <sz val="11"/>
      <name val="ＭＳ Ｐゴシック"/>
      <family val="3"/>
      <charset val="128"/>
    </font>
    <font>
      <sz val="11"/>
      <color theme="1"/>
      <name val="ＭＳ Ｐゴシック"/>
      <family val="2"/>
      <scheme val="minor"/>
    </font>
    <font>
      <sz val="8"/>
      <color theme="1"/>
      <name val="Arial"/>
      <family val="2"/>
    </font>
    <font>
      <b/>
      <sz val="12"/>
      <color rgb="FFFF0000"/>
      <name val="ＭＳ Ｐゴシック"/>
      <family val="3"/>
      <charset val="128"/>
    </font>
    <font>
      <b/>
      <sz val="12"/>
      <color rgb="FFFF0000"/>
      <name val="Arial"/>
      <family val="2"/>
    </font>
    <font>
      <sz val="16"/>
      <color theme="0"/>
      <name val="Arial"/>
      <family val="2"/>
    </font>
    <font>
      <sz val="11"/>
      <color theme="0"/>
      <name val="ＭＳ Ｐゴシック"/>
      <family val="3"/>
      <charset val="128"/>
      <scheme val="minor"/>
    </font>
    <font>
      <b/>
      <sz val="18"/>
      <color theme="0"/>
      <name val="ＭＳ Ｐゴシック"/>
      <family val="3"/>
      <charset val="128"/>
    </font>
    <font>
      <sz val="14"/>
      <color theme="1"/>
      <name val="ＭＳ Ｐゴシック"/>
      <family val="3"/>
      <charset val="128"/>
    </font>
    <font>
      <b/>
      <sz val="12"/>
      <name val="ＭＳ Ｐゴシック"/>
      <family val="3"/>
      <charset val="128"/>
    </font>
    <font>
      <sz val="18"/>
      <color theme="1"/>
      <name val="ＭＳ Ｐゴシック"/>
      <family val="3"/>
      <charset val="128"/>
    </font>
    <font>
      <sz val="14"/>
      <color theme="1"/>
      <name val="ＭＳ Ｐゴシック"/>
      <family val="3"/>
      <charset val="128"/>
      <scheme val="minor"/>
    </font>
    <font>
      <b/>
      <sz val="16"/>
      <color theme="1"/>
      <name val="ＭＳ Ｐゴシック"/>
      <family val="3"/>
      <charset val="128"/>
      <scheme val="minor"/>
    </font>
    <font>
      <sz val="14"/>
      <color theme="1"/>
      <name val="Arial"/>
      <family val="2"/>
    </font>
    <font>
      <b/>
      <sz val="14"/>
      <color theme="0"/>
      <name val="ＭＳ Ｐゴシック"/>
      <family val="3"/>
      <charset val="128"/>
    </font>
    <font>
      <b/>
      <sz val="14"/>
      <color theme="0"/>
      <name val="Arial"/>
      <family val="2"/>
    </font>
    <font>
      <sz val="14"/>
      <color indexed="8"/>
      <name val="Arial"/>
      <family val="2"/>
    </font>
    <font>
      <sz val="14"/>
      <name val="ＭＳ Ｐゴシック"/>
      <family val="3"/>
      <charset val="128"/>
    </font>
    <font>
      <sz val="14"/>
      <name val="Arial"/>
      <family val="2"/>
    </font>
    <font>
      <sz val="16"/>
      <color theme="1"/>
      <name val="Arial"/>
      <family val="2"/>
    </font>
    <font>
      <b/>
      <sz val="16"/>
      <color theme="1"/>
      <name val="ＭＳ Ｐゴシック"/>
      <family val="3"/>
      <charset val="128"/>
    </font>
    <font>
      <sz val="16"/>
      <name val="Arial"/>
      <family val="2"/>
    </font>
    <font>
      <sz val="14"/>
      <color theme="0"/>
      <name val="Arial"/>
      <family val="2"/>
    </font>
    <font>
      <b/>
      <sz val="18"/>
      <color theme="1"/>
      <name val="ＭＳ Ｐゴシック"/>
      <family val="3"/>
      <charset val="128"/>
    </font>
    <font>
      <sz val="11"/>
      <name val="ＭＳ Ｐゴシック"/>
      <family val="3"/>
      <charset val="128"/>
      <scheme val="minor"/>
    </font>
    <font>
      <sz val="12"/>
      <color theme="0"/>
      <name val="ＭＳ Ｐゴシック"/>
      <family val="3"/>
      <charset val="128"/>
      <scheme val="minor"/>
    </font>
    <font>
      <sz val="11"/>
      <color theme="1"/>
      <name val="ＭＳ Ｐゴシック"/>
      <family val="3"/>
      <charset val="128"/>
    </font>
    <font>
      <sz val="11"/>
      <color theme="1"/>
      <name val="Arial"/>
      <family val="2"/>
    </font>
    <font>
      <b/>
      <sz val="24"/>
      <color theme="0"/>
      <name val="ＭＳ Ｐゴシック"/>
      <family val="3"/>
      <charset val="128"/>
    </font>
    <font>
      <sz val="24"/>
      <color theme="1"/>
      <name val="ＭＳ Ｐゴシック"/>
      <family val="3"/>
      <charset val="128"/>
      <scheme val="minor"/>
    </font>
    <font>
      <sz val="16"/>
      <color theme="0"/>
      <name val="ＭＳ Ｐゴシック"/>
      <family val="3"/>
      <charset val="128"/>
      <scheme val="minor"/>
    </font>
    <font>
      <sz val="16"/>
      <color theme="1"/>
      <name val="ＭＳ Ｐゴシック"/>
      <family val="3"/>
      <charset val="128"/>
      <scheme val="minor"/>
    </font>
    <font>
      <b/>
      <sz val="11"/>
      <color rgb="FFFF0000"/>
      <name val="ＭＳ Ｐゴシック"/>
      <family val="3"/>
      <charset val="128"/>
      <scheme val="minor"/>
    </font>
    <font>
      <b/>
      <sz val="24"/>
      <color theme="0"/>
      <name val="ＭＳ Ｐゴシック"/>
      <family val="3"/>
      <charset val="128"/>
      <scheme val="minor"/>
    </font>
    <font>
      <sz val="11"/>
      <color theme="0" tint="-0.34998626667073579"/>
      <name val="ＭＳ Ｐゴシック"/>
      <family val="3"/>
      <charset val="128"/>
      <scheme val="minor"/>
    </font>
    <font>
      <sz val="10"/>
      <color theme="0" tint="-0.34998626667073579"/>
      <name val="Arial"/>
      <family val="2"/>
    </font>
    <font>
      <sz val="10"/>
      <color theme="0" tint="-0.34998626667073579"/>
      <name val="ＭＳ Ｐゴシック"/>
      <family val="3"/>
      <charset val="128"/>
    </font>
    <font>
      <sz val="9"/>
      <color theme="0" tint="-0.34998626667073579"/>
      <name val="Arial Unicode MS"/>
      <family val="3"/>
      <charset val="128"/>
    </font>
    <font>
      <sz val="9"/>
      <color theme="0" tint="-0.34998626667073579"/>
      <name val="ＭＳ Ｐゴシック"/>
      <family val="3"/>
      <charset val="128"/>
    </font>
    <font>
      <sz val="16"/>
      <color theme="0" tint="-0.34998626667073579"/>
      <name val="Arial"/>
      <family val="2"/>
    </font>
    <font>
      <sz val="16"/>
      <color theme="0" tint="-0.34998626667073579"/>
      <name val="ＭＳ Ｐゴシック"/>
      <family val="3"/>
      <charset val="128"/>
    </font>
    <font>
      <b/>
      <sz val="10"/>
      <color theme="0" tint="-0.34998626667073579"/>
      <name val="ＭＳ Ｐゴシック"/>
      <family val="3"/>
      <charset val="128"/>
      <scheme val="minor"/>
    </font>
    <font>
      <b/>
      <sz val="18"/>
      <color theme="0"/>
      <name val="Arial"/>
      <family val="2"/>
    </font>
    <font>
      <b/>
      <sz val="10"/>
      <color theme="0" tint="-0.34998626667073579"/>
      <name val="ＭＳ Ｐゴシック"/>
      <family val="3"/>
      <charset val="128"/>
    </font>
    <font>
      <b/>
      <sz val="14"/>
      <color theme="0" tint="-0.34998626667073579"/>
      <name val="ＭＳ Ｐゴシック"/>
      <family val="3"/>
      <charset val="128"/>
    </font>
    <font>
      <sz val="12"/>
      <color theme="0" tint="-0.34998626667073579"/>
      <name val="ＭＳ Ｐゴシック"/>
      <family val="3"/>
      <charset val="128"/>
    </font>
    <font>
      <b/>
      <sz val="11"/>
      <name val="ＭＳ Ｐゴシック"/>
      <family val="3"/>
      <charset val="128"/>
      <scheme val="minor"/>
    </font>
    <font>
      <sz val="11"/>
      <color rgb="FFFF0000"/>
      <name val="ＭＳ Ｐゴシック"/>
      <family val="3"/>
      <charset val="128"/>
      <scheme val="minor"/>
    </font>
    <font>
      <u/>
      <sz val="11"/>
      <color theme="10"/>
      <name val="ＭＳ Ｐゴシック"/>
      <family val="3"/>
      <charset val="128"/>
      <scheme val="minor"/>
    </font>
    <font>
      <b/>
      <sz val="14"/>
      <color rgb="FFFF0000"/>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b/>
      <sz val="14"/>
      <color theme="1"/>
      <name val="ＭＳ Ｐゴシック"/>
      <family val="3"/>
      <charset val="128"/>
      <scheme val="minor"/>
    </font>
  </fonts>
  <fills count="2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44"/>
        <bgColor indexed="64"/>
      </patternFill>
    </fill>
    <fill>
      <patternFill patternType="solid">
        <fgColor indexed="41"/>
        <bgColor indexed="64"/>
      </patternFill>
    </fill>
    <fill>
      <patternFill patternType="solid">
        <fgColor rgb="FFB7ECFF"/>
        <bgColor indexed="64"/>
      </patternFill>
    </fill>
    <fill>
      <patternFill patternType="solid">
        <fgColor theme="5"/>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indexed="31"/>
        <bgColor indexed="64"/>
      </patternFill>
    </fill>
    <fill>
      <patternFill patternType="solid">
        <fgColor rgb="FF002060"/>
        <bgColor indexed="64"/>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bgColor indexed="64"/>
      </patternFill>
    </fill>
  </fills>
  <borders count="3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23"/>
      </bottom>
      <diagonal/>
    </border>
    <border>
      <left style="thin">
        <color indexed="64"/>
      </left>
      <right style="thin">
        <color indexed="64"/>
      </right>
      <top style="medium">
        <color indexed="64"/>
      </top>
      <bottom style="thin">
        <color indexed="23"/>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medium">
        <color indexed="64"/>
      </left>
      <right/>
      <top/>
      <bottom style="thin">
        <color indexed="23"/>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23"/>
      </top>
      <bottom style="medium">
        <color indexed="64"/>
      </bottom>
      <diagonal/>
    </border>
    <border>
      <left/>
      <right/>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indexed="23"/>
      </top>
      <bottom style="thin">
        <color theme="1" tint="0.499984740745262"/>
      </bottom>
      <diagonal/>
    </border>
    <border>
      <left/>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23"/>
      </top>
      <bottom style="thin">
        <color theme="0" tint="-0.499984740745262"/>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theme="0" tint="-0.499984740745262"/>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medium">
        <color indexed="64"/>
      </left>
      <right style="thin">
        <color indexed="64"/>
      </right>
      <top style="thin">
        <color indexed="23"/>
      </top>
      <bottom style="medium">
        <color indexed="64"/>
      </bottom>
      <diagonal/>
    </border>
    <border>
      <left style="double">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23"/>
      </top>
      <bottom style="thin">
        <color indexed="23"/>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style="thin">
        <color indexed="23"/>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double">
        <color indexed="64"/>
      </right>
      <top style="medium">
        <color indexed="64"/>
      </top>
      <bottom style="hair">
        <color indexed="64"/>
      </bottom>
      <diagonal/>
    </border>
    <border>
      <left/>
      <right style="medium">
        <color indexed="64"/>
      </right>
      <top style="medium">
        <color indexed="64"/>
      </top>
      <bottom style="thin">
        <color indexed="64"/>
      </bottom>
      <diagonal/>
    </border>
    <border>
      <left style="double">
        <color indexed="64"/>
      </left>
      <right style="medium">
        <color indexed="64"/>
      </right>
      <top/>
      <bottom style="hair">
        <color indexed="64"/>
      </bottom>
      <diagonal/>
    </border>
    <border>
      <left style="double">
        <color indexed="64"/>
      </left>
      <right style="medium">
        <color indexed="64"/>
      </right>
      <top/>
      <bottom style="thin">
        <color indexed="64"/>
      </bottom>
      <diagonal/>
    </border>
    <border>
      <left/>
      <right style="double">
        <color indexed="64"/>
      </right>
      <top/>
      <bottom style="thin">
        <color indexed="64"/>
      </bottom>
      <diagonal/>
    </border>
    <border>
      <left style="thin">
        <color indexed="64"/>
      </left>
      <right/>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hair">
        <color indexed="64"/>
      </top>
      <bottom style="thin">
        <color indexed="64"/>
      </bottom>
      <diagonal/>
    </border>
    <border>
      <left style="thin">
        <color indexed="64"/>
      </left>
      <right style="medium">
        <color indexed="64"/>
      </right>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diagonal/>
    </border>
    <border>
      <left/>
      <right/>
      <top style="medium">
        <color indexed="64"/>
      </top>
      <bottom style="hair">
        <color indexed="64"/>
      </bottom>
      <diagonal/>
    </border>
    <border>
      <left/>
      <right/>
      <top style="hair">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style="thin">
        <color indexed="23"/>
      </right>
      <top style="thin">
        <color indexed="23"/>
      </top>
      <bottom style="thin">
        <color indexed="23"/>
      </bottom>
      <diagonal/>
    </border>
    <border>
      <left style="medium">
        <color indexed="64"/>
      </left>
      <right/>
      <top style="thin">
        <color theme="0" tint="-0.34998626667073579"/>
      </top>
      <bottom style="thin">
        <color theme="0" tint="-0.34998626667073579"/>
      </bottom>
      <diagonal/>
    </border>
    <border>
      <left style="thin">
        <color indexed="64"/>
      </left>
      <right style="medium">
        <color indexed="64"/>
      </right>
      <top style="thin">
        <color theme="0" tint="-0.34998626667073579"/>
      </top>
      <bottom style="thin">
        <color theme="0" tint="-0.34998626667073579"/>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hair">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style="dotted">
        <color indexed="64"/>
      </bottom>
      <diagonal/>
    </border>
    <border>
      <left style="medium">
        <color indexed="64"/>
      </left>
      <right style="thin">
        <color indexed="64"/>
      </right>
      <top style="thin">
        <color indexed="64"/>
      </top>
      <bottom/>
      <diagonal/>
    </border>
    <border>
      <left/>
      <right style="thin">
        <color indexed="64"/>
      </right>
      <top style="thin">
        <color theme="0" tint="-0.499984740745262"/>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theme="0"/>
      </left>
      <right/>
      <top/>
      <bottom/>
      <diagonal/>
    </border>
    <border>
      <left/>
      <right/>
      <top/>
      <bottom style="double">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dashed">
        <color auto="1"/>
      </top>
      <bottom style="thin">
        <color theme="0"/>
      </bottom>
      <diagonal/>
    </border>
    <border>
      <left style="thin">
        <color theme="0"/>
      </left>
      <right/>
      <top style="thin">
        <color theme="0"/>
      </top>
      <bottom/>
      <diagonal/>
    </border>
    <border>
      <left style="thin">
        <color theme="0"/>
      </left>
      <right/>
      <top style="dashed">
        <color auto="1"/>
      </top>
      <bottom style="thin">
        <color theme="0"/>
      </bottom>
      <diagonal/>
    </border>
    <border>
      <left/>
      <right style="thin">
        <color theme="0"/>
      </right>
      <top style="dashed">
        <color auto="1"/>
      </top>
      <bottom style="thin">
        <color theme="0"/>
      </bottom>
      <diagonal/>
    </border>
    <border>
      <left style="thin">
        <color theme="0"/>
      </left>
      <right style="thin">
        <color theme="0"/>
      </right>
      <top/>
      <bottom/>
      <diagonal/>
    </border>
    <border>
      <left style="thin">
        <color theme="0"/>
      </left>
      <right style="thin">
        <color theme="0"/>
      </right>
      <top style="dashed">
        <color auto="1"/>
      </top>
      <bottom/>
      <diagonal/>
    </border>
    <border>
      <left style="thin">
        <color theme="0"/>
      </left>
      <right style="thin">
        <color theme="0"/>
      </right>
      <top style="dashed">
        <color auto="1"/>
      </top>
      <bottom style="dashed">
        <color auto="1"/>
      </bottom>
      <diagonal/>
    </border>
    <border>
      <left/>
      <right style="double">
        <color indexed="64"/>
      </right>
      <top/>
      <bottom/>
      <diagonal/>
    </border>
    <border>
      <left style="double">
        <color indexed="64"/>
      </left>
      <right style="medium">
        <color indexed="64"/>
      </right>
      <top style="medium">
        <color indexed="64"/>
      </top>
      <bottom/>
      <diagonal/>
    </border>
    <border>
      <left/>
      <right style="double">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medium">
        <color indexed="64"/>
      </left>
      <right style="double">
        <color indexed="64"/>
      </right>
      <top style="thin">
        <color indexed="64"/>
      </top>
      <bottom style="thin">
        <color indexed="64"/>
      </bottom>
      <diagonal/>
    </border>
    <border>
      <left style="thin">
        <color theme="0"/>
      </left>
      <right style="thin">
        <color theme="0"/>
      </right>
      <top style="thin">
        <color theme="0"/>
      </top>
      <bottom style="dashed">
        <color auto="1"/>
      </bottom>
      <diagonal/>
    </border>
    <border>
      <left style="thin">
        <color indexed="64"/>
      </left>
      <right style="thin">
        <color indexed="64"/>
      </right>
      <top style="thin">
        <color theme="0" tint="-0.499984740745262"/>
      </top>
      <bottom style="thin">
        <color indexed="64"/>
      </bottom>
      <diagonal/>
    </border>
    <border>
      <left/>
      <right/>
      <top style="thin">
        <color indexed="23"/>
      </top>
      <bottom style="thin">
        <color indexed="23"/>
      </bottom>
      <diagonal/>
    </border>
    <border>
      <left/>
      <right style="medium">
        <color indexed="64"/>
      </right>
      <top style="thin">
        <color indexed="23"/>
      </top>
      <bottom style="medium">
        <color indexed="64"/>
      </bottom>
      <diagonal/>
    </border>
    <border>
      <left style="thin">
        <color indexed="64"/>
      </left>
      <right style="double">
        <color indexed="64"/>
      </right>
      <top/>
      <bottom style="thin">
        <color indexed="64"/>
      </bottom>
      <diagonal/>
    </border>
    <border>
      <left style="medium">
        <color indexed="64"/>
      </left>
      <right style="thin">
        <color indexed="64"/>
      </right>
      <top style="dashed">
        <color indexed="64"/>
      </top>
      <bottom style="dashed">
        <color indexed="64"/>
      </bottom>
      <diagonal/>
    </border>
    <border>
      <left style="medium">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ouble">
        <color indexed="64"/>
      </left>
      <right style="medium">
        <color indexed="64"/>
      </right>
      <top style="dashed">
        <color indexed="64"/>
      </top>
      <bottom style="thin">
        <color indexed="64"/>
      </bottom>
      <diagonal/>
    </border>
    <border>
      <left style="thin">
        <color indexed="64"/>
      </left>
      <right style="thin">
        <color indexed="64"/>
      </right>
      <top/>
      <bottom style="dashed">
        <color indexed="64"/>
      </bottom>
      <diagonal/>
    </border>
    <border>
      <left style="double">
        <color indexed="64"/>
      </left>
      <right style="medium">
        <color indexed="64"/>
      </right>
      <top/>
      <bottom style="dashed">
        <color indexed="64"/>
      </bottom>
      <diagonal/>
    </border>
    <border>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style="thin">
        <color indexed="64"/>
      </bottom>
      <diagonal/>
    </border>
    <border>
      <left/>
      <right style="medium">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medium">
        <color indexed="64"/>
      </right>
      <top/>
      <bottom style="double">
        <color indexed="64"/>
      </bottom>
      <diagonal/>
    </border>
    <border>
      <left/>
      <right style="medium">
        <color indexed="64"/>
      </right>
      <top/>
      <bottom style="thin">
        <color theme="0" tint="-0.499984740745262"/>
      </bottom>
      <diagonal/>
    </border>
    <border>
      <left/>
      <right style="medium">
        <color indexed="64"/>
      </right>
      <top style="thin">
        <color theme="0" tint="-0.34998626667073579"/>
      </top>
      <bottom style="thin">
        <color theme="0" tint="-0.34998626667073579"/>
      </bottom>
      <diagonal/>
    </border>
    <border>
      <left/>
      <right style="medium">
        <color indexed="64"/>
      </right>
      <top style="thin">
        <color indexed="23"/>
      </top>
      <bottom style="thin">
        <color theme="0" tint="-0.499984740745262"/>
      </bottom>
      <diagonal/>
    </border>
    <border>
      <left/>
      <right style="medium">
        <color indexed="64"/>
      </right>
      <top style="medium">
        <color indexed="64"/>
      </top>
      <bottom style="thin">
        <color indexed="23"/>
      </bottom>
      <diagonal/>
    </border>
    <border>
      <left/>
      <right style="medium">
        <color indexed="64"/>
      </right>
      <top style="thin">
        <color theme="0" tint="-0.34998626667073579"/>
      </top>
      <bottom style="medium">
        <color indexed="64"/>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bottom style="thin">
        <color theme="0" tint="-0.499984740745262"/>
      </bottom>
      <diagonal/>
    </border>
    <border>
      <left style="thin">
        <color indexed="64"/>
      </left>
      <right/>
      <top style="thin">
        <color indexed="23"/>
      </top>
      <bottom style="thin">
        <color indexed="23"/>
      </bottom>
      <diagonal/>
    </border>
    <border>
      <left/>
      <right/>
      <top style="thin">
        <color indexed="23"/>
      </top>
      <bottom/>
      <diagonal/>
    </border>
    <border>
      <left style="medium">
        <color indexed="64"/>
      </left>
      <right/>
      <top style="medium">
        <color indexed="64"/>
      </top>
      <bottom style="thin">
        <color indexed="23"/>
      </bottom>
      <diagonal/>
    </border>
    <border>
      <left/>
      <right style="medium">
        <color indexed="64"/>
      </right>
      <top style="thin">
        <color indexed="64"/>
      </top>
      <bottom style="thin">
        <color indexed="23"/>
      </bottom>
      <diagonal/>
    </border>
    <border>
      <left/>
      <right/>
      <top style="thin">
        <color indexed="64"/>
      </top>
      <bottom style="thin">
        <color indexed="23"/>
      </bottom>
      <diagonal/>
    </border>
    <border>
      <left/>
      <right style="medium">
        <color indexed="64"/>
      </right>
      <top style="thin">
        <color indexed="23"/>
      </top>
      <bottom/>
      <diagonal/>
    </border>
    <border>
      <left style="thin">
        <color indexed="64"/>
      </left>
      <right/>
      <top style="thin">
        <color indexed="23"/>
      </top>
      <bottom style="thin">
        <color theme="0" tint="-0.499984740745262"/>
      </bottom>
      <diagonal/>
    </border>
    <border>
      <left/>
      <right/>
      <top style="thin">
        <color indexed="23"/>
      </top>
      <bottom style="thin">
        <color theme="0" tint="-0.499984740745262"/>
      </bottom>
      <diagonal/>
    </border>
    <border>
      <left style="thin">
        <color indexed="64"/>
      </left>
      <right style="thin">
        <color indexed="64"/>
      </right>
      <top style="thin">
        <color theme="0" tint="-0.499984740745262"/>
      </top>
      <bottom style="thin">
        <color theme="0" tint="-0.34998626667073579"/>
      </bottom>
      <diagonal/>
    </border>
    <border>
      <left style="thin">
        <color indexed="64"/>
      </left>
      <right style="thin">
        <color indexed="64"/>
      </right>
      <top style="thin">
        <color theme="0" tint="-0.34998626667073579"/>
      </top>
      <bottom style="thin">
        <color indexed="23"/>
      </bottom>
      <diagonal/>
    </border>
    <border>
      <left/>
      <right style="thin">
        <color indexed="64"/>
      </right>
      <top style="thin">
        <color theme="0" tint="-0.499984740745262"/>
      </top>
      <bottom/>
      <diagonal/>
    </border>
    <border>
      <left style="thin">
        <color indexed="64"/>
      </left>
      <right/>
      <top style="medium">
        <color indexed="64"/>
      </top>
      <bottom style="thin">
        <color indexed="23"/>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medium">
        <color indexed="64"/>
      </bottom>
      <diagonal/>
    </border>
    <border>
      <left style="thin">
        <color indexed="64"/>
      </left>
      <right/>
      <top style="medium">
        <color indexed="64"/>
      </top>
      <bottom/>
      <diagonal/>
    </border>
    <border>
      <left style="medium">
        <color indexed="64"/>
      </left>
      <right/>
      <top style="thin">
        <color indexed="23"/>
      </top>
      <bottom/>
      <diagonal/>
    </border>
    <border>
      <left style="medium">
        <color indexed="64"/>
      </left>
      <right/>
      <top/>
      <bottom style="thin">
        <color theme="0" tint="-0.499984740745262"/>
      </bottom>
      <diagonal/>
    </border>
    <border>
      <left style="medium">
        <color indexed="64"/>
      </left>
      <right/>
      <top style="thin">
        <color theme="0" tint="-0.499984740745262"/>
      </top>
      <bottom/>
      <diagonal/>
    </border>
    <border>
      <left style="medium">
        <color indexed="64"/>
      </left>
      <right style="thin">
        <color indexed="64"/>
      </right>
      <top style="thin">
        <color theme="0" tint="-0.34998626667073579"/>
      </top>
      <bottom style="thin">
        <color theme="0" tint="-0.34998626667073579"/>
      </bottom>
      <diagonal/>
    </border>
    <border>
      <left style="medium">
        <color indexed="64"/>
      </left>
      <right style="thin">
        <color indexed="64"/>
      </right>
      <top style="thin">
        <color theme="0" tint="-0.499984740745262"/>
      </top>
      <bottom style="thin">
        <color theme="0" tint="-0.34998626667073579"/>
      </bottom>
      <diagonal/>
    </border>
    <border>
      <left style="thin">
        <color indexed="64"/>
      </left>
      <right style="medium">
        <color indexed="64"/>
      </right>
      <top style="thin">
        <color theme="0" tint="-0.499984740745262"/>
      </top>
      <bottom style="thin">
        <color theme="0" tint="-0.34998626667073579"/>
      </bottom>
      <diagonal/>
    </border>
    <border>
      <left style="medium">
        <color indexed="64"/>
      </left>
      <right style="thin">
        <color indexed="64"/>
      </right>
      <top style="thin">
        <color theme="0" tint="-0.34998626667073579"/>
      </top>
      <bottom style="thin">
        <color indexed="23"/>
      </bottom>
      <diagonal/>
    </border>
    <border>
      <left style="thin">
        <color indexed="64"/>
      </left>
      <right style="medium">
        <color indexed="64"/>
      </right>
      <top style="thin">
        <color theme="0" tint="-0.34998626667073579"/>
      </top>
      <bottom style="thin">
        <color indexed="23"/>
      </bottom>
      <diagonal/>
    </border>
    <border>
      <left/>
      <right style="medium">
        <color indexed="64"/>
      </right>
      <top/>
      <bottom style="thin">
        <color theme="0" tint="-0.34998626667073579"/>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right/>
      <top/>
      <bottom style="thin">
        <color auto="1"/>
      </bottom>
      <diagonal/>
    </border>
    <border>
      <left/>
      <right style="medium">
        <color auto="1"/>
      </right>
      <top/>
      <bottom style="thin">
        <color auto="1"/>
      </bottom>
      <diagonal/>
    </border>
    <border>
      <left style="medium">
        <color indexed="64"/>
      </left>
      <right/>
      <top style="thin">
        <color indexed="23"/>
      </top>
      <bottom style="thin">
        <color indexed="23"/>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hair">
        <color auto="1"/>
      </left>
      <right/>
      <top/>
      <bottom style="thin">
        <color auto="1"/>
      </bottom>
      <diagonal/>
    </border>
    <border>
      <left style="hair">
        <color auto="1"/>
      </left>
      <right/>
      <top style="thin">
        <color indexed="64"/>
      </top>
      <bottom style="medium">
        <color auto="1"/>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style="medium">
        <color auto="1"/>
      </top>
      <bottom style="thin">
        <color auto="1"/>
      </bottom>
      <diagonal/>
    </border>
    <border>
      <left/>
      <right style="medium">
        <color theme="8"/>
      </right>
      <top style="thin">
        <color indexed="64"/>
      </top>
      <bottom style="thin">
        <color indexed="64"/>
      </bottom>
      <diagonal/>
    </border>
    <border>
      <left style="medium">
        <color theme="8"/>
      </left>
      <right style="medium">
        <color indexed="64"/>
      </right>
      <top style="medium">
        <color indexed="64"/>
      </top>
      <bottom style="thin">
        <color indexed="64"/>
      </bottom>
      <diagonal/>
    </border>
    <border>
      <left/>
      <right style="medium">
        <color theme="8"/>
      </right>
      <top/>
      <bottom style="thin">
        <color indexed="64"/>
      </bottom>
      <diagonal/>
    </border>
    <border>
      <left style="medium">
        <color theme="8"/>
      </left>
      <right style="medium">
        <color indexed="64"/>
      </right>
      <top style="thin">
        <color indexed="64"/>
      </top>
      <bottom style="medium">
        <color indexed="64"/>
      </bottom>
      <diagonal/>
    </border>
    <border>
      <left/>
      <right style="medium">
        <color theme="8"/>
      </right>
      <top/>
      <bottom style="medium">
        <color indexed="64"/>
      </bottom>
      <diagonal/>
    </border>
    <border>
      <left/>
      <right style="medium">
        <color theme="8"/>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top/>
      <bottom style="thin">
        <color indexed="64"/>
      </bottom>
      <diagonal/>
    </border>
    <border>
      <left/>
      <right style="medium">
        <color indexed="64"/>
      </right>
      <top/>
      <bottom style="thin">
        <color indexed="64"/>
      </bottom>
      <diagonal/>
    </border>
    <border>
      <left style="medium">
        <color theme="8"/>
      </left>
      <right/>
      <top style="medium">
        <color auto="1"/>
      </top>
      <bottom style="medium">
        <color indexed="64"/>
      </bottom>
      <diagonal/>
    </border>
    <border>
      <left/>
      <right/>
      <top style="thin">
        <color auto="1"/>
      </top>
      <bottom style="thin">
        <color indexed="64"/>
      </bottom>
      <diagonal/>
    </border>
    <border>
      <left style="medium">
        <color indexed="64"/>
      </left>
      <right/>
      <top style="thin">
        <color auto="1"/>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theme="8"/>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thin">
        <color indexed="64"/>
      </bottom>
      <diagonal/>
    </border>
    <border>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bottom style="medium">
        <color indexed="64"/>
      </bottom>
      <diagonal/>
    </border>
    <border>
      <left style="medium">
        <color indexed="64"/>
      </left>
      <right/>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style="hair">
        <color indexed="64"/>
      </right>
      <top/>
      <bottom/>
      <diagonal/>
    </border>
    <border>
      <left style="medium">
        <color indexed="64"/>
      </left>
      <right style="hair">
        <color indexed="64"/>
      </right>
      <top style="thin">
        <color indexed="64"/>
      </top>
      <bottom/>
      <diagonal/>
    </border>
    <border>
      <left/>
      <right/>
      <top style="thin">
        <color indexed="64"/>
      </top>
      <bottom style="thin">
        <color indexed="64"/>
      </bottom>
      <diagonal/>
    </border>
    <border>
      <left style="medium">
        <color indexed="64"/>
      </left>
      <right/>
      <top/>
      <bottom style="thin">
        <color indexed="23"/>
      </bottom>
      <diagonal/>
    </border>
    <border>
      <left/>
      <right/>
      <top/>
      <bottom style="thin">
        <color indexed="23"/>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right style="medium">
        <color indexed="64"/>
      </right>
      <top style="thin">
        <color indexed="23"/>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medium">
        <color auto="1"/>
      </right>
      <top style="thin">
        <color indexed="64"/>
      </top>
      <bottom style="thin">
        <color indexed="64"/>
      </bottom>
      <diagonal/>
    </border>
    <border>
      <left style="hair">
        <color indexed="64"/>
      </left>
      <right style="medium">
        <color auto="1"/>
      </right>
      <top style="thin">
        <color indexed="64"/>
      </top>
      <bottom style="medium">
        <color indexed="64"/>
      </bottom>
      <diagonal/>
    </border>
    <border>
      <left/>
      <right style="hair">
        <color indexed="64"/>
      </right>
      <top/>
      <bottom/>
      <diagonal/>
    </border>
    <border>
      <left style="hair">
        <color indexed="64"/>
      </left>
      <right/>
      <top style="thin">
        <color indexed="64"/>
      </top>
      <bottom style="thin">
        <color indexed="64"/>
      </bottom>
      <diagonal/>
    </border>
    <border>
      <left/>
      <right style="medium">
        <color rgb="FF0070C0"/>
      </right>
      <top/>
      <bottom/>
      <diagonal/>
    </border>
    <border>
      <left/>
      <right style="dashed">
        <color indexed="64"/>
      </right>
      <top style="thin">
        <color indexed="64"/>
      </top>
      <bottom style="medium">
        <color indexed="64"/>
      </bottom>
      <diagonal/>
    </border>
    <border>
      <left/>
      <right style="dashed">
        <color indexed="64"/>
      </right>
      <top style="thin">
        <color indexed="64"/>
      </top>
      <bottom style="thin">
        <color indexed="64"/>
      </bottom>
      <diagonal/>
    </border>
    <border>
      <left style="double">
        <color indexed="64"/>
      </left>
      <right style="medium">
        <color indexed="64"/>
      </right>
      <top/>
      <bottom style="thin">
        <color indexed="64"/>
      </bottom>
      <diagonal/>
    </border>
    <border>
      <left style="double">
        <color indexed="64"/>
      </left>
      <right style="double">
        <color indexed="64"/>
      </right>
      <top/>
      <bottom style="thin">
        <color indexed="64"/>
      </bottom>
      <diagonal/>
    </border>
    <border>
      <left/>
      <right style="double">
        <color indexed="64"/>
      </right>
      <top style="medium">
        <color indexed="64"/>
      </top>
      <bottom/>
      <diagonal/>
    </border>
  </borders>
  <cellStyleXfs count="12">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6" fillId="0" borderId="0"/>
    <xf numFmtId="0" fontId="36" fillId="0" borderId="0">
      <alignment vertical="center"/>
    </xf>
    <xf numFmtId="0" fontId="36" fillId="0" borderId="0">
      <alignment vertical="center"/>
    </xf>
    <xf numFmtId="9" fontId="36" fillId="0" borderId="0" applyFont="0" applyFill="0" applyBorder="0" applyAlignment="0" applyProtection="0">
      <alignment vertical="center"/>
    </xf>
    <xf numFmtId="0" fontId="103" fillId="0" borderId="0" applyNumberFormat="0" applyFill="0" applyBorder="0" applyAlignment="0" applyProtection="0">
      <alignment vertical="center"/>
    </xf>
  </cellStyleXfs>
  <cellXfs count="1497">
    <xf numFmtId="0" fontId="0" fillId="0" borderId="0" xfId="0">
      <alignment vertical="center"/>
    </xf>
    <xf numFmtId="0" fontId="7" fillId="0" borderId="0" xfId="0" applyFont="1">
      <alignment vertical="center"/>
    </xf>
    <xf numFmtId="179" fontId="2" fillId="0" borderId="0" xfId="0" applyNumberFormat="1" applyFont="1" applyAlignment="1"/>
    <xf numFmtId="0" fontId="3" fillId="0" borderId="0" xfId="0" applyFont="1" applyAlignment="1"/>
    <xf numFmtId="0" fontId="16" fillId="0" borderId="0" xfId="0" applyFont="1" applyAlignment="1"/>
    <xf numFmtId="179" fontId="2" fillId="0" borderId="0" xfId="0" applyNumberFormat="1" applyFont="1" applyBorder="1" applyAlignment="1">
      <alignment horizontal="center"/>
    </xf>
    <xf numFmtId="179" fontId="17" fillId="0" borderId="0" xfId="0" applyNumberFormat="1" applyFont="1" applyBorder="1" applyAlignment="1">
      <alignment horizontal="left"/>
    </xf>
    <xf numFmtId="179" fontId="2" fillId="0" borderId="0" xfId="0" applyNumberFormat="1" applyFont="1" applyBorder="1" applyAlignment="1">
      <alignment horizontal="left"/>
    </xf>
    <xf numFmtId="0" fontId="2" fillId="0" borderId="0" xfId="0" applyFont="1" applyAlignment="1"/>
    <xf numFmtId="0" fontId="2" fillId="0" borderId="39" xfId="3" applyNumberFormat="1" applyFont="1" applyBorder="1" applyAlignment="1">
      <alignment horizontal="center"/>
    </xf>
    <xf numFmtId="0" fontId="2" fillId="0" borderId="40" xfId="3" applyNumberFormat="1" applyFont="1" applyBorder="1" applyAlignment="1">
      <alignment horizontal="center"/>
    </xf>
    <xf numFmtId="0" fontId="2" fillId="0" borderId="41" xfId="0" applyFont="1" applyFill="1" applyBorder="1" applyAlignment="1"/>
    <xf numFmtId="0" fontId="2" fillId="0" borderId="42" xfId="0" applyFont="1" applyFill="1" applyBorder="1" applyAlignment="1"/>
    <xf numFmtId="0" fontId="3" fillId="0" borderId="41" xfId="0" applyFont="1" applyFill="1" applyBorder="1" applyAlignment="1"/>
    <xf numFmtId="38" fontId="2" fillId="0" borderId="0" xfId="1" applyFont="1" applyAlignment="1"/>
    <xf numFmtId="176" fontId="2" fillId="0" borderId="1" xfId="3" applyNumberFormat="1" applyFont="1" applyBorder="1" applyAlignment="1">
      <alignment horizontal="right"/>
    </xf>
    <xf numFmtId="38" fontId="2" fillId="0" borderId="42" xfId="0" applyNumberFormat="1" applyFont="1" applyFill="1" applyBorder="1" applyAlignment="1"/>
    <xf numFmtId="0" fontId="2" fillId="0" borderId="0" xfId="0" applyFont="1" applyBorder="1" applyAlignment="1"/>
    <xf numFmtId="38" fontId="2" fillId="0" borderId="0" xfId="0" applyNumberFormat="1" applyFont="1" applyAlignment="1"/>
    <xf numFmtId="0" fontId="2" fillId="0" borderId="0" xfId="0" applyFont="1" applyFill="1" applyAlignment="1"/>
    <xf numFmtId="0" fontId="2" fillId="0" borderId="35" xfId="0" applyFont="1" applyFill="1" applyBorder="1" applyAlignment="1"/>
    <xf numFmtId="0" fontId="2" fillId="0" borderId="35" xfId="3" applyNumberFormat="1" applyFont="1" applyBorder="1" applyAlignment="1">
      <alignment horizontal="center"/>
    </xf>
    <xf numFmtId="0" fontId="2" fillId="0" borderId="0" xfId="3" applyNumberFormat="1" applyFont="1" applyBorder="1" applyAlignment="1">
      <alignment horizontal="center"/>
    </xf>
    <xf numFmtId="0" fontId="2" fillId="4" borderId="34" xfId="0" applyFont="1" applyFill="1" applyBorder="1" applyAlignment="1">
      <alignment horizontal="center"/>
    </xf>
    <xf numFmtId="0" fontId="2" fillId="4" borderId="37" xfId="0" applyFont="1" applyFill="1" applyBorder="1" applyAlignment="1">
      <alignment horizontal="center"/>
    </xf>
    <xf numFmtId="179" fontId="2" fillId="4" borderId="45" xfId="0" applyNumberFormat="1" applyFont="1" applyFill="1" applyBorder="1" applyAlignment="1">
      <alignment horizontal="center"/>
    </xf>
    <xf numFmtId="179" fontId="2" fillId="4" borderId="36" xfId="0" applyNumberFormat="1" applyFont="1" applyFill="1" applyBorder="1" applyAlignment="1">
      <alignment horizontal="center"/>
    </xf>
    <xf numFmtId="179" fontId="2" fillId="4" borderId="46" xfId="0" applyNumberFormat="1" applyFont="1" applyFill="1" applyBorder="1" applyAlignment="1">
      <alignment horizontal="center"/>
    </xf>
    <xf numFmtId="0" fontId="16" fillId="5" borderId="47" xfId="0" applyFont="1" applyFill="1" applyBorder="1" applyAlignment="1"/>
    <xf numFmtId="180" fontId="2" fillId="5" borderId="0" xfId="0" applyNumberFormat="1" applyFont="1" applyFill="1" applyBorder="1" applyAlignment="1">
      <alignment horizontal="center"/>
    </xf>
    <xf numFmtId="180" fontId="2" fillId="5" borderId="6" xfId="0" applyNumberFormat="1" applyFont="1" applyFill="1" applyBorder="1" applyAlignment="1">
      <alignment horizontal="center"/>
    </xf>
    <xf numFmtId="180" fontId="2" fillId="5" borderId="48" xfId="0" applyNumberFormat="1" applyFont="1" applyFill="1" applyBorder="1" applyAlignment="1">
      <alignment horizontal="center"/>
    </xf>
    <xf numFmtId="180" fontId="2" fillId="5" borderId="49" xfId="0" applyNumberFormat="1" applyFont="1" applyFill="1" applyBorder="1" applyAlignment="1">
      <alignment horizontal="center"/>
    </xf>
    <xf numFmtId="180" fontId="2" fillId="5" borderId="50" xfId="0" applyNumberFormat="1" applyFont="1" applyFill="1" applyBorder="1" applyAlignment="1">
      <alignment horizontal="center"/>
    </xf>
    <xf numFmtId="0" fontId="2" fillId="0" borderId="52" xfId="0" applyFont="1" applyBorder="1" applyAlignment="1"/>
    <xf numFmtId="38" fontId="7" fillId="0" borderId="53" xfId="1" applyFont="1" applyBorder="1">
      <alignment vertical="center"/>
    </xf>
    <xf numFmtId="180" fontId="2" fillId="0" borderId="55" xfId="0" applyNumberFormat="1" applyFont="1" applyBorder="1" applyAlignment="1"/>
    <xf numFmtId="180" fontId="2" fillId="0" borderId="56" xfId="0" applyNumberFormat="1" applyFont="1" applyBorder="1" applyAlignment="1"/>
    <xf numFmtId="0" fontId="12" fillId="3" borderId="57" xfId="0" applyFont="1" applyFill="1" applyBorder="1" applyAlignment="1"/>
    <xf numFmtId="0" fontId="12" fillId="3" borderId="58" xfId="0" applyFont="1" applyFill="1" applyBorder="1" applyAlignment="1"/>
    <xf numFmtId="38" fontId="12" fillId="3" borderId="41" xfId="1" applyFont="1" applyFill="1" applyBorder="1">
      <alignment vertical="center"/>
    </xf>
    <xf numFmtId="180" fontId="12" fillId="3" borderId="59" xfId="0" applyNumberFormat="1" applyFont="1" applyFill="1" applyBorder="1" applyAlignment="1"/>
    <xf numFmtId="0" fontId="3" fillId="6" borderId="51" xfId="0" applyFont="1" applyFill="1" applyBorder="1" applyAlignment="1"/>
    <xf numFmtId="0" fontId="2" fillId="6" borderId="52" xfId="0" applyFont="1" applyFill="1" applyBorder="1" applyAlignment="1"/>
    <xf numFmtId="180" fontId="2" fillId="6" borderId="54" xfId="0" applyNumberFormat="1" applyFont="1" applyFill="1" applyBorder="1" applyAlignment="1"/>
    <xf numFmtId="180" fontId="2" fillId="6" borderId="56" xfId="0" applyNumberFormat="1" applyFont="1" applyFill="1" applyBorder="1" applyAlignment="1"/>
    <xf numFmtId="38" fontId="7" fillId="0" borderId="14" xfId="1" applyFont="1" applyBorder="1">
      <alignment vertical="center"/>
    </xf>
    <xf numFmtId="180" fontId="2" fillId="0" borderId="60" xfId="0" applyNumberFormat="1" applyFont="1" applyFill="1" applyBorder="1" applyAlignment="1"/>
    <xf numFmtId="180" fontId="2" fillId="0" borderId="55" xfId="0" applyNumberFormat="1" applyFont="1" applyFill="1" applyBorder="1" applyAlignment="1"/>
    <xf numFmtId="180" fontId="2" fillId="0" borderId="56" xfId="0" applyNumberFormat="1" applyFont="1" applyFill="1" applyBorder="1" applyAlignment="1"/>
    <xf numFmtId="38" fontId="7" fillId="0" borderId="61" xfId="1" applyFont="1" applyBorder="1">
      <alignment vertical="center"/>
    </xf>
    <xf numFmtId="0" fontId="3" fillId="6" borderId="51" xfId="0" applyFont="1" applyFill="1" applyBorder="1" applyAlignment="1">
      <alignment horizontal="left"/>
    </xf>
    <xf numFmtId="38" fontId="7" fillId="6" borderId="61" xfId="1" applyFont="1" applyFill="1" applyBorder="1">
      <alignment vertical="center"/>
    </xf>
    <xf numFmtId="38" fontId="7" fillId="0" borderId="62" xfId="1" applyFont="1" applyBorder="1">
      <alignment vertical="center"/>
    </xf>
    <xf numFmtId="0" fontId="2" fillId="0" borderId="65" xfId="0" applyFont="1" applyBorder="1" applyAlignment="1"/>
    <xf numFmtId="180" fontId="2" fillId="0" borderId="54" xfId="0" applyNumberFormat="1" applyFont="1" applyFill="1" applyBorder="1" applyAlignment="1"/>
    <xf numFmtId="0" fontId="12" fillId="3" borderId="37" xfId="0" applyFont="1" applyFill="1" applyBorder="1" applyAlignment="1"/>
    <xf numFmtId="180" fontId="12" fillId="3" borderId="46" xfId="0" applyNumberFormat="1" applyFont="1" applyFill="1" applyBorder="1" applyAlignment="1"/>
    <xf numFmtId="0" fontId="2" fillId="0" borderId="15" xfId="0" applyFont="1" applyBorder="1" applyAlignment="1"/>
    <xf numFmtId="180" fontId="2" fillId="0" borderId="50" xfId="0" applyNumberFormat="1" applyFont="1" applyBorder="1" applyAlignment="1"/>
    <xf numFmtId="180" fontId="2" fillId="0" borderId="74" xfId="0" applyNumberFormat="1" applyFont="1" applyBorder="1" applyAlignment="1"/>
    <xf numFmtId="0" fontId="12" fillId="0" borderId="0" xfId="0" applyFont="1" applyFill="1" applyBorder="1" applyAlignment="1"/>
    <xf numFmtId="180" fontId="12" fillId="0" borderId="0" xfId="0" applyNumberFormat="1" applyFont="1" applyFill="1" applyBorder="1" applyAlignment="1"/>
    <xf numFmtId="38" fontId="12" fillId="0" borderId="0" xfId="3" applyFont="1" applyFill="1" applyBorder="1" applyAlignment="1"/>
    <xf numFmtId="180" fontId="2" fillId="0" borderId="79" xfId="0" applyNumberFormat="1" applyFont="1" applyBorder="1" applyAlignment="1"/>
    <xf numFmtId="180" fontId="2" fillId="0" borderId="60" xfId="0" applyNumberFormat="1" applyFont="1" applyBorder="1" applyAlignment="1"/>
    <xf numFmtId="0" fontId="2" fillId="0" borderId="81" xfId="0" applyFont="1" applyBorder="1" applyAlignment="1"/>
    <xf numFmtId="180" fontId="2" fillId="0" borderId="83" xfId="0" applyNumberFormat="1" applyFont="1" applyBorder="1" applyAlignment="1"/>
    <xf numFmtId="0" fontId="10" fillId="0" borderId="0" xfId="0" applyFont="1" applyAlignment="1"/>
    <xf numFmtId="179" fontId="10" fillId="0" borderId="0" xfId="0" applyNumberFormat="1" applyFont="1" applyAlignment="1"/>
    <xf numFmtId="179" fontId="2" fillId="4" borderId="85" xfId="0" applyNumberFormat="1" applyFont="1" applyFill="1" applyBorder="1" applyAlignment="1">
      <alignment horizontal="center"/>
    </xf>
    <xf numFmtId="180" fontId="2" fillId="0" borderId="79" xfId="0" applyNumberFormat="1" applyFont="1" applyFill="1" applyBorder="1" applyAlignment="1"/>
    <xf numFmtId="38" fontId="2" fillId="0" borderId="1" xfId="0" applyNumberFormat="1" applyFont="1" applyBorder="1" applyAlignment="1"/>
    <xf numFmtId="38" fontId="2" fillId="0" borderId="42" xfId="0" applyNumberFormat="1" applyFont="1" applyBorder="1" applyAlignment="1"/>
    <xf numFmtId="0" fontId="2" fillId="0" borderId="24" xfId="0" applyFont="1" applyBorder="1" applyAlignment="1"/>
    <xf numFmtId="0" fontId="2" fillId="0" borderId="32" xfId="0" applyFont="1" applyBorder="1" applyAlignment="1"/>
    <xf numFmtId="3" fontId="2" fillId="0" borderId="0" xfId="0" applyNumberFormat="1" applyFont="1" applyAlignment="1"/>
    <xf numFmtId="179" fontId="2" fillId="4" borderId="34" xfId="0" applyNumberFormat="1" applyFont="1" applyFill="1" applyBorder="1" applyAlignment="1">
      <alignment horizontal="center"/>
    </xf>
    <xf numFmtId="179" fontId="2" fillId="4" borderId="87" xfId="0" applyNumberFormat="1" applyFont="1" applyFill="1" applyBorder="1" applyAlignment="1">
      <alignment horizontal="center"/>
    </xf>
    <xf numFmtId="0" fontId="2" fillId="0" borderId="79" xfId="0" applyFont="1" applyBorder="1" applyAlignment="1"/>
    <xf numFmtId="38" fontId="2" fillId="0" borderId="79" xfId="0" applyNumberFormat="1" applyFont="1" applyFill="1" applyBorder="1" applyAlignment="1"/>
    <xf numFmtId="0" fontId="2" fillId="0" borderId="88" xfId="0" applyFont="1" applyBorder="1" applyAlignment="1"/>
    <xf numFmtId="180" fontId="2" fillId="0" borderId="89" xfId="0" applyNumberFormat="1" applyFont="1" applyBorder="1" applyAlignment="1"/>
    <xf numFmtId="179" fontId="2" fillId="0" borderId="83" xfId="0" applyNumberFormat="1" applyFont="1" applyBorder="1" applyAlignment="1"/>
    <xf numFmtId="179" fontId="2" fillId="0" borderId="90" xfId="0" applyNumberFormat="1" applyFont="1" applyBorder="1" applyAlignment="1"/>
    <xf numFmtId="38" fontId="2" fillId="0" borderId="1" xfId="0" applyNumberFormat="1" applyFont="1" applyFill="1" applyBorder="1" applyAlignment="1"/>
    <xf numFmtId="38" fontId="2" fillId="0" borderId="43" xfId="0" applyNumberFormat="1" applyFont="1" applyBorder="1" applyAlignment="1"/>
    <xf numFmtId="178" fontId="2" fillId="0" borderId="31" xfId="0" applyNumberFormat="1" applyFont="1" applyBorder="1" applyAlignment="1"/>
    <xf numFmtId="0" fontId="2" fillId="0" borderId="91" xfId="0" applyFont="1" applyBorder="1" applyAlignment="1"/>
    <xf numFmtId="10" fontId="2" fillId="0" borderId="0" xfId="0" applyNumberFormat="1" applyFont="1" applyAlignment="1"/>
    <xf numFmtId="179" fontId="2" fillId="4" borderId="75" xfId="0" applyNumberFormat="1" applyFont="1" applyFill="1" applyBorder="1" applyAlignment="1">
      <alignment horizontal="centerContinuous"/>
    </xf>
    <xf numFmtId="0" fontId="2" fillId="0" borderId="25" xfId="0" applyFont="1" applyBorder="1" applyAlignment="1"/>
    <xf numFmtId="0" fontId="2" fillId="0" borderId="23" xfId="0" applyFont="1" applyBorder="1" applyAlignment="1"/>
    <xf numFmtId="0" fontId="3" fillId="0" borderId="0" xfId="0" applyFont="1" applyAlignment="1">
      <alignment horizontal="right"/>
    </xf>
    <xf numFmtId="9" fontId="0" fillId="0" borderId="0" xfId="2" applyFont="1">
      <alignment vertical="center"/>
    </xf>
    <xf numFmtId="38" fontId="7" fillId="0" borderId="4" xfId="1" applyFont="1" applyBorder="1">
      <alignment vertical="center"/>
    </xf>
    <xf numFmtId="0" fontId="3" fillId="0" borderId="51" xfId="0" applyFont="1" applyBorder="1" applyAlignment="1"/>
    <xf numFmtId="0" fontId="3" fillId="0" borderId="22" xfId="0" applyFont="1" applyBorder="1" applyAlignment="1"/>
    <xf numFmtId="0" fontId="3" fillId="0" borderId="15" xfId="0" applyFont="1" applyBorder="1" applyAlignment="1"/>
    <xf numFmtId="176" fontId="7" fillId="0" borderId="4" xfId="1" applyNumberFormat="1" applyFont="1" applyBorder="1">
      <alignment vertical="center"/>
    </xf>
    <xf numFmtId="9" fontId="20" fillId="0" borderId="4" xfId="2" applyFont="1" applyBorder="1">
      <alignment vertical="center"/>
    </xf>
    <xf numFmtId="176" fontId="2" fillId="0" borderId="42" xfId="1" applyNumberFormat="1" applyFont="1" applyFill="1" applyBorder="1" applyAlignment="1"/>
    <xf numFmtId="0" fontId="3" fillId="0" borderId="51" xfId="0" applyFont="1" applyBorder="1" applyAlignment="1">
      <alignment horizontal="left" indent="1"/>
    </xf>
    <xf numFmtId="0" fontId="3" fillId="0" borderId="52" xfId="0" applyFont="1" applyBorder="1" applyAlignment="1"/>
    <xf numFmtId="38" fontId="20" fillId="0" borderId="61" xfId="1" applyFont="1" applyBorder="1">
      <alignment vertical="center"/>
    </xf>
    <xf numFmtId="38" fontId="20" fillId="0" borderId="62" xfId="1" applyFont="1" applyBorder="1">
      <alignment vertical="center"/>
    </xf>
    <xf numFmtId="0" fontId="2" fillId="2" borderId="51" xfId="0" applyFont="1" applyFill="1" applyBorder="1" applyAlignment="1"/>
    <xf numFmtId="0" fontId="2" fillId="2" borderId="82" xfId="0" applyFont="1" applyFill="1" applyBorder="1" applyAlignment="1"/>
    <xf numFmtId="0" fontId="2" fillId="2" borderId="57" xfId="0" applyFont="1" applyFill="1" applyBorder="1" applyAlignment="1"/>
    <xf numFmtId="0" fontId="2" fillId="2" borderId="24" xfId="0" applyFont="1" applyFill="1" applyBorder="1" applyAlignment="1"/>
    <xf numFmtId="0" fontId="10" fillId="2" borderId="0" xfId="0" applyFont="1" applyFill="1" applyAlignment="1"/>
    <xf numFmtId="0" fontId="2" fillId="2" borderId="0" xfId="0" applyFont="1" applyFill="1" applyAlignment="1"/>
    <xf numFmtId="180" fontId="2" fillId="0" borderId="52" xfId="0" applyNumberFormat="1" applyFont="1" applyBorder="1" applyAlignment="1"/>
    <xf numFmtId="0" fontId="2" fillId="0" borderId="17" xfId="3" applyNumberFormat="1" applyFont="1" applyBorder="1" applyAlignment="1">
      <alignment horizontal="center"/>
    </xf>
    <xf numFmtId="176" fontId="2" fillId="0" borderId="43" xfId="3" applyNumberFormat="1" applyFont="1" applyBorder="1" applyAlignment="1">
      <alignment horizontal="right"/>
    </xf>
    <xf numFmtId="0" fontId="3" fillId="0" borderId="51" xfId="0" applyFont="1" applyFill="1" applyBorder="1" applyAlignment="1">
      <alignment horizontal="left"/>
    </xf>
    <xf numFmtId="0" fontId="2" fillId="0" borderId="52" xfId="0" applyFont="1" applyFill="1" applyBorder="1" applyAlignment="1"/>
    <xf numFmtId="0" fontId="3" fillId="0" borderId="52" xfId="0" applyFont="1" applyFill="1" applyBorder="1" applyAlignment="1"/>
    <xf numFmtId="0" fontId="13" fillId="8" borderId="22" xfId="0" applyFont="1" applyFill="1" applyBorder="1" applyAlignment="1">
      <alignment horizontal="left"/>
    </xf>
    <xf numFmtId="0" fontId="14" fillId="8" borderId="66" xfId="0" applyFont="1" applyFill="1" applyBorder="1" applyAlignment="1">
      <alignment horizontal="left"/>
    </xf>
    <xf numFmtId="38" fontId="12" fillId="8" borderId="67" xfId="1" applyFont="1" applyFill="1" applyBorder="1">
      <alignment vertical="center"/>
    </xf>
    <xf numFmtId="180" fontId="12" fillId="8" borderId="68" xfId="0" applyNumberFormat="1" applyFont="1" applyFill="1" applyBorder="1" applyAlignment="1"/>
    <xf numFmtId="180" fontId="2" fillId="0" borderId="15" xfId="0" applyNumberFormat="1" applyFont="1" applyBorder="1" applyAlignment="1"/>
    <xf numFmtId="38" fontId="12" fillId="3" borderId="1" xfId="1" applyFont="1" applyFill="1" applyBorder="1">
      <alignment vertical="center"/>
    </xf>
    <xf numFmtId="38" fontId="7" fillId="0" borderId="93" xfId="1" applyFont="1" applyBorder="1">
      <alignment vertical="center"/>
    </xf>
    <xf numFmtId="38" fontId="12" fillId="3" borderId="94" xfId="1" applyFont="1" applyFill="1" applyBorder="1">
      <alignment vertical="center"/>
    </xf>
    <xf numFmtId="180" fontId="2" fillId="6" borderId="95" xfId="0" applyNumberFormat="1" applyFont="1" applyFill="1" applyBorder="1" applyAlignment="1"/>
    <xf numFmtId="38" fontId="7" fillId="0" borderId="55" xfId="1" applyFont="1" applyBorder="1">
      <alignment vertical="center"/>
    </xf>
    <xf numFmtId="38" fontId="7" fillId="6" borderId="55" xfId="1" applyFont="1" applyFill="1" applyBorder="1">
      <alignment vertical="center"/>
    </xf>
    <xf numFmtId="38" fontId="7" fillId="6" borderId="96" xfId="1" applyFont="1" applyFill="1" applyBorder="1">
      <alignment vertical="center"/>
    </xf>
    <xf numFmtId="38" fontId="7" fillId="0" borderId="63" xfId="1" applyFont="1" applyBorder="1">
      <alignment vertical="center"/>
    </xf>
    <xf numFmtId="38" fontId="7" fillId="0" borderId="97" xfId="1" applyFont="1" applyBorder="1">
      <alignment vertical="center"/>
    </xf>
    <xf numFmtId="38" fontId="12" fillId="8" borderId="16" xfId="0" applyNumberFormat="1" applyFont="1" applyFill="1" applyBorder="1">
      <alignment vertical="center"/>
    </xf>
    <xf numFmtId="38" fontId="12" fillId="8" borderId="98" xfId="0" applyNumberFormat="1" applyFont="1" applyFill="1" applyBorder="1">
      <alignment vertical="center"/>
    </xf>
    <xf numFmtId="180" fontId="2" fillId="6" borderId="101" xfId="0" applyNumberFormat="1" applyFont="1" applyFill="1" applyBorder="1" applyAlignment="1"/>
    <xf numFmtId="38" fontId="7" fillId="0" borderId="86" xfId="1" applyFont="1" applyBorder="1">
      <alignment vertical="center"/>
    </xf>
    <xf numFmtId="38" fontId="12" fillId="8" borderId="16" xfId="1" applyFont="1" applyFill="1" applyBorder="1">
      <alignment vertical="center"/>
    </xf>
    <xf numFmtId="38" fontId="7" fillId="0" borderId="78" xfId="1" applyFont="1" applyFill="1" applyBorder="1">
      <alignment vertical="center"/>
    </xf>
    <xf numFmtId="38" fontId="7" fillId="0" borderId="79" xfId="1" applyFont="1" applyFill="1" applyBorder="1">
      <alignment vertical="center"/>
    </xf>
    <xf numFmtId="38" fontId="7" fillId="0" borderId="102" xfId="1" applyFont="1" applyFill="1" applyBorder="1">
      <alignment vertical="center"/>
    </xf>
    <xf numFmtId="0" fontId="11" fillId="3" borderId="34" xfId="0" applyFont="1" applyFill="1" applyBorder="1" applyAlignment="1"/>
    <xf numFmtId="38" fontId="12" fillId="3" borderId="75" xfId="0" applyNumberFormat="1" applyFont="1" applyFill="1" applyBorder="1">
      <alignment vertical="center"/>
    </xf>
    <xf numFmtId="38" fontId="12" fillId="3" borderId="36" xfId="0" applyNumberFormat="1" applyFont="1" applyFill="1" applyBorder="1">
      <alignment vertical="center"/>
    </xf>
    <xf numFmtId="38" fontId="12" fillId="3" borderId="100" xfId="0" applyNumberFormat="1" applyFont="1" applyFill="1" applyBorder="1">
      <alignment vertical="center"/>
    </xf>
    <xf numFmtId="0" fontId="18" fillId="5" borderId="76" xfId="0" applyFont="1" applyFill="1" applyBorder="1" applyAlignment="1"/>
    <xf numFmtId="180" fontId="2" fillId="5" borderId="77" xfId="0" applyNumberFormat="1" applyFont="1" applyFill="1" applyBorder="1" applyAlignment="1">
      <alignment horizontal="center"/>
    </xf>
    <xf numFmtId="180" fontId="2" fillId="0" borderId="81" xfId="0" applyNumberFormat="1" applyFont="1" applyBorder="1" applyAlignment="1"/>
    <xf numFmtId="180" fontId="2" fillId="5" borderId="78" xfId="0" applyNumberFormat="1" applyFont="1" applyFill="1" applyBorder="1" applyAlignment="1"/>
    <xf numFmtId="180" fontId="2" fillId="5" borderId="79" xfId="0" applyNumberFormat="1" applyFont="1" applyFill="1" applyBorder="1" applyAlignment="1"/>
    <xf numFmtId="180" fontId="2" fillId="5" borderId="102" xfId="0" applyNumberFormat="1" applyFont="1" applyFill="1" applyBorder="1" applyAlignment="1"/>
    <xf numFmtId="180" fontId="2" fillId="0" borderId="61" xfId="0" applyNumberFormat="1" applyFont="1" applyFill="1" applyBorder="1" applyAlignment="1"/>
    <xf numFmtId="180" fontId="2" fillId="0" borderId="96" xfId="0" applyNumberFormat="1" applyFont="1" applyFill="1" applyBorder="1" applyAlignment="1"/>
    <xf numFmtId="180" fontId="2" fillId="0" borderId="101" xfId="0" applyNumberFormat="1" applyFont="1" applyFill="1" applyBorder="1" applyAlignment="1"/>
    <xf numFmtId="180" fontId="2" fillId="0" borderId="95" xfId="0" applyNumberFormat="1" applyFont="1" applyFill="1" applyBorder="1" applyAlignment="1"/>
    <xf numFmtId="180" fontId="2" fillId="0" borderId="72" xfId="0" applyNumberFormat="1" applyFont="1" applyFill="1" applyBorder="1" applyAlignment="1"/>
    <xf numFmtId="180" fontId="2" fillId="0" borderId="73" xfId="0" applyNumberFormat="1" applyFont="1" applyFill="1" applyBorder="1" applyAlignment="1"/>
    <xf numFmtId="180" fontId="2" fillId="0" borderId="99" xfId="0" applyNumberFormat="1" applyFont="1" applyFill="1" applyBorder="1" applyAlignment="1"/>
    <xf numFmtId="0" fontId="9" fillId="0" borderId="51" xfId="0" applyFont="1" applyBorder="1" applyAlignment="1"/>
    <xf numFmtId="0" fontId="18" fillId="5" borderId="51" xfId="0" applyFont="1" applyFill="1" applyBorder="1" applyAlignment="1"/>
    <xf numFmtId="180" fontId="2" fillId="5" borderId="61" xfId="0" applyNumberFormat="1" applyFont="1" applyFill="1" applyBorder="1" applyAlignment="1"/>
    <xf numFmtId="180" fontId="2" fillId="5" borderId="55" xfId="0" applyNumberFormat="1" applyFont="1" applyFill="1" applyBorder="1" applyAlignment="1"/>
    <xf numFmtId="180" fontId="2" fillId="5" borderId="96" xfId="0" applyNumberFormat="1" applyFont="1" applyFill="1" applyBorder="1" applyAlignment="1"/>
    <xf numFmtId="0" fontId="18" fillId="5" borderId="70" xfId="0" applyFont="1" applyFill="1" applyBorder="1" applyAlignment="1"/>
    <xf numFmtId="180" fontId="2" fillId="5" borderId="62" xfId="0" applyNumberFormat="1" applyFont="1" applyFill="1" applyBorder="1" applyAlignment="1"/>
    <xf numFmtId="180" fontId="2" fillId="5" borderId="63" xfId="0" applyNumberFormat="1" applyFont="1" applyFill="1" applyBorder="1" applyAlignment="1"/>
    <xf numFmtId="180" fontId="2" fillId="5" borderId="97" xfId="0" applyNumberFormat="1" applyFont="1" applyFill="1" applyBorder="1" applyAlignment="1"/>
    <xf numFmtId="180" fontId="2" fillId="5" borderId="71" xfId="0" applyNumberFormat="1" applyFont="1" applyFill="1" applyBorder="1" applyAlignment="1">
      <alignment horizontal="center"/>
    </xf>
    <xf numFmtId="180" fontId="2" fillId="5" borderId="52" xfId="0" applyNumberFormat="1" applyFont="1" applyFill="1" applyBorder="1" applyAlignment="1">
      <alignment horizontal="center"/>
    </xf>
    <xf numFmtId="0" fontId="18" fillId="5" borderId="77" xfId="0" applyFont="1" applyFill="1" applyBorder="1" applyAlignment="1"/>
    <xf numFmtId="0" fontId="18" fillId="5" borderId="71" xfId="0" applyFont="1" applyFill="1" applyBorder="1" applyAlignment="1"/>
    <xf numFmtId="0" fontId="18" fillId="5" borderId="52" xfId="0" applyFont="1" applyFill="1" applyBorder="1" applyAlignment="1"/>
    <xf numFmtId="180" fontId="2" fillId="0" borderId="65" xfId="0" applyNumberFormat="1" applyFont="1" applyFill="1" applyBorder="1" applyAlignment="1">
      <alignment horizontal="center"/>
    </xf>
    <xf numFmtId="0" fontId="9" fillId="0" borderId="64" xfId="0" applyFont="1" applyFill="1" applyBorder="1" applyAlignment="1"/>
    <xf numFmtId="0" fontId="9" fillId="0" borderId="65" xfId="0" applyFont="1" applyFill="1" applyBorder="1" applyAlignment="1"/>
    <xf numFmtId="180" fontId="2" fillId="0" borderId="14" xfId="0" applyNumberFormat="1" applyFont="1" applyFill="1" applyBorder="1" applyAlignment="1"/>
    <xf numFmtId="180" fontId="2" fillId="0" borderId="93" xfId="0" applyNumberFormat="1" applyFont="1" applyFill="1" applyBorder="1" applyAlignment="1"/>
    <xf numFmtId="0" fontId="9" fillId="0" borderId="22" xfId="0" applyFont="1" applyBorder="1" applyAlignment="1"/>
    <xf numFmtId="38" fontId="7" fillId="0" borderId="101" xfId="1" applyFont="1" applyBorder="1">
      <alignment vertical="center"/>
    </xf>
    <xf numFmtId="38" fontId="7" fillId="0" borderId="54" xfId="1" applyFont="1" applyBorder="1">
      <alignment vertical="center"/>
    </xf>
    <xf numFmtId="38" fontId="7" fillId="0" borderId="95" xfId="1" applyFont="1" applyBorder="1">
      <alignment vertical="center"/>
    </xf>
    <xf numFmtId="180" fontId="2" fillId="0" borderId="65" xfId="0" applyNumberFormat="1" applyFont="1" applyFill="1" applyBorder="1" applyAlignment="1"/>
    <xf numFmtId="0" fontId="9" fillId="0" borderId="76" xfId="0" applyFont="1" applyBorder="1" applyAlignment="1"/>
    <xf numFmtId="0" fontId="9" fillId="0" borderId="51" xfId="0" applyFont="1" applyFill="1" applyBorder="1" applyAlignment="1"/>
    <xf numFmtId="180" fontId="10" fillId="0" borderId="56" xfId="0" applyNumberFormat="1" applyFont="1" applyFill="1" applyBorder="1" applyAlignment="1"/>
    <xf numFmtId="179" fontId="2" fillId="4" borderId="37" xfId="0" applyNumberFormat="1" applyFont="1" applyFill="1" applyBorder="1" applyAlignment="1">
      <alignment horizontal="center"/>
    </xf>
    <xf numFmtId="38" fontId="3" fillId="0" borderId="47" xfId="0" applyNumberFormat="1" applyFont="1" applyBorder="1" applyAlignment="1"/>
    <xf numFmtId="0" fontId="9" fillId="0" borderId="52" xfId="0" applyFont="1" applyFill="1" applyBorder="1" applyAlignment="1"/>
    <xf numFmtId="177" fontId="2" fillId="0" borderId="1" xfId="0" applyNumberFormat="1" applyFont="1" applyBorder="1" applyAlignment="1">
      <alignment horizontal="right"/>
    </xf>
    <xf numFmtId="177" fontId="2" fillId="0" borderId="42" xfId="0" applyNumberFormat="1" applyFont="1" applyBorder="1" applyAlignment="1">
      <alignment horizontal="right"/>
    </xf>
    <xf numFmtId="0" fontId="2" fillId="0" borderId="84" xfId="0" applyFont="1" applyBorder="1" applyAlignment="1"/>
    <xf numFmtId="179" fontId="2" fillId="0" borderId="58" xfId="0" applyNumberFormat="1" applyFont="1" applyBorder="1" applyAlignment="1"/>
    <xf numFmtId="177" fontId="2" fillId="0" borderId="26" xfId="0" applyNumberFormat="1" applyFont="1" applyBorder="1" applyAlignment="1"/>
    <xf numFmtId="0" fontId="3" fillId="2" borderId="76" xfId="0" applyFont="1" applyFill="1" applyBorder="1" applyAlignment="1"/>
    <xf numFmtId="0" fontId="2" fillId="0" borderId="76" xfId="0" applyFont="1" applyFill="1" applyBorder="1" applyAlignment="1"/>
    <xf numFmtId="0" fontId="2" fillId="0" borderId="82" xfId="0" applyFont="1" applyFill="1" applyBorder="1" applyAlignment="1"/>
    <xf numFmtId="0" fontId="2" fillId="0" borderId="57" xfId="0" applyFont="1" applyFill="1" applyBorder="1" applyAlignment="1"/>
    <xf numFmtId="0" fontId="2" fillId="0" borderId="24" xfId="0" applyFont="1" applyFill="1" applyBorder="1" applyAlignment="1"/>
    <xf numFmtId="9" fontId="0" fillId="0" borderId="0" xfId="0" applyNumberFormat="1">
      <alignment vertical="center"/>
    </xf>
    <xf numFmtId="38" fontId="0" fillId="0" borderId="0" xfId="1" applyFont="1">
      <alignment vertical="center"/>
    </xf>
    <xf numFmtId="179" fontId="3" fillId="0" borderId="0" xfId="0" applyNumberFormat="1" applyFont="1" applyAlignment="1"/>
    <xf numFmtId="0" fontId="3" fillId="0" borderId="22" xfId="0" applyFont="1" applyFill="1" applyBorder="1" applyAlignment="1">
      <alignment horizontal="left"/>
    </xf>
    <xf numFmtId="180" fontId="2" fillId="0" borderId="50" xfId="0" applyNumberFormat="1" applyFont="1" applyFill="1" applyBorder="1" applyAlignment="1"/>
    <xf numFmtId="9" fontId="7" fillId="0" borderId="14" xfId="2" applyFont="1" applyBorder="1">
      <alignment vertical="center"/>
    </xf>
    <xf numFmtId="10" fontId="7" fillId="0" borderId="14" xfId="2" applyNumberFormat="1" applyFont="1" applyBorder="1">
      <alignment vertical="center"/>
    </xf>
    <xf numFmtId="0" fontId="18" fillId="5" borderId="30" xfId="0" applyFont="1" applyFill="1" applyBorder="1" applyAlignment="1"/>
    <xf numFmtId="38" fontId="7" fillId="0" borderId="86" xfId="1" applyFont="1" applyFill="1" applyBorder="1">
      <alignment vertical="center"/>
    </xf>
    <xf numFmtId="38" fontId="7" fillId="0" borderId="14" xfId="1" applyFont="1" applyFill="1" applyBorder="1">
      <alignment vertical="center"/>
    </xf>
    <xf numFmtId="38" fontId="7" fillId="0" borderId="93" xfId="1" applyFont="1" applyFill="1" applyBorder="1">
      <alignment vertical="center"/>
    </xf>
    <xf numFmtId="180" fontId="2" fillId="0" borderId="104" xfId="0" applyNumberFormat="1" applyFont="1" applyFill="1" applyBorder="1" applyAlignment="1"/>
    <xf numFmtId="180" fontId="2" fillId="5" borderId="30" xfId="0" applyNumberFormat="1" applyFont="1" applyFill="1" applyBorder="1" applyAlignment="1">
      <alignment horizontal="center"/>
    </xf>
    <xf numFmtId="180" fontId="2" fillId="5" borderId="105" xfId="0" applyNumberFormat="1" applyFont="1" applyFill="1" applyBorder="1" applyAlignment="1">
      <alignment horizontal="center"/>
    </xf>
    <xf numFmtId="180" fontId="2" fillId="5" borderId="106" xfId="0" applyNumberFormat="1" applyFont="1" applyFill="1" applyBorder="1" applyAlignment="1">
      <alignment horizontal="center"/>
    </xf>
    <xf numFmtId="0" fontId="13" fillId="8" borderId="57" xfId="0" applyFont="1" applyFill="1" applyBorder="1" applyAlignment="1">
      <alignment horizontal="left"/>
    </xf>
    <xf numFmtId="0" fontId="14" fillId="8" borderId="58" xfId="0" applyFont="1" applyFill="1" applyBorder="1" applyAlignment="1">
      <alignment horizontal="left"/>
    </xf>
    <xf numFmtId="38" fontId="12" fillId="8" borderId="41" xfId="0" applyNumberFormat="1" applyFont="1" applyFill="1" applyBorder="1">
      <alignment vertical="center"/>
    </xf>
    <xf numFmtId="38" fontId="12" fillId="8" borderId="1" xfId="0" applyNumberFormat="1" applyFont="1" applyFill="1" applyBorder="1">
      <alignment vertical="center"/>
    </xf>
    <xf numFmtId="38" fontId="12" fillId="8" borderId="94" xfId="0" applyNumberFormat="1" applyFont="1" applyFill="1" applyBorder="1">
      <alignment vertical="center"/>
    </xf>
    <xf numFmtId="180" fontId="12" fillId="8" borderId="59" xfId="0" applyNumberFormat="1" applyFont="1" applyFill="1" applyBorder="1" applyAlignment="1"/>
    <xf numFmtId="38" fontId="7" fillId="0" borderId="14" xfId="1" applyFont="1" applyBorder="1" applyAlignment="1">
      <alignment horizontal="right" vertical="center"/>
    </xf>
    <xf numFmtId="0" fontId="3" fillId="9" borderId="22" xfId="0" applyFont="1" applyFill="1" applyBorder="1" applyAlignment="1">
      <alignment horizontal="left"/>
    </xf>
    <xf numFmtId="0" fontId="9" fillId="0" borderId="80" xfId="0" applyFont="1" applyFill="1" applyBorder="1" applyAlignment="1"/>
    <xf numFmtId="0" fontId="3" fillId="0" borderId="64" xfId="0" applyFont="1" applyBorder="1" applyAlignment="1"/>
    <xf numFmtId="0" fontId="22" fillId="11" borderId="22" xfId="0" applyFont="1" applyFill="1" applyBorder="1" applyAlignment="1"/>
    <xf numFmtId="0" fontId="22" fillId="11" borderId="15" xfId="0" applyFont="1" applyFill="1" applyBorder="1" applyAlignment="1"/>
    <xf numFmtId="38" fontId="23" fillId="11" borderId="86" xfId="1" applyFont="1" applyFill="1" applyBorder="1">
      <alignment vertical="center"/>
    </xf>
    <xf numFmtId="38" fontId="23" fillId="11" borderId="14" xfId="1" applyFont="1" applyFill="1" applyBorder="1">
      <alignment vertical="center"/>
    </xf>
    <xf numFmtId="38" fontId="23" fillId="11" borderId="3" xfId="1" applyFont="1" applyFill="1" applyBorder="1">
      <alignment vertical="center"/>
    </xf>
    <xf numFmtId="180" fontId="24" fillId="11" borderId="50" xfId="0" applyNumberFormat="1" applyFont="1" applyFill="1" applyBorder="1" applyAlignment="1"/>
    <xf numFmtId="38" fontId="23" fillId="11" borderId="14" xfId="1" applyFont="1" applyFill="1" applyBorder="1" applyAlignment="1">
      <alignment horizontal="right" vertical="center"/>
    </xf>
    <xf numFmtId="0" fontId="22" fillId="11" borderId="64" xfId="0" applyFont="1" applyFill="1" applyBorder="1" applyAlignment="1"/>
    <xf numFmtId="0" fontId="22" fillId="11" borderId="65" xfId="0" applyFont="1" applyFill="1" applyBorder="1" applyAlignment="1"/>
    <xf numFmtId="38" fontId="23" fillId="11" borderId="101" xfId="1" applyFont="1" applyFill="1" applyBorder="1">
      <alignment vertical="center"/>
    </xf>
    <xf numFmtId="38" fontId="23" fillId="11" borderId="54" xfId="1" applyFont="1" applyFill="1" applyBorder="1">
      <alignment vertical="center"/>
    </xf>
    <xf numFmtId="38" fontId="23" fillId="11" borderId="107" xfId="1" applyFont="1" applyFill="1" applyBorder="1">
      <alignment vertical="center"/>
    </xf>
    <xf numFmtId="180" fontId="24" fillId="11" borderId="104" xfId="0" applyNumberFormat="1" applyFont="1" applyFill="1" applyBorder="1" applyAlignment="1"/>
    <xf numFmtId="38" fontId="23" fillId="11" borderId="54" xfId="1" applyFont="1" applyFill="1" applyBorder="1" applyAlignment="1">
      <alignment horizontal="right" vertical="center"/>
    </xf>
    <xf numFmtId="0" fontId="10" fillId="0" borderId="81" xfId="0" applyFont="1" applyFill="1" applyBorder="1" applyAlignment="1"/>
    <xf numFmtId="38" fontId="10" fillId="0" borderId="72" xfId="0" applyNumberFormat="1" applyFont="1" applyFill="1" applyBorder="1">
      <alignment vertical="center"/>
    </xf>
    <xf numFmtId="38" fontId="10" fillId="0" borderId="73" xfId="0" applyNumberFormat="1" applyFont="1" applyFill="1" applyBorder="1">
      <alignment vertical="center"/>
    </xf>
    <xf numFmtId="38" fontId="10" fillId="0" borderId="99" xfId="0" applyNumberFormat="1" applyFont="1" applyFill="1" applyBorder="1">
      <alignment vertical="center"/>
    </xf>
    <xf numFmtId="180" fontId="10" fillId="0" borderId="108" xfId="0" applyNumberFormat="1" applyFont="1" applyFill="1" applyBorder="1" applyAlignment="1"/>
    <xf numFmtId="0" fontId="9" fillId="0" borderId="0" xfId="0" applyFont="1" applyFill="1" applyBorder="1" applyAlignment="1"/>
    <xf numFmtId="0" fontId="10" fillId="0" borderId="0" xfId="0" applyFont="1" applyFill="1" applyBorder="1" applyAlignment="1"/>
    <xf numFmtId="38" fontId="10" fillId="0" borderId="0" xfId="0" applyNumberFormat="1" applyFont="1" applyFill="1" applyBorder="1">
      <alignment vertical="center"/>
    </xf>
    <xf numFmtId="180" fontId="10" fillId="0" borderId="0" xfId="0" applyNumberFormat="1" applyFont="1" applyFill="1" applyBorder="1" applyAlignment="1"/>
    <xf numFmtId="0" fontId="25" fillId="12" borderId="0" xfId="0" applyFont="1" applyFill="1">
      <alignment vertical="center"/>
    </xf>
    <xf numFmtId="0" fontId="26" fillId="12" borderId="0" xfId="0" applyFont="1" applyFill="1" applyAlignment="1">
      <alignment vertical="center"/>
    </xf>
    <xf numFmtId="0" fontId="26" fillId="12" borderId="0" xfId="0" applyFont="1" applyFill="1">
      <alignment vertical="center"/>
    </xf>
    <xf numFmtId="0" fontId="26" fillId="12" borderId="0" xfId="0" applyFont="1" applyFill="1" applyAlignment="1">
      <alignment horizontal="center" vertical="center"/>
    </xf>
    <xf numFmtId="0" fontId="26" fillId="0" borderId="0" xfId="0" applyFont="1" applyFill="1" applyAlignment="1">
      <alignment horizontal="center" vertical="center"/>
    </xf>
    <xf numFmtId="180" fontId="2" fillId="0" borderId="86" xfId="0" applyNumberFormat="1" applyFont="1" applyFill="1" applyBorder="1" applyAlignment="1"/>
    <xf numFmtId="180" fontId="2" fillId="0" borderId="15" xfId="0" applyNumberFormat="1" applyFont="1" applyFill="1" applyBorder="1" applyAlignment="1">
      <alignment horizontal="center"/>
    </xf>
    <xf numFmtId="0" fontId="9" fillId="0" borderId="22" xfId="0" applyFont="1" applyFill="1" applyBorder="1" applyAlignment="1"/>
    <xf numFmtId="38" fontId="10" fillId="0" borderId="14" xfId="1" applyFont="1" applyBorder="1">
      <alignment vertical="center"/>
    </xf>
    <xf numFmtId="38" fontId="10" fillId="0" borderId="93" xfId="1" applyFont="1" applyBorder="1">
      <alignment vertical="center"/>
    </xf>
    <xf numFmtId="38" fontId="10" fillId="0" borderId="55" xfId="1" applyFont="1" applyBorder="1">
      <alignment vertical="center"/>
    </xf>
    <xf numFmtId="38" fontId="10" fillId="0" borderId="96" xfId="1" applyFont="1" applyBorder="1">
      <alignment vertical="center"/>
    </xf>
    <xf numFmtId="0" fontId="9" fillId="0" borderId="15" xfId="0" applyFont="1" applyFill="1" applyBorder="1" applyAlignment="1"/>
    <xf numFmtId="0" fontId="10" fillId="0" borderId="0" xfId="0" applyFont="1" applyFill="1" applyAlignment="1"/>
    <xf numFmtId="38" fontId="10" fillId="0" borderId="86" xfId="0" applyNumberFormat="1" applyFont="1" applyFill="1" applyBorder="1">
      <alignment vertical="center"/>
    </xf>
    <xf numFmtId="38" fontId="10" fillId="0" borderId="14" xfId="0" applyNumberFormat="1" applyFont="1" applyFill="1" applyBorder="1">
      <alignment vertical="center"/>
    </xf>
    <xf numFmtId="38" fontId="10" fillId="0" borderId="93" xfId="0" applyNumberFormat="1" applyFont="1" applyFill="1" applyBorder="1">
      <alignment vertical="center"/>
    </xf>
    <xf numFmtId="180" fontId="10" fillId="0" borderId="15" xfId="0" applyNumberFormat="1" applyFont="1" applyFill="1" applyBorder="1" applyAlignment="1"/>
    <xf numFmtId="0" fontId="2" fillId="0" borderId="31" xfId="0" applyFont="1" applyFill="1" applyBorder="1" applyAlignment="1"/>
    <xf numFmtId="179" fontId="2" fillId="0" borderId="91" xfId="0" applyNumberFormat="1" applyFont="1" applyBorder="1" applyAlignment="1"/>
    <xf numFmtId="0" fontId="2" fillId="0" borderId="51" xfId="0" applyFont="1" applyFill="1" applyBorder="1" applyAlignment="1"/>
    <xf numFmtId="38" fontId="3" fillId="0" borderId="52" xfId="0" applyNumberFormat="1" applyFont="1" applyBorder="1" applyAlignment="1"/>
    <xf numFmtId="179" fontId="2" fillId="0" borderId="52" xfId="0" applyNumberFormat="1" applyFont="1" applyBorder="1" applyAlignment="1"/>
    <xf numFmtId="177" fontId="2" fillId="0" borderId="52" xfId="0" applyNumberFormat="1" applyFont="1" applyBorder="1" applyAlignment="1"/>
    <xf numFmtId="180" fontId="2" fillId="0" borderId="78" xfId="0" applyNumberFormat="1" applyFont="1" applyBorder="1" applyAlignment="1"/>
    <xf numFmtId="177" fontId="2" fillId="0" borderId="44" xfId="0" applyNumberFormat="1" applyFont="1" applyBorder="1" applyAlignment="1">
      <alignment horizontal="right"/>
    </xf>
    <xf numFmtId="0" fontId="2" fillId="0" borderId="78" xfId="0" applyFont="1" applyBorder="1" applyAlignment="1"/>
    <xf numFmtId="180" fontId="2" fillId="0" borderId="61" xfId="0" applyNumberFormat="1" applyFont="1" applyBorder="1" applyAlignment="1"/>
    <xf numFmtId="177" fontId="2" fillId="0" borderId="61" xfId="0" applyNumberFormat="1" applyFont="1" applyBorder="1" applyAlignment="1">
      <alignment horizontal="right"/>
    </xf>
    <xf numFmtId="0" fontId="2" fillId="0" borderId="61" xfId="0" applyFont="1" applyBorder="1" applyAlignment="1"/>
    <xf numFmtId="0" fontId="2" fillId="0" borderId="109" xfId="0" applyFont="1" applyBorder="1" applyAlignment="1"/>
    <xf numFmtId="0" fontId="9" fillId="0" borderId="77" xfId="0" applyFont="1" applyFill="1" applyBorder="1" applyAlignment="1"/>
    <xf numFmtId="0" fontId="3" fillId="0" borderId="24" xfId="0" applyFont="1" applyFill="1" applyBorder="1" applyAlignment="1"/>
    <xf numFmtId="0" fontId="9" fillId="0" borderId="26" xfId="0" applyFont="1" applyFill="1" applyBorder="1" applyAlignment="1"/>
    <xf numFmtId="180" fontId="2" fillId="0" borderId="25" xfId="0" applyNumberFormat="1" applyFont="1" applyBorder="1" applyAlignment="1"/>
    <xf numFmtId="179" fontId="2" fillId="4" borderId="45" xfId="0" applyNumberFormat="1" applyFont="1" applyFill="1" applyBorder="1" applyAlignment="1">
      <alignment horizontal="centerContinuous"/>
    </xf>
    <xf numFmtId="179" fontId="2" fillId="4" borderId="75" xfId="0" applyNumberFormat="1" applyFont="1" applyFill="1" applyBorder="1" applyAlignment="1">
      <alignment horizontal="center"/>
    </xf>
    <xf numFmtId="38" fontId="2" fillId="0" borderId="33" xfId="1" applyFont="1" applyBorder="1" applyAlignment="1">
      <alignment horizontal="right"/>
    </xf>
    <xf numFmtId="177" fontId="3" fillId="0" borderId="77" xfId="0" applyNumberFormat="1" applyFont="1" applyBorder="1" applyAlignment="1"/>
    <xf numFmtId="0" fontId="3" fillId="0" borderId="51" xfId="0" applyFont="1" applyFill="1" applyBorder="1" applyAlignment="1"/>
    <xf numFmtId="38" fontId="2" fillId="0" borderId="55" xfId="1" applyFont="1" applyBorder="1" applyAlignment="1">
      <alignment horizontal="right"/>
    </xf>
    <xf numFmtId="0" fontId="3" fillId="0" borderId="82" xfId="0" applyFont="1" applyFill="1" applyBorder="1" applyAlignment="1"/>
    <xf numFmtId="38" fontId="2" fillId="0" borderId="55" xfId="1" applyFont="1" applyBorder="1" applyAlignment="1"/>
    <xf numFmtId="38" fontId="2" fillId="0" borderId="83" xfId="1" applyFont="1" applyBorder="1" applyAlignment="1"/>
    <xf numFmtId="38" fontId="2" fillId="0" borderId="79" xfId="1" applyFont="1" applyBorder="1" applyAlignment="1"/>
    <xf numFmtId="38" fontId="2" fillId="0" borderId="89" xfId="1" applyFont="1" applyBorder="1" applyAlignment="1"/>
    <xf numFmtId="179" fontId="3" fillId="4" borderId="75" xfId="0" applyNumberFormat="1" applyFont="1" applyFill="1" applyBorder="1" applyAlignment="1">
      <alignment horizontal="center"/>
    </xf>
    <xf numFmtId="176" fontId="2" fillId="0" borderId="43" xfId="1" applyNumberFormat="1" applyFont="1" applyFill="1" applyBorder="1" applyAlignment="1"/>
    <xf numFmtId="9" fontId="0" fillId="9" borderId="0" xfId="2" applyFont="1" applyFill="1">
      <alignment vertical="center"/>
    </xf>
    <xf numFmtId="0" fontId="9" fillId="0" borderId="0" xfId="0" applyFont="1" applyFill="1" applyAlignment="1"/>
    <xf numFmtId="0" fontId="9" fillId="0" borderId="76" xfId="0" applyFont="1" applyFill="1" applyBorder="1" applyAlignment="1"/>
    <xf numFmtId="180" fontId="2" fillId="0" borderId="54" xfId="0" applyNumberFormat="1" applyFont="1" applyBorder="1" applyAlignment="1"/>
    <xf numFmtId="180" fontId="2" fillId="0" borderId="88" xfId="0" applyNumberFormat="1" applyFont="1" applyBorder="1" applyAlignment="1"/>
    <xf numFmtId="180" fontId="2" fillId="0" borderId="116" xfId="0" applyNumberFormat="1" applyFont="1" applyBorder="1" applyAlignment="1"/>
    <xf numFmtId="38" fontId="3" fillId="0" borderId="110" xfId="0" applyNumberFormat="1" applyFont="1" applyBorder="1" applyAlignment="1"/>
    <xf numFmtId="38" fontId="3" fillId="0" borderId="81" xfId="0" applyNumberFormat="1" applyFont="1" applyBorder="1" applyAlignment="1"/>
    <xf numFmtId="38" fontId="2" fillId="0" borderId="115" xfId="1" applyFont="1" applyBorder="1" applyAlignment="1">
      <alignment horizontal="right"/>
    </xf>
    <xf numFmtId="38" fontId="2" fillId="0" borderId="83" xfId="1" applyFont="1" applyBorder="1" applyAlignment="1">
      <alignment horizontal="right"/>
    </xf>
    <xf numFmtId="38" fontId="2" fillId="0" borderId="90" xfId="1" applyFont="1" applyBorder="1" applyAlignment="1">
      <alignment horizontal="right"/>
    </xf>
    <xf numFmtId="0" fontId="3" fillId="0" borderId="80" xfId="0" applyFont="1" applyFill="1" applyBorder="1" applyAlignment="1"/>
    <xf numFmtId="38" fontId="2" fillId="0" borderId="117" xfId="1" applyFont="1" applyBorder="1" applyAlignment="1">
      <alignment horizontal="right"/>
    </xf>
    <xf numFmtId="38" fontId="2" fillId="0" borderId="73" xfId="1" applyFont="1" applyBorder="1" applyAlignment="1">
      <alignment horizontal="right"/>
    </xf>
    <xf numFmtId="38" fontId="2" fillId="0" borderId="118" xfId="1" applyFont="1" applyBorder="1" applyAlignment="1">
      <alignment horizontal="right"/>
    </xf>
    <xf numFmtId="0" fontId="9" fillId="0" borderId="70" xfId="0" applyFont="1" applyFill="1" applyBorder="1" applyAlignment="1"/>
    <xf numFmtId="180" fontId="2" fillId="0" borderId="119" xfId="0" applyNumberFormat="1" applyFont="1" applyBorder="1" applyAlignment="1"/>
    <xf numFmtId="38" fontId="2" fillId="0" borderId="63" xfId="1" applyFont="1" applyBorder="1" applyAlignment="1"/>
    <xf numFmtId="38" fontId="2" fillId="0" borderId="120" xfId="1" applyFont="1" applyBorder="1" applyAlignment="1"/>
    <xf numFmtId="38" fontId="2" fillId="0" borderId="124" xfId="1" applyFont="1" applyBorder="1" applyAlignment="1"/>
    <xf numFmtId="38" fontId="2" fillId="0" borderId="125" xfId="1" applyFont="1" applyBorder="1" applyAlignment="1"/>
    <xf numFmtId="38" fontId="2" fillId="0" borderId="112" xfId="1" applyFont="1" applyBorder="1" applyAlignment="1">
      <alignment horizontal="right"/>
    </xf>
    <xf numFmtId="38" fontId="2" fillId="0" borderId="126" xfId="1" applyFont="1" applyBorder="1" applyAlignment="1"/>
    <xf numFmtId="38" fontId="2" fillId="0" borderId="126" xfId="1" applyFont="1" applyBorder="1" applyAlignment="1">
      <alignment horizontal="right"/>
    </xf>
    <xf numFmtId="180" fontId="2" fillId="0" borderId="127" xfId="0" applyNumberFormat="1" applyFont="1" applyBorder="1" applyAlignment="1"/>
    <xf numFmtId="38" fontId="2" fillId="0" borderId="128" xfId="1" applyFont="1" applyBorder="1" applyAlignment="1"/>
    <xf numFmtId="38" fontId="2" fillId="0" borderId="129" xfId="1" applyFont="1" applyBorder="1" applyAlignment="1">
      <alignment horizontal="right"/>
    </xf>
    <xf numFmtId="38" fontId="2" fillId="0" borderId="56" xfId="1" applyFont="1" applyBorder="1" applyAlignment="1"/>
    <xf numFmtId="38" fontId="2" fillId="0" borderId="56" xfId="1" applyFont="1" applyBorder="1" applyAlignment="1">
      <alignment horizontal="right"/>
    </xf>
    <xf numFmtId="180" fontId="2" fillId="0" borderId="130" xfId="0" applyNumberFormat="1" applyFont="1" applyBorder="1" applyAlignment="1"/>
    <xf numFmtId="0" fontId="2" fillId="0" borderId="28" xfId="0" applyFont="1" applyBorder="1" applyAlignment="1"/>
    <xf numFmtId="38" fontId="2" fillId="0" borderId="74" xfId="1" applyFont="1" applyBorder="1" applyAlignment="1"/>
    <xf numFmtId="38" fontId="2" fillId="0" borderId="104" xfId="1" applyFont="1" applyBorder="1" applyAlignment="1">
      <alignment horizontal="right"/>
    </xf>
    <xf numFmtId="9" fontId="2" fillId="0" borderId="0" xfId="4" applyFont="1" applyBorder="1" applyAlignment="1"/>
    <xf numFmtId="9" fontId="2" fillId="0" borderId="17" xfId="4" applyFont="1" applyBorder="1" applyAlignment="1"/>
    <xf numFmtId="38" fontId="2" fillId="0" borderId="0" xfId="0" applyNumberFormat="1" applyFont="1" applyBorder="1" applyAlignment="1"/>
    <xf numFmtId="38" fontId="0" fillId="0" borderId="77" xfId="1" applyFont="1" applyFill="1" applyBorder="1">
      <alignment vertical="center"/>
    </xf>
    <xf numFmtId="38" fontId="0" fillId="0" borderId="52" xfId="1" applyFont="1" applyFill="1" applyBorder="1">
      <alignment vertical="center"/>
    </xf>
    <xf numFmtId="178" fontId="0" fillId="0" borderId="122" xfId="2" applyNumberFormat="1" applyFont="1" applyFill="1" applyBorder="1">
      <alignment vertical="center"/>
    </xf>
    <xf numFmtId="178" fontId="0" fillId="0" borderId="123" xfId="2" applyNumberFormat="1" applyFont="1" applyFill="1" applyBorder="1">
      <alignment vertical="center"/>
    </xf>
    <xf numFmtId="178" fontId="0" fillId="0" borderId="138" xfId="2" applyNumberFormat="1" applyFont="1" applyFill="1" applyBorder="1">
      <alignment vertical="center"/>
    </xf>
    <xf numFmtId="38" fontId="2" fillId="0" borderId="42" xfId="1" applyFont="1" applyFill="1" applyBorder="1" applyAlignment="1"/>
    <xf numFmtId="38" fontId="0" fillId="0" borderId="81" xfId="1" applyFont="1" applyFill="1" applyBorder="1">
      <alignment vertical="center"/>
    </xf>
    <xf numFmtId="9" fontId="32" fillId="14" borderId="37" xfId="2" applyFont="1" applyFill="1" applyBorder="1" applyAlignment="1">
      <alignment horizontal="center" vertical="center"/>
    </xf>
    <xf numFmtId="9" fontId="33" fillId="14" borderId="34" xfId="0" applyNumberFormat="1" applyFont="1" applyFill="1" applyBorder="1" applyAlignment="1">
      <alignment horizontal="center" vertical="center"/>
    </xf>
    <xf numFmtId="9" fontId="31" fillId="14" borderId="35" xfId="2" applyFont="1" applyFill="1" applyBorder="1" applyAlignment="1">
      <alignment horizontal="center" vertical="center"/>
    </xf>
    <xf numFmtId="38" fontId="7" fillId="0" borderId="62" xfId="1" applyFont="1" applyFill="1" applyBorder="1">
      <alignment vertical="center"/>
    </xf>
    <xf numFmtId="0" fontId="16" fillId="0" borderId="2" xfId="0" applyFont="1" applyBorder="1" applyAlignment="1">
      <alignment horizontal="center"/>
    </xf>
    <xf numFmtId="0" fontId="2" fillId="0" borderId="29" xfId="3" applyNumberFormat="1" applyFont="1" applyBorder="1" applyAlignment="1">
      <alignment horizontal="center"/>
    </xf>
    <xf numFmtId="0" fontId="18" fillId="0" borderId="139" xfId="0" applyFont="1" applyBorder="1" applyAlignment="1">
      <alignment horizontal="left"/>
    </xf>
    <xf numFmtId="180" fontId="2" fillId="0" borderId="62" xfId="0" applyNumberFormat="1" applyFont="1" applyBorder="1" applyAlignment="1"/>
    <xf numFmtId="38" fontId="2" fillId="0" borderId="63" xfId="1" applyFont="1" applyBorder="1" applyAlignment="1">
      <alignment horizontal="right"/>
    </xf>
    <xf numFmtId="38" fontId="2" fillId="0" borderId="141" xfId="1" applyFont="1" applyBorder="1" applyAlignment="1">
      <alignment horizontal="right"/>
    </xf>
    <xf numFmtId="0" fontId="3" fillId="0" borderId="70" xfId="0" applyFont="1" applyFill="1" applyBorder="1" applyAlignment="1"/>
    <xf numFmtId="177" fontId="3" fillId="0" borderId="47" xfId="0" applyNumberFormat="1" applyFont="1" applyBorder="1" applyAlignment="1"/>
    <xf numFmtId="177" fontId="3" fillId="0" borderId="142" xfId="0" applyNumberFormat="1" applyFont="1" applyBorder="1" applyAlignment="1"/>
    <xf numFmtId="0" fontId="36" fillId="0" borderId="0" xfId="0" applyFont="1" applyFill="1" applyBorder="1" applyAlignment="1"/>
    <xf numFmtId="0" fontId="2" fillId="0" borderId="44" xfId="0" applyFont="1" applyFill="1" applyBorder="1" applyAlignment="1"/>
    <xf numFmtId="0" fontId="2" fillId="0" borderId="143" xfId="0" applyFont="1" applyFill="1" applyBorder="1" applyAlignment="1"/>
    <xf numFmtId="0" fontId="3" fillId="0" borderId="42" xfId="0" applyFont="1" applyFill="1" applyBorder="1" applyAlignment="1"/>
    <xf numFmtId="38" fontId="20" fillId="0" borderId="63" xfId="1" applyFont="1" applyFill="1" applyBorder="1">
      <alignment vertical="center"/>
    </xf>
    <xf numFmtId="0" fontId="2" fillId="0" borderId="64" xfId="0" applyFont="1" applyFill="1" applyBorder="1" applyAlignment="1"/>
    <xf numFmtId="177" fontId="3" fillId="0" borderId="65" xfId="0" applyNumberFormat="1" applyFont="1" applyBorder="1" applyAlignment="1"/>
    <xf numFmtId="0" fontId="2" fillId="0" borderId="101" xfId="0" applyFont="1" applyBorder="1" applyAlignment="1"/>
    <xf numFmtId="38" fontId="2" fillId="0" borderId="54" xfId="1" applyFont="1" applyBorder="1" applyAlignment="1"/>
    <xf numFmtId="38" fontId="2" fillId="0" borderId="107" xfId="1" applyFont="1" applyBorder="1" applyAlignment="1"/>
    <xf numFmtId="38" fontId="2" fillId="0" borderId="50" xfId="1" applyFont="1" applyBorder="1" applyAlignment="1"/>
    <xf numFmtId="0" fontId="22" fillId="0" borderId="0" xfId="0" applyFont="1" applyFill="1" applyBorder="1" applyAlignment="1"/>
    <xf numFmtId="0" fontId="22" fillId="0" borderId="47" xfId="0" applyFont="1" applyFill="1" applyBorder="1" applyAlignment="1"/>
    <xf numFmtId="0" fontId="37" fillId="13" borderId="113" xfId="0" applyFont="1" applyFill="1" applyBorder="1">
      <alignment vertical="center"/>
    </xf>
    <xf numFmtId="0" fontId="38" fillId="13" borderId="28" xfId="0" applyFont="1" applyFill="1" applyBorder="1">
      <alignment vertical="center"/>
    </xf>
    <xf numFmtId="0" fontId="37" fillId="13" borderId="69" xfId="0" applyFont="1" applyFill="1" applyBorder="1">
      <alignment vertical="center"/>
    </xf>
    <xf numFmtId="0" fontId="39" fillId="0" borderId="0" xfId="0" applyFont="1">
      <alignment vertical="center"/>
    </xf>
    <xf numFmtId="0" fontId="40" fillId="0" borderId="10" xfId="0" applyFont="1" applyFill="1" applyBorder="1">
      <alignment vertical="center"/>
    </xf>
    <xf numFmtId="0" fontId="40" fillId="0" borderId="11" xfId="0" applyFont="1" applyFill="1" applyBorder="1">
      <alignment vertical="center"/>
    </xf>
    <xf numFmtId="0" fontId="40" fillId="0" borderId="12" xfId="0" applyFont="1" applyFill="1" applyBorder="1">
      <alignment vertical="center"/>
    </xf>
    <xf numFmtId="38" fontId="42" fillId="0" borderId="92" xfId="1" applyFont="1" applyFill="1" applyBorder="1">
      <alignment vertical="center"/>
    </xf>
    <xf numFmtId="0" fontId="40" fillId="0" borderId="10" xfId="0" applyFont="1" applyBorder="1">
      <alignment vertical="center"/>
    </xf>
    <xf numFmtId="0" fontId="40" fillId="0" borderId="11" xfId="0" applyFont="1" applyBorder="1">
      <alignment vertical="center"/>
    </xf>
    <xf numFmtId="0" fontId="43" fillId="0" borderId="12" xfId="0" applyFont="1" applyBorder="1">
      <alignment vertical="center"/>
    </xf>
    <xf numFmtId="38" fontId="43" fillId="0" borderId="92" xfId="1" applyFont="1" applyFill="1" applyBorder="1">
      <alignment vertical="center"/>
    </xf>
    <xf numFmtId="0" fontId="37" fillId="13" borderId="114" xfId="0" applyFont="1" applyFill="1" applyBorder="1">
      <alignment vertical="center"/>
    </xf>
    <xf numFmtId="0" fontId="38" fillId="13" borderId="5" xfId="0" applyFont="1" applyFill="1" applyBorder="1">
      <alignment vertical="center"/>
    </xf>
    <xf numFmtId="0" fontId="37" fillId="13" borderId="7" xfId="0" applyFont="1" applyFill="1" applyBorder="1">
      <alignment vertical="center"/>
    </xf>
    <xf numFmtId="0" fontId="40" fillId="0" borderId="19" xfId="0" applyFont="1" applyBorder="1">
      <alignment vertical="center"/>
    </xf>
    <xf numFmtId="0" fontId="40" fillId="0" borderId="20" xfId="0" applyFont="1" applyBorder="1">
      <alignment vertical="center"/>
    </xf>
    <xf numFmtId="0" fontId="40" fillId="0" borderId="21" xfId="0" applyFont="1" applyBorder="1">
      <alignment vertical="center"/>
    </xf>
    <xf numFmtId="0" fontId="40" fillId="0" borderId="12" xfId="0" applyFont="1" applyBorder="1">
      <alignment vertical="center"/>
    </xf>
    <xf numFmtId="0" fontId="40" fillId="0" borderId="133" xfId="0" applyFont="1" applyBorder="1">
      <alignment vertical="center"/>
    </xf>
    <xf numFmtId="0" fontId="40" fillId="0" borderId="14" xfId="0" applyFont="1" applyBorder="1">
      <alignment vertical="center"/>
    </xf>
    <xf numFmtId="0" fontId="25" fillId="0" borderId="27" xfId="0" applyFont="1" applyBorder="1">
      <alignment vertical="center"/>
    </xf>
    <xf numFmtId="0" fontId="40" fillId="0" borderId="136" xfId="0" applyFont="1" applyBorder="1">
      <alignment vertical="center"/>
    </xf>
    <xf numFmtId="0" fontId="40" fillId="0" borderId="137" xfId="0" applyFont="1" applyBorder="1">
      <alignment vertical="center"/>
    </xf>
    <xf numFmtId="0" fontId="40" fillId="0" borderId="144" xfId="0" applyFont="1" applyBorder="1">
      <alignment vertical="center"/>
    </xf>
    <xf numFmtId="0" fontId="25" fillId="0" borderId="135" xfId="0" applyFont="1" applyBorder="1">
      <alignment vertical="center"/>
    </xf>
    <xf numFmtId="0" fontId="40" fillId="0" borderId="136" xfId="0" applyFont="1" applyFill="1" applyBorder="1">
      <alignment vertical="center"/>
    </xf>
    <xf numFmtId="0" fontId="40" fillId="0" borderId="21" xfId="0" applyFont="1" applyFill="1" applyBorder="1">
      <alignment vertical="center"/>
    </xf>
    <xf numFmtId="0" fontId="40" fillId="0" borderId="18" xfId="0" applyFont="1" applyBorder="1">
      <alignment vertical="center"/>
    </xf>
    <xf numFmtId="0" fontId="40" fillId="0" borderId="8" xfId="0" applyFont="1" applyBorder="1">
      <alignment vertical="center"/>
    </xf>
    <xf numFmtId="0" fontId="40" fillId="0" borderId="9" xfId="0" applyFont="1" applyBorder="1">
      <alignment vertical="center"/>
    </xf>
    <xf numFmtId="0" fontId="40" fillId="0" borderId="13" xfId="0" applyFont="1" applyBorder="1">
      <alignment vertical="center"/>
    </xf>
    <xf numFmtId="0" fontId="42" fillId="0" borderId="0" xfId="0" applyFont="1" applyBorder="1">
      <alignment vertical="center"/>
    </xf>
    <xf numFmtId="0" fontId="43" fillId="0" borderId="10" xfId="0" applyFont="1" applyBorder="1">
      <alignment vertical="center"/>
    </xf>
    <xf numFmtId="0" fontId="37" fillId="13" borderId="34" xfId="0" applyFont="1" applyFill="1" applyBorder="1">
      <alignment vertical="center"/>
    </xf>
    <xf numFmtId="0" fontId="38" fillId="13" borderId="35" xfId="0" applyFont="1" applyFill="1" applyBorder="1">
      <alignment vertical="center"/>
    </xf>
    <xf numFmtId="0" fontId="37" fillId="13" borderId="36" xfId="0" applyFont="1" applyFill="1" applyBorder="1">
      <alignment vertical="center"/>
    </xf>
    <xf numFmtId="0" fontId="40" fillId="0" borderId="132" xfId="0" applyFont="1" applyBorder="1">
      <alignment vertical="center"/>
    </xf>
    <xf numFmtId="38" fontId="40" fillId="0" borderId="24" xfId="1" applyFont="1" applyBorder="1">
      <alignment vertical="center"/>
    </xf>
    <xf numFmtId="38" fontId="43" fillId="0" borderId="17" xfId="1" applyFont="1" applyBorder="1">
      <alignment vertical="center"/>
    </xf>
    <xf numFmtId="38" fontId="40" fillId="0" borderId="17" xfId="1" applyFont="1" applyBorder="1">
      <alignment vertical="center"/>
    </xf>
    <xf numFmtId="38" fontId="40" fillId="0" borderId="131" xfId="1" applyFont="1" applyBorder="1">
      <alignment vertical="center"/>
    </xf>
    <xf numFmtId="0" fontId="46" fillId="0" borderId="0" xfId="0" applyFont="1" applyAlignment="1">
      <alignment vertical="center" wrapText="1"/>
    </xf>
    <xf numFmtId="0" fontId="46" fillId="0" borderId="0" xfId="0" applyFont="1" applyAlignment="1">
      <alignment vertical="center"/>
    </xf>
    <xf numFmtId="0" fontId="46" fillId="0" borderId="0" xfId="0" applyFont="1" applyBorder="1" applyAlignment="1"/>
    <xf numFmtId="0" fontId="48" fillId="0" borderId="0" xfId="0" applyFont="1" applyBorder="1">
      <alignment vertical="center"/>
    </xf>
    <xf numFmtId="0" fontId="23" fillId="0" borderId="0" xfId="0" applyFont="1">
      <alignment vertical="center"/>
    </xf>
    <xf numFmtId="0" fontId="49" fillId="16" borderId="0" xfId="0" applyFont="1" applyFill="1" applyBorder="1" applyAlignment="1">
      <alignment horizontal="center" vertical="center"/>
    </xf>
    <xf numFmtId="0" fontId="36" fillId="0" borderId="149" xfId="0" applyFont="1" applyFill="1" applyBorder="1" applyAlignment="1">
      <alignment horizontal="center" vertical="center"/>
    </xf>
    <xf numFmtId="0" fontId="48" fillId="0" borderId="0" xfId="0" applyFont="1">
      <alignment vertical="center"/>
    </xf>
    <xf numFmtId="0" fontId="49" fillId="13" borderId="147" xfId="0" applyFont="1" applyFill="1" applyBorder="1" applyAlignment="1">
      <alignment horizontal="center" vertical="center"/>
    </xf>
    <xf numFmtId="0" fontId="50" fillId="0" borderId="149" xfId="0" applyFont="1" applyFill="1" applyBorder="1" applyAlignment="1">
      <alignment horizontal="center" vertical="center"/>
    </xf>
    <xf numFmtId="0" fontId="36" fillId="0" borderId="150" xfId="0" applyFont="1" applyFill="1" applyBorder="1" applyAlignment="1">
      <alignment horizontal="center" vertical="center"/>
    </xf>
    <xf numFmtId="0" fontId="49" fillId="18" borderId="147" xfId="0" applyFont="1" applyFill="1" applyBorder="1" applyAlignment="1">
      <alignment horizontal="center" vertical="center"/>
    </xf>
    <xf numFmtId="0" fontId="46" fillId="0" borderId="0" xfId="0" applyFont="1">
      <alignment vertical="center"/>
    </xf>
    <xf numFmtId="0" fontId="49" fillId="17" borderId="147" xfId="0" applyFont="1" applyFill="1" applyBorder="1" applyAlignment="1">
      <alignment horizontal="center" vertical="center"/>
    </xf>
    <xf numFmtId="0" fontId="49" fillId="19" borderId="147" xfId="0" applyFont="1" applyFill="1" applyBorder="1" applyAlignment="1">
      <alignment horizontal="center" vertical="center"/>
    </xf>
    <xf numFmtId="38" fontId="23" fillId="0" borderId="0" xfId="1" applyFont="1">
      <alignment vertical="center"/>
    </xf>
    <xf numFmtId="38" fontId="23" fillId="0" borderId="0" xfId="0" applyNumberFormat="1" applyFont="1">
      <alignment vertical="center"/>
    </xf>
    <xf numFmtId="0" fontId="51" fillId="0" borderId="0" xfId="0" applyFont="1">
      <alignment vertical="center"/>
    </xf>
    <xf numFmtId="0" fontId="50" fillId="0" borderId="151" xfId="0" applyFont="1" applyFill="1" applyBorder="1" applyAlignment="1">
      <alignment horizontal="center" vertical="center"/>
    </xf>
    <xf numFmtId="0" fontId="36" fillId="0" borderId="153" xfId="0" applyFont="1" applyFill="1" applyBorder="1" applyAlignment="1">
      <alignment horizontal="center" vertical="center"/>
    </xf>
    <xf numFmtId="0" fontId="36" fillId="0" borderId="151" xfId="0" applyFont="1" applyFill="1" applyBorder="1" applyAlignment="1">
      <alignment horizontal="center" vertical="center"/>
    </xf>
    <xf numFmtId="0" fontId="36" fillId="0" borderId="152" xfId="0" applyFont="1" applyFill="1" applyBorder="1" applyAlignment="1">
      <alignment horizontal="center" vertical="center"/>
    </xf>
    <xf numFmtId="0" fontId="36" fillId="0" borderId="154" xfId="0" applyFont="1" applyFill="1" applyBorder="1" applyAlignment="1">
      <alignment horizontal="center" vertical="center"/>
    </xf>
    <xf numFmtId="0" fontId="36" fillId="0" borderId="156" xfId="0" applyFont="1" applyFill="1" applyBorder="1" applyAlignment="1">
      <alignment horizontal="center" vertical="center"/>
    </xf>
    <xf numFmtId="0" fontId="36" fillId="0" borderId="157" xfId="0" applyFont="1" applyFill="1" applyBorder="1" applyAlignment="1">
      <alignment horizontal="center" vertical="center"/>
    </xf>
    <xf numFmtId="0" fontId="36" fillId="0" borderId="158" xfId="0" applyFont="1" applyFill="1" applyBorder="1" applyAlignment="1">
      <alignment horizontal="center" vertical="center"/>
    </xf>
    <xf numFmtId="0" fontId="23" fillId="0" borderId="0" xfId="0" applyFont="1" applyAlignment="1">
      <alignment vertical="center" wrapText="1"/>
    </xf>
    <xf numFmtId="0" fontId="49" fillId="16" borderId="0" xfId="0" applyFont="1" applyFill="1" applyBorder="1" applyAlignment="1">
      <alignment horizontal="center" vertical="center" wrapText="1"/>
    </xf>
    <xf numFmtId="0" fontId="23" fillId="0" borderId="149" xfId="0" applyFont="1" applyBorder="1" applyAlignment="1">
      <alignment vertical="center" wrapText="1"/>
    </xf>
    <xf numFmtId="0" fontId="23" fillId="0" borderId="151" xfId="0" applyFont="1" applyBorder="1" applyAlignment="1">
      <alignment vertical="center" wrapText="1"/>
    </xf>
    <xf numFmtId="178" fontId="23" fillId="0" borderId="152" xfId="2" applyNumberFormat="1" applyFont="1" applyBorder="1" applyAlignment="1">
      <alignment vertical="center" wrapText="1"/>
    </xf>
    <xf numFmtId="178" fontId="23" fillId="0" borderId="149" xfId="2" applyNumberFormat="1" applyFont="1" applyBorder="1" applyAlignment="1">
      <alignment vertical="center" wrapText="1"/>
    </xf>
    <xf numFmtId="178" fontId="23" fillId="0" borderId="151" xfId="2" applyNumberFormat="1" applyFont="1" applyBorder="1" applyAlignment="1">
      <alignment vertical="center" wrapText="1"/>
    </xf>
    <xf numFmtId="0" fontId="23" fillId="0" borderId="158" xfId="0" applyFont="1" applyBorder="1" applyAlignment="1">
      <alignment vertical="center" wrapText="1"/>
    </xf>
    <xf numFmtId="0" fontId="36" fillId="0" borderId="0" xfId="0" applyFont="1" applyFill="1" applyBorder="1" applyAlignment="1">
      <alignment horizontal="center" vertical="center"/>
    </xf>
    <xf numFmtId="0" fontId="36" fillId="0" borderId="0" xfId="0" applyFont="1" applyFill="1" applyBorder="1" applyAlignment="1">
      <alignment horizontal="left" vertical="center"/>
    </xf>
    <xf numFmtId="0" fontId="48" fillId="0" borderId="0" xfId="0" applyFont="1" applyAlignment="1">
      <alignment horizontal="center" vertical="center" wrapText="1"/>
    </xf>
    <xf numFmtId="0" fontId="46" fillId="0" borderId="0" xfId="0" quotePrefix="1" applyFont="1" applyBorder="1" applyAlignment="1"/>
    <xf numFmtId="0" fontId="36" fillId="0" borderId="149" xfId="0" applyFont="1" applyFill="1" applyBorder="1" applyAlignment="1">
      <alignment horizontal="right" vertical="center"/>
    </xf>
    <xf numFmtId="0" fontId="24" fillId="0" borderId="0" xfId="0" applyFont="1" applyAlignment="1"/>
    <xf numFmtId="0" fontId="24" fillId="0" borderId="0" xfId="0" applyFont="1" applyBorder="1" applyAlignment="1"/>
    <xf numFmtId="0" fontId="47" fillId="0" borderId="0" xfId="0" applyFont="1">
      <alignment vertical="center"/>
    </xf>
    <xf numFmtId="0" fontId="24" fillId="4" borderId="34" xfId="0" applyFont="1" applyFill="1" applyBorder="1" applyAlignment="1">
      <alignment horizontal="center"/>
    </xf>
    <xf numFmtId="0" fontId="24" fillId="4" borderId="37" xfId="0" applyFont="1" applyFill="1" applyBorder="1" applyAlignment="1">
      <alignment horizontal="center"/>
    </xf>
    <xf numFmtId="179" fontId="24" fillId="4" borderId="45" xfId="0" applyNumberFormat="1" applyFont="1" applyFill="1" applyBorder="1" applyAlignment="1">
      <alignment horizontal="center"/>
    </xf>
    <xf numFmtId="179" fontId="24" fillId="4" borderId="36" xfId="0" applyNumberFormat="1" applyFont="1" applyFill="1" applyBorder="1" applyAlignment="1">
      <alignment horizontal="center"/>
    </xf>
    <xf numFmtId="0" fontId="46" fillId="0" borderId="121" xfId="0" applyFont="1" applyBorder="1">
      <alignment vertical="center"/>
    </xf>
    <xf numFmtId="0" fontId="22" fillId="0" borderId="15" xfId="0" applyFont="1" applyFill="1" applyBorder="1" applyAlignment="1"/>
    <xf numFmtId="0" fontId="46" fillId="0" borderId="15" xfId="0" applyFont="1" applyBorder="1">
      <alignment vertical="center"/>
    </xf>
    <xf numFmtId="0" fontId="46" fillId="0" borderId="47" xfId="0" applyFont="1" applyBorder="1">
      <alignment vertical="center"/>
    </xf>
    <xf numFmtId="0" fontId="46" fillId="0" borderId="6" xfId="0" applyFont="1" applyBorder="1">
      <alignment vertical="center"/>
    </xf>
    <xf numFmtId="38" fontId="49" fillId="16" borderId="0" xfId="1" applyFont="1" applyFill="1" applyBorder="1" applyAlignment="1">
      <alignment horizontal="center" vertical="center"/>
    </xf>
    <xf numFmtId="38" fontId="36" fillId="0" borderId="149" xfId="1" applyFont="1" applyFill="1" applyBorder="1" applyAlignment="1">
      <alignment horizontal="center" vertical="center"/>
    </xf>
    <xf numFmtId="38" fontId="36" fillId="0" borderId="153" xfId="1" applyFont="1" applyFill="1" applyBorder="1" applyAlignment="1">
      <alignment horizontal="center" vertical="center"/>
    </xf>
    <xf numFmtId="38" fontId="36" fillId="15" borderId="154" xfId="1" applyFont="1" applyFill="1" applyBorder="1" applyAlignment="1">
      <alignment horizontal="center" vertical="center"/>
    </xf>
    <xf numFmtId="38" fontId="36" fillId="0" borderId="150" xfId="1" applyFont="1" applyFill="1" applyBorder="1" applyAlignment="1">
      <alignment horizontal="center" vertical="center"/>
    </xf>
    <xf numFmtId="38" fontId="36" fillId="0" borderId="156" xfId="1" applyFont="1" applyFill="1" applyBorder="1" applyAlignment="1">
      <alignment horizontal="center" vertical="center"/>
    </xf>
    <xf numFmtId="38" fontId="36" fillId="0" borderId="151" xfId="1" applyFont="1" applyFill="1" applyBorder="1" applyAlignment="1">
      <alignment horizontal="center" vertical="center"/>
    </xf>
    <xf numFmtId="38" fontId="36" fillId="0" borderId="158" xfId="1" applyFont="1" applyFill="1" applyBorder="1" applyAlignment="1">
      <alignment horizontal="center" vertical="center"/>
    </xf>
    <xf numFmtId="179" fontId="24" fillId="4" borderId="100" xfId="0" applyNumberFormat="1" applyFont="1" applyFill="1" applyBorder="1" applyAlignment="1">
      <alignment horizontal="center"/>
    </xf>
    <xf numFmtId="38" fontId="46" fillId="0" borderId="159" xfId="0" applyNumberFormat="1" applyFont="1" applyBorder="1">
      <alignment vertical="center"/>
    </xf>
    <xf numFmtId="0" fontId="46" fillId="0" borderId="0" xfId="0" applyFont="1" applyBorder="1">
      <alignment vertical="center"/>
    </xf>
    <xf numFmtId="38" fontId="46" fillId="0" borderId="0" xfId="0" applyNumberFormat="1" applyFont="1" applyBorder="1">
      <alignment vertical="center"/>
    </xf>
    <xf numFmtId="0" fontId="22" fillId="0" borderId="26" xfId="0" applyFont="1" applyFill="1" applyBorder="1" applyAlignment="1"/>
    <xf numFmtId="0" fontId="46" fillId="0" borderId="17" xfId="0" applyFont="1" applyBorder="1">
      <alignment vertical="center"/>
    </xf>
    <xf numFmtId="0" fontId="46" fillId="0" borderId="26" xfId="0" applyFont="1" applyBorder="1">
      <alignment vertical="center"/>
    </xf>
    <xf numFmtId="0" fontId="24" fillId="0" borderId="0" xfId="0" applyFont="1" applyFill="1" applyBorder="1" applyAlignment="1"/>
    <xf numFmtId="38" fontId="24" fillId="0" borderId="0" xfId="0" applyNumberFormat="1" applyFont="1" applyFill="1" applyBorder="1" applyAlignment="1"/>
    <xf numFmtId="0" fontId="24" fillId="0" borderId="15" xfId="0" applyFont="1" applyFill="1" applyBorder="1" applyAlignment="1"/>
    <xf numFmtId="0" fontId="36" fillId="0" borderId="6" xfId="0" applyFont="1" applyFill="1" applyBorder="1" applyAlignment="1"/>
    <xf numFmtId="0" fontId="24" fillId="0" borderId="47" xfId="0" applyFont="1" applyFill="1" applyBorder="1" applyAlignment="1"/>
    <xf numFmtId="176" fontId="24" fillId="0" borderId="6" xfId="0" applyNumberFormat="1" applyFont="1" applyFill="1" applyBorder="1" applyAlignment="1"/>
    <xf numFmtId="38" fontId="24" fillId="0" borderId="159" xfId="0" applyNumberFormat="1" applyFont="1" applyFill="1" applyBorder="1" applyAlignment="1"/>
    <xf numFmtId="0" fontId="36" fillId="0" borderId="22" xfId="0" applyFont="1" applyFill="1" applyBorder="1" applyAlignment="1"/>
    <xf numFmtId="0" fontId="36" fillId="0" borderId="30" xfId="0" applyFont="1" applyFill="1" applyBorder="1" applyAlignment="1"/>
    <xf numFmtId="0" fontId="36" fillId="0" borderId="24" xfId="0" applyFont="1" applyFill="1" applyBorder="1" applyAlignment="1"/>
    <xf numFmtId="38" fontId="24" fillId="0" borderId="17" xfId="0" applyNumberFormat="1" applyFont="1" applyFill="1" applyBorder="1" applyAlignment="1"/>
    <xf numFmtId="38" fontId="24" fillId="0" borderId="161" xfId="0" applyNumberFormat="1" applyFont="1" applyFill="1" applyBorder="1" applyAlignment="1"/>
    <xf numFmtId="0" fontId="32" fillId="20" borderId="15" xfId="0" applyFont="1" applyFill="1" applyBorder="1">
      <alignment vertical="center"/>
    </xf>
    <xf numFmtId="0" fontId="32" fillId="20" borderId="0" xfId="0" applyFont="1" applyFill="1" applyBorder="1">
      <alignment vertical="center"/>
    </xf>
    <xf numFmtId="0" fontId="24" fillId="4" borderId="35" xfId="0" applyFont="1" applyFill="1" applyBorder="1" applyAlignment="1">
      <alignment horizontal="center"/>
    </xf>
    <xf numFmtId="0" fontId="36" fillId="0" borderId="17" xfId="0" applyFont="1" applyFill="1" applyBorder="1" applyAlignment="1"/>
    <xf numFmtId="0" fontId="47" fillId="0" borderId="17" xfId="0" applyFont="1" applyBorder="1">
      <alignment vertical="center"/>
    </xf>
    <xf numFmtId="9" fontId="36" fillId="0" borderId="0" xfId="0" applyNumberFormat="1" applyFont="1" applyFill="1" applyBorder="1" applyAlignment="1">
      <alignment horizontal="left" vertical="center"/>
    </xf>
    <xf numFmtId="38" fontId="36" fillId="0" borderId="0" xfId="1" applyFont="1" applyFill="1" applyBorder="1" applyAlignment="1">
      <alignment horizontal="left" vertical="center"/>
    </xf>
    <xf numFmtId="0" fontId="36" fillId="0" borderId="6" xfId="0" applyFont="1" applyFill="1" applyBorder="1" applyAlignment="1">
      <alignment horizontal="left" vertical="center"/>
    </xf>
    <xf numFmtId="0" fontId="33" fillId="20" borderId="0" xfId="0" applyFont="1" applyFill="1" applyBorder="1" applyAlignment="1">
      <alignment horizontal="left" vertical="center"/>
    </xf>
    <xf numFmtId="0" fontId="46" fillId="0" borderId="22" xfId="0" applyFont="1" applyBorder="1">
      <alignment vertical="center"/>
    </xf>
    <xf numFmtId="0" fontId="46" fillId="0" borderId="24" xfId="0" applyFont="1" applyBorder="1">
      <alignment vertical="center"/>
    </xf>
    <xf numFmtId="38" fontId="46" fillId="0" borderId="0" xfId="1" applyFont="1" applyBorder="1">
      <alignment vertical="center"/>
    </xf>
    <xf numFmtId="0" fontId="46" fillId="0" borderId="30" xfId="0" applyFont="1" applyBorder="1">
      <alignment vertical="center"/>
    </xf>
    <xf numFmtId="38" fontId="46" fillId="0" borderId="6" xfId="1" applyFont="1" applyBorder="1">
      <alignment vertical="center"/>
    </xf>
    <xf numFmtId="38" fontId="24" fillId="0" borderId="160" xfId="1" applyFont="1" applyBorder="1" applyAlignment="1"/>
    <xf numFmtId="38" fontId="24" fillId="0" borderId="50" xfId="1" applyFont="1" applyBorder="1" applyAlignment="1"/>
    <xf numFmtId="38" fontId="24" fillId="0" borderId="26" xfId="1" applyFont="1" applyBorder="1" applyAlignment="1"/>
    <xf numFmtId="38" fontId="24" fillId="0" borderId="0" xfId="1" applyFont="1" applyAlignment="1"/>
    <xf numFmtId="38" fontId="36" fillId="4" borderId="37" xfId="1" applyFont="1" applyFill="1" applyBorder="1" applyAlignment="1">
      <alignment horizontal="center"/>
    </xf>
    <xf numFmtId="38" fontId="46" fillId="0" borderId="0" xfId="1" applyFont="1">
      <alignment vertical="center"/>
    </xf>
    <xf numFmtId="38" fontId="46" fillId="0" borderId="105" xfId="1" applyFont="1" applyBorder="1">
      <alignment vertical="center"/>
    </xf>
    <xf numFmtId="38" fontId="46" fillId="0" borderId="50" xfId="1" applyFont="1" applyBorder="1">
      <alignment vertical="center"/>
    </xf>
    <xf numFmtId="38" fontId="46" fillId="0" borderId="130" xfId="1" applyFont="1" applyBorder="1">
      <alignment vertical="center"/>
    </xf>
    <xf numFmtId="0" fontId="47" fillId="0" borderId="22" xfId="0" applyFont="1" applyBorder="1">
      <alignment vertical="center"/>
    </xf>
    <xf numFmtId="0" fontId="47" fillId="0" borderId="0" xfId="0" applyFont="1" applyBorder="1">
      <alignment vertical="center"/>
    </xf>
    <xf numFmtId="38" fontId="46" fillId="0" borderId="17" xfId="1" applyFont="1" applyBorder="1">
      <alignment vertical="center"/>
    </xf>
    <xf numFmtId="0" fontId="36" fillId="4" borderId="35" xfId="0" applyFont="1" applyFill="1" applyBorder="1" applyAlignment="1">
      <alignment horizontal="center"/>
    </xf>
    <xf numFmtId="0" fontId="46" fillId="0" borderId="34" xfId="0" applyFont="1" applyBorder="1">
      <alignment vertical="center"/>
    </xf>
    <xf numFmtId="0" fontId="47" fillId="0" borderId="35" xfId="0" applyFont="1" applyBorder="1">
      <alignment vertical="center"/>
    </xf>
    <xf numFmtId="0" fontId="46" fillId="0" borderId="35" xfId="0" applyFont="1" applyBorder="1">
      <alignment vertical="center"/>
    </xf>
    <xf numFmtId="38" fontId="46" fillId="0" borderId="35" xfId="0" applyNumberFormat="1" applyFont="1" applyBorder="1">
      <alignment vertical="center"/>
    </xf>
    <xf numFmtId="38" fontId="36" fillId="0" borderId="154" xfId="1" applyFont="1" applyFill="1" applyBorder="1" applyAlignment="1">
      <alignment horizontal="center" vertical="center"/>
    </xf>
    <xf numFmtId="38" fontId="46" fillId="0" borderId="0" xfId="0" applyNumberFormat="1" applyFont="1">
      <alignment vertical="center"/>
    </xf>
    <xf numFmtId="0" fontId="46" fillId="0" borderId="37" xfId="0" applyFont="1" applyBorder="1">
      <alignment vertical="center"/>
    </xf>
    <xf numFmtId="0" fontId="46" fillId="0" borderId="28" xfId="0" applyFont="1" applyBorder="1">
      <alignment vertical="center"/>
    </xf>
    <xf numFmtId="38" fontId="46" fillId="0" borderId="28" xfId="1" applyFont="1" applyBorder="1">
      <alignment vertical="center"/>
    </xf>
    <xf numFmtId="38" fontId="24" fillId="0" borderId="163" xfId="1" applyFont="1" applyBorder="1" applyAlignment="1"/>
    <xf numFmtId="0" fontId="47" fillId="0" borderId="0" xfId="0" applyFont="1" applyBorder="1" applyAlignment="1">
      <alignment horizontal="left" vertical="center"/>
    </xf>
    <xf numFmtId="176" fontId="24" fillId="0" borderId="105" xfId="1" applyNumberFormat="1" applyFont="1" applyBorder="1" applyAlignment="1"/>
    <xf numFmtId="38" fontId="36" fillId="4" borderId="35" xfId="1" applyFont="1" applyFill="1" applyBorder="1" applyAlignment="1">
      <alignment horizontal="center"/>
    </xf>
    <xf numFmtId="38" fontId="46" fillId="0" borderId="167" xfId="1" applyFont="1" applyBorder="1">
      <alignment vertical="center"/>
    </xf>
    <xf numFmtId="38" fontId="46" fillId="0" borderId="168" xfId="1" applyFont="1" applyBorder="1">
      <alignment vertical="center"/>
    </xf>
    <xf numFmtId="38" fontId="36" fillId="4" borderId="169" xfId="1" applyFont="1" applyFill="1" applyBorder="1" applyAlignment="1">
      <alignment horizontal="center"/>
    </xf>
    <xf numFmtId="38" fontId="46" fillId="0" borderId="50" xfId="0" applyNumberFormat="1" applyFont="1" applyBorder="1">
      <alignment vertical="center"/>
    </xf>
    <xf numFmtId="38" fontId="36" fillId="4" borderId="46" xfId="1" applyFont="1" applyFill="1" applyBorder="1" applyAlignment="1">
      <alignment horizontal="center"/>
    </xf>
    <xf numFmtId="38" fontId="46" fillId="0" borderId="130" xfId="0" applyNumberFormat="1" applyFont="1" applyBorder="1">
      <alignment vertical="center"/>
    </xf>
    <xf numFmtId="38" fontId="22" fillId="0" borderId="166" xfId="1" applyFont="1" applyBorder="1" applyAlignment="1"/>
    <xf numFmtId="38" fontId="22" fillId="0" borderId="50" xfId="1" applyFont="1" applyBorder="1" applyAlignment="1"/>
    <xf numFmtId="0" fontId="36" fillId="0" borderId="113" xfId="0" applyFont="1" applyFill="1" applyBorder="1" applyAlignment="1">
      <alignment horizontal="left" vertical="center"/>
    </xf>
    <xf numFmtId="0" fontId="36" fillId="0" borderId="22" xfId="0" applyFont="1" applyFill="1" applyBorder="1" applyAlignment="1">
      <alignment horizontal="left" vertical="center"/>
    </xf>
    <xf numFmtId="0" fontId="36" fillId="0" borderId="17" xfId="0" applyFont="1" applyFill="1" applyBorder="1" applyAlignment="1">
      <alignment horizontal="left" vertical="center"/>
    </xf>
    <xf numFmtId="9" fontId="54" fillId="0" borderId="0" xfId="0" applyNumberFormat="1" applyFont="1" applyBorder="1">
      <alignment vertical="center"/>
    </xf>
    <xf numFmtId="179" fontId="24" fillId="4" borderId="85" xfId="0" applyNumberFormat="1" applyFont="1" applyFill="1" applyBorder="1" applyAlignment="1">
      <alignment horizontal="center"/>
    </xf>
    <xf numFmtId="38" fontId="24" fillId="0" borderId="176" xfId="1" applyFont="1" applyBorder="1" applyAlignment="1"/>
    <xf numFmtId="38" fontId="36" fillId="4" borderId="177" xfId="1" applyFont="1" applyFill="1" applyBorder="1" applyAlignment="1">
      <alignment horizontal="center"/>
    </xf>
    <xf numFmtId="38" fontId="24" fillId="0" borderId="162" xfId="1" applyFont="1" applyBorder="1" applyAlignment="1"/>
    <xf numFmtId="38" fontId="24" fillId="0" borderId="105" xfId="1" applyFont="1" applyBorder="1" applyAlignment="1"/>
    <xf numFmtId="38" fontId="24" fillId="20" borderId="176" xfId="1" applyFont="1" applyFill="1" applyBorder="1" applyAlignment="1"/>
    <xf numFmtId="38" fontId="24" fillId="20" borderId="50" xfId="1" applyFont="1" applyFill="1" applyBorder="1" applyAlignment="1"/>
    <xf numFmtId="38" fontId="22" fillId="0" borderId="178" xfId="1" applyFont="1" applyBorder="1" applyAlignment="1"/>
    <xf numFmtId="38" fontId="22" fillId="0" borderId="175" xfId="1" applyFont="1" applyBorder="1" applyAlignment="1"/>
    <xf numFmtId="38" fontId="22" fillId="0" borderId="160" xfId="1" applyFont="1" applyBorder="1" applyAlignment="1"/>
    <xf numFmtId="38" fontId="22" fillId="0" borderId="179" xfId="1" applyFont="1" applyBorder="1" applyAlignment="1"/>
    <xf numFmtId="38" fontId="22" fillId="0" borderId="176" xfId="1" applyFont="1" applyBorder="1" applyAlignment="1"/>
    <xf numFmtId="38" fontId="22" fillId="0" borderId="180" xfId="1" applyFont="1" applyBorder="1" applyAlignment="1"/>
    <xf numFmtId="38" fontId="22" fillId="0" borderId="163" xfId="1" applyFont="1" applyBorder="1" applyAlignment="1"/>
    <xf numFmtId="38" fontId="22" fillId="0" borderId="130" xfId="1" applyFont="1" applyBorder="1" applyAlignment="1"/>
    <xf numFmtId="38" fontId="22" fillId="0" borderId="181" xfId="1" applyFont="1" applyBorder="1" applyAlignment="1"/>
    <xf numFmtId="38" fontId="22" fillId="0" borderId="164" xfId="1" applyFont="1" applyBorder="1" applyAlignment="1"/>
    <xf numFmtId="38" fontId="22" fillId="0" borderId="59" xfId="1" applyFont="1" applyBorder="1" applyAlignment="1"/>
    <xf numFmtId="0" fontId="0" fillId="21" borderId="0" xfId="0" applyFill="1">
      <alignment vertical="center"/>
    </xf>
    <xf numFmtId="9" fontId="36" fillId="10" borderId="152" xfId="0" applyNumberFormat="1" applyFont="1" applyFill="1" applyBorder="1" applyAlignment="1">
      <alignment horizontal="center" vertical="center"/>
    </xf>
    <xf numFmtId="9" fontId="36" fillId="10" borderId="155" xfId="0" applyNumberFormat="1" applyFont="1" applyFill="1" applyBorder="1" applyAlignment="1">
      <alignment horizontal="center" vertical="center"/>
    </xf>
    <xf numFmtId="9" fontId="36" fillId="10" borderId="149" xfId="0" applyNumberFormat="1" applyFont="1" applyFill="1" applyBorder="1" applyAlignment="1">
      <alignment horizontal="center" vertical="center"/>
    </xf>
    <xf numFmtId="0" fontId="36" fillId="10" borderId="158" xfId="0" applyFont="1" applyFill="1" applyBorder="1" applyAlignment="1">
      <alignment horizontal="center" vertical="center"/>
    </xf>
    <xf numFmtId="0" fontId="0" fillId="9" borderId="0" xfId="0" applyFill="1">
      <alignment vertical="center"/>
    </xf>
    <xf numFmtId="38" fontId="50" fillId="0" borderId="150" xfId="1" applyFont="1" applyFill="1" applyBorder="1" applyAlignment="1">
      <alignment horizontal="center" vertical="center"/>
    </xf>
    <xf numFmtId="38" fontId="50" fillId="0" borderId="154" xfId="1" applyFont="1" applyFill="1" applyBorder="1" applyAlignment="1">
      <alignment horizontal="center" vertical="center"/>
    </xf>
    <xf numFmtId="38" fontId="0" fillId="0" borderId="0" xfId="0" applyNumberFormat="1">
      <alignment vertical="center"/>
    </xf>
    <xf numFmtId="0" fontId="46" fillId="0" borderId="0" xfId="8" applyFont="1" applyAlignment="1">
      <alignment vertical="center"/>
    </xf>
    <xf numFmtId="0" fontId="46" fillId="0" borderId="0" xfId="8" applyFont="1" applyAlignment="1">
      <alignment vertical="center" wrapText="1"/>
    </xf>
    <xf numFmtId="0" fontId="36" fillId="0" borderId="0" xfId="8">
      <alignment vertical="center"/>
    </xf>
    <xf numFmtId="0" fontId="32" fillId="18" borderId="0" xfId="8" applyFont="1" applyFill="1" applyAlignment="1">
      <alignment vertical="center"/>
    </xf>
    <xf numFmtId="0" fontId="32" fillId="17" borderId="0" xfId="8" applyFont="1" applyFill="1" applyAlignment="1">
      <alignment vertical="center"/>
    </xf>
    <xf numFmtId="9" fontId="32" fillId="17" borderId="0" xfId="8" applyNumberFormat="1" applyFont="1" applyFill="1" applyAlignment="1">
      <alignment vertical="center" wrapText="1"/>
    </xf>
    <xf numFmtId="0" fontId="47" fillId="10" borderId="0" xfId="8" applyFont="1" applyFill="1" applyAlignment="1">
      <alignment vertical="center"/>
    </xf>
    <xf numFmtId="0" fontId="46" fillId="17" borderId="0" xfId="8" applyFont="1" applyFill="1" applyAlignment="1">
      <alignment vertical="center"/>
    </xf>
    <xf numFmtId="0" fontId="46" fillId="17" borderId="0" xfId="8" applyFont="1" applyFill="1" applyAlignment="1">
      <alignment vertical="center" wrapText="1"/>
    </xf>
    <xf numFmtId="0" fontId="46" fillId="10" borderId="0" xfId="8" applyFont="1" applyFill="1" applyAlignment="1">
      <alignment vertical="center"/>
    </xf>
    <xf numFmtId="0" fontId="33" fillId="13" borderId="0" xfId="0" applyFont="1" applyFill="1">
      <alignment vertical="center"/>
    </xf>
    <xf numFmtId="0" fontId="0" fillId="13" borderId="0" xfId="0" applyFill="1">
      <alignment vertical="center"/>
    </xf>
    <xf numFmtId="0" fontId="33" fillId="14" borderId="0" xfId="0" applyFont="1" applyFill="1">
      <alignment vertical="center"/>
    </xf>
    <xf numFmtId="0" fontId="33" fillId="7" borderId="0" xfId="0" applyFont="1" applyFill="1">
      <alignment vertical="center"/>
    </xf>
    <xf numFmtId="0" fontId="0" fillId="0" borderId="0" xfId="0" applyAlignment="1">
      <alignment vertical="center" wrapText="1"/>
    </xf>
    <xf numFmtId="0" fontId="33" fillId="13" borderId="0" xfId="0" applyFont="1" applyFill="1" applyAlignment="1">
      <alignment vertical="center" wrapText="1"/>
    </xf>
    <xf numFmtId="0" fontId="33" fillId="14" borderId="0" xfId="0" applyFont="1" applyFill="1" applyAlignment="1">
      <alignment horizontal="center" vertical="center" wrapText="1"/>
    </xf>
    <xf numFmtId="0" fontId="33" fillId="7" borderId="0" xfId="0" applyFont="1" applyFill="1" applyAlignment="1">
      <alignment horizontal="center" vertical="center" wrapText="1"/>
    </xf>
    <xf numFmtId="178" fontId="0" fillId="0" borderId="0" xfId="0" applyNumberFormat="1">
      <alignment vertical="center"/>
    </xf>
    <xf numFmtId="178" fontId="0" fillId="0" borderId="0" xfId="10" applyNumberFormat="1" applyFont="1">
      <alignment vertical="center"/>
    </xf>
    <xf numFmtId="0" fontId="23" fillId="0" borderId="0" xfId="0" applyFont="1" applyAlignment="1">
      <alignment horizontal="right" vertical="center"/>
    </xf>
    <xf numFmtId="178" fontId="23" fillId="0" borderId="0" xfId="2" applyNumberFormat="1" applyFont="1" applyAlignment="1">
      <alignment horizontal="right" vertical="center"/>
    </xf>
    <xf numFmtId="38" fontId="24" fillId="0" borderId="0" xfId="1" applyFont="1" applyFill="1" applyBorder="1" applyAlignment="1"/>
    <xf numFmtId="38" fontId="24" fillId="4" borderId="45" xfId="1" applyFont="1" applyFill="1" applyBorder="1" applyAlignment="1">
      <alignment horizontal="center"/>
    </xf>
    <xf numFmtId="38" fontId="24" fillId="0" borderId="6" xfId="1" applyFont="1" applyFill="1" applyBorder="1" applyAlignment="1"/>
    <xf numFmtId="38" fontId="24" fillId="0" borderId="17" xfId="1" applyFont="1" applyFill="1" applyBorder="1" applyAlignment="1"/>
    <xf numFmtId="38" fontId="32" fillId="20" borderId="0" xfId="1" applyFont="1" applyFill="1" applyBorder="1">
      <alignment vertical="center"/>
    </xf>
    <xf numFmtId="38" fontId="46" fillId="0" borderId="35" xfId="1" applyFont="1" applyBorder="1">
      <alignment vertical="center"/>
    </xf>
    <xf numFmtId="9" fontId="32" fillId="18" borderId="0" xfId="8" applyNumberFormat="1" applyFont="1" applyFill="1" applyAlignment="1">
      <alignment vertical="center"/>
    </xf>
    <xf numFmtId="38" fontId="46" fillId="0" borderId="176" xfId="1" applyFont="1" applyBorder="1" applyAlignment="1"/>
    <xf numFmtId="38" fontId="46" fillId="0" borderId="164" xfId="1" applyFont="1" applyBorder="1" applyAlignment="1"/>
    <xf numFmtId="178" fontId="0" fillId="0" borderId="0" xfId="2" applyNumberFormat="1" applyFont="1">
      <alignment vertical="center"/>
    </xf>
    <xf numFmtId="9" fontId="36" fillId="10" borderId="182" xfId="0" applyNumberFormat="1" applyFont="1" applyFill="1" applyBorder="1" applyAlignment="1">
      <alignment horizontal="center" vertical="center"/>
    </xf>
    <xf numFmtId="0" fontId="36" fillId="10" borderId="182" xfId="0" applyFont="1" applyFill="1" applyBorder="1" applyAlignment="1">
      <alignment horizontal="center" vertical="center"/>
    </xf>
    <xf numFmtId="38" fontId="36" fillId="0" borderId="149" xfId="0" applyNumberFormat="1" applyFont="1" applyFill="1" applyBorder="1" applyAlignment="1">
      <alignment horizontal="right" vertical="center"/>
    </xf>
    <xf numFmtId="0" fontId="39" fillId="0" borderId="0" xfId="0" applyFont="1" applyAlignment="1">
      <alignment horizontal="left" vertical="center"/>
    </xf>
    <xf numFmtId="38" fontId="57" fillId="0" borderId="55" xfId="1" applyFont="1" applyBorder="1" applyAlignment="1">
      <alignment horizontal="right"/>
    </xf>
    <xf numFmtId="38" fontId="2" fillId="0" borderId="55" xfId="1" applyNumberFormat="1" applyFont="1" applyBorder="1" applyAlignment="1"/>
    <xf numFmtId="176" fontId="0" fillId="0" borderId="0" xfId="1" applyNumberFormat="1" applyFont="1">
      <alignment vertical="center"/>
    </xf>
    <xf numFmtId="0" fontId="3" fillId="0" borderId="22" xfId="0" applyFont="1" applyBorder="1" applyAlignment="1">
      <alignment horizontal="left" indent="1"/>
    </xf>
    <xf numFmtId="0" fontId="3" fillId="0" borderId="30" xfId="0" applyFont="1" applyBorder="1" applyAlignment="1">
      <alignment horizontal="left" indent="1"/>
    </xf>
    <xf numFmtId="0" fontId="3" fillId="0" borderId="47" xfId="0" applyFont="1" applyBorder="1" applyAlignment="1"/>
    <xf numFmtId="176" fontId="7" fillId="0" borderId="2" xfId="1" applyNumberFormat="1" applyFont="1" applyBorder="1">
      <alignment vertical="center"/>
    </xf>
    <xf numFmtId="38" fontId="7" fillId="0" borderId="2" xfId="1" applyFont="1" applyBorder="1">
      <alignment vertical="center"/>
    </xf>
    <xf numFmtId="0" fontId="18" fillId="5" borderId="113" xfId="0" applyFont="1" applyFill="1" applyBorder="1" applyAlignment="1"/>
    <xf numFmtId="0" fontId="16" fillId="5" borderId="121" xfId="0" applyFont="1" applyFill="1" applyBorder="1" applyAlignment="1"/>
    <xf numFmtId="38" fontId="40" fillId="0" borderId="92" xfId="1" applyFont="1" applyFill="1" applyBorder="1">
      <alignment vertical="center"/>
    </xf>
    <xf numFmtId="0" fontId="40" fillId="10" borderId="20" xfId="0" applyFont="1" applyFill="1" applyBorder="1">
      <alignment vertical="center"/>
    </xf>
    <xf numFmtId="0" fontId="40" fillId="15" borderId="20" xfId="0" applyFont="1" applyFill="1" applyBorder="1">
      <alignment vertical="center"/>
    </xf>
    <xf numFmtId="0" fontId="6" fillId="15" borderId="21" xfId="0" applyFont="1" applyFill="1" applyBorder="1">
      <alignment vertical="center"/>
    </xf>
    <xf numFmtId="0" fontId="6" fillId="15" borderId="12" xfId="0" applyFont="1" applyFill="1" applyBorder="1">
      <alignment vertical="center"/>
    </xf>
    <xf numFmtId="0" fontId="6" fillId="15" borderId="183" xfId="0" applyFont="1" applyFill="1" applyBorder="1">
      <alignment vertical="center"/>
    </xf>
    <xf numFmtId="0" fontId="45" fillId="10" borderId="11" xfId="0" applyFont="1" applyFill="1" applyBorder="1">
      <alignment vertical="center"/>
    </xf>
    <xf numFmtId="0" fontId="45" fillId="15" borderId="11" xfId="0" applyFont="1" applyFill="1" applyBorder="1">
      <alignment vertical="center"/>
    </xf>
    <xf numFmtId="9" fontId="2" fillId="0" borderId="32" xfId="0" applyNumberFormat="1" applyFont="1" applyBorder="1" applyAlignment="1"/>
    <xf numFmtId="180" fontId="2" fillId="0" borderId="52" xfId="0" applyNumberFormat="1" applyFont="1" applyFill="1" applyBorder="1" applyAlignment="1"/>
    <xf numFmtId="38" fontId="2" fillId="0" borderId="58" xfId="0" applyNumberFormat="1" applyFont="1" applyBorder="1" applyAlignment="1"/>
    <xf numFmtId="178" fontId="2" fillId="0" borderId="32" xfId="2" applyNumberFormat="1" applyFont="1" applyBorder="1" applyAlignment="1"/>
    <xf numFmtId="178" fontId="2" fillId="0" borderId="91" xfId="2" applyNumberFormat="1" applyFont="1" applyBorder="1" applyAlignment="1"/>
    <xf numFmtId="0" fontId="60" fillId="14" borderId="0" xfId="0" applyFont="1" applyFill="1" applyAlignment="1">
      <alignment vertical="center" wrapText="1"/>
    </xf>
    <xf numFmtId="0" fontId="12" fillId="14" borderId="0" xfId="0" applyFont="1" applyFill="1" applyBorder="1" applyAlignment="1">
      <alignment vertical="center"/>
    </xf>
    <xf numFmtId="38" fontId="12" fillId="14" borderId="0" xfId="1" applyFont="1" applyFill="1" applyBorder="1" applyAlignment="1">
      <alignment vertical="center"/>
    </xf>
    <xf numFmtId="0" fontId="61" fillId="14" borderId="0" xfId="0" applyFont="1" applyFill="1">
      <alignment vertical="center"/>
    </xf>
    <xf numFmtId="0" fontId="3" fillId="0" borderId="30" xfId="0" applyFont="1" applyBorder="1" applyAlignment="1"/>
    <xf numFmtId="38" fontId="7" fillId="0" borderId="29" xfId="1" applyFont="1" applyBorder="1">
      <alignment vertical="center"/>
    </xf>
    <xf numFmtId="38" fontId="7" fillId="0" borderId="186" xfId="1" applyFont="1" applyBorder="1">
      <alignment vertical="center"/>
    </xf>
    <xf numFmtId="180" fontId="2" fillId="0" borderId="105" xfId="0" applyNumberFormat="1" applyFont="1" applyBorder="1" applyAlignment="1"/>
    <xf numFmtId="180" fontId="2" fillId="0" borderId="104" xfId="0" applyNumberFormat="1" applyFont="1" applyBorder="1" applyAlignment="1"/>
    <xf numFmtId="0" fontId="40" fillId="15" borderId="11" xfId="0" applyFont="1" applyFill="1" applyBorder="1">
      <alignment vertical="center"/>
    </xf>
    <xf numFmtId="176" fontId="7" fillId="0" borderId="29" xfId="1" applyNumberFormat="1" applyFont="1" applyBorder="1">
      <alignment vertical="center"/>
    </xf>
    <xf numFmtId="176" fontId="7" fillId="0" borderId="186" xfId="1" applyNumberFormat="1" applyFont="1" applyBorder="1">
      <alignment vertical="center"/>
    </xf>
    <xf numFmtId="38" fontId="3" fillId="0" borderId="15" xfId="0" applyNumberFormat="1" applyFont="1" applyBorder="1" applyAlignment="1"/>
    <xf numFmtId="180" fontId="2" fillId="0" borderId="86" xfId="0" applyNumberFormat="1" applyFont="1" applyBorder="1" applyAlignment="1"/>
    <xf numFmtId="38" fontId="2" fillId="0" borderId="14" xfId="1" applyFont="1" applyBorder="1" applyAlignment="1"/>
    <xf numFmtId="38" fontId="2" fillId="0" borderId="3" xfId="1" applyFont="1" applyBorder="1" applyAlignment="1"/>
    <xf numFmtId="0" fontId="3" fillId="0" borderId="22" xfId="0" applyFont="1" applyFill="1" applyBorder="1" applyAlignment="1"/>
    <xf numFmtId="180" fontId="2" fillId="0" borderId="187" xfId="0" applyNumberFormat="1" applyFont="1" applyBorder="1" applyAlignment="1"/>
    <xf numFmtId="180" fontId="2" fillId="0" borderId="29" xfId="0" applyNumberFormat="1" applyFont="1" applyBorder="1" applyAlignment="1"/>
    <xf numFmtId="180" fontId="2" fillId="0" borderId="174" xfId="0" applyNumberFormat="1" applyFont="1" applyBorder="1" applyAlignment="1"/>
    <xf numFmtId="180" fontId="2" fillId="0" borderId="2" xfId="0" applyNumberFormat="1" applyFont="1" applyBorder="1" applyAlignment="1"/>
    <xf numFmtId="0" fontId="3" fillId="0" borderId="190" xfId="0" applyFont="1" applyFill="1" applyBorder="1" applyAlignment="1"/>
    <xf numFmtId="0" fontId="3" fillId="0" borderId="188" xfId="0" applyFont="1" applyBorder="1" applyAlignment="1"/>
    <xf numFmtId="38" fontId="2" fillId="0" borderId="191" xfId="1" applyFont="1" applyBorder="1" applyAlignment="1"/>
    <xf numFmtId="38" fontId="2" fillId="0" borderId="192" xfId="1" applyFont="1" applyBorder="1" applyAlignment="1"/>
    <xf numFmtId="38" fontId="2" fillId="0" borderId="193" xfId="1" applyFont="1" applyBorder="1" applyAlignment="1"/>
    <xf numFmtId="38" fontId="2" fillId="0" borderId="194" xfId="1" applyFont="1" applyBorder="1" applyAlignment="1"/>
    <xf numFmtId="38" fontId="2" fillId="0" borderId="172" xfId="1" applyFont="1" applyBorder="1" applyAlignment="1"/>
    <xf numFmtId="38" fontId="2" fillId="0" borderId="195" xfId="1" applyFont="1" applyBorder="1" applyAlignment="1"/>
    <xf numFmtId="38" fontId="2" fillId="0" borderId="196" xfId="1" applyFont="1" applyBorder="1" applyAlignment="1"/>
    <xf numFmtId="38" fontId="2" fillId="0" borderId="197" xfId="1" applyFont="1" applyBorder="1" applyAlignment="1"/>
    <xf numFmtId="38" fontId="2" fillId="0" borderId="197" xfId="1" applyFont="1" applyBorder="1" applyAlignment="1">
      <alignment horizontal="right"/>
    </xf>
    <xf numFmtId="38" fontId="2" fillId="0" borderId="172" xfId="1" applyFont="1" applyBorder="1" applyAlignment="1">
      <alignment horizontal="right"/>
    </xf>
    <xf numFmtId="38" fontId="2" fillId="0" borderId="172" xfId="1" applyNumberFormat="1" applyFont="1" applyBorder="1" applyAlignment="1"/>
    <xf numFmtId="38" fontId="2" fillId="0" borderId="195" xfId="1" applyFont="1" applyBorder="1" applyAlignment="1">
      <alignment horizontal="right"/>
    </xf>
    <xf numFmtId="38" fontId="57" fillId="0" borderId="195" xfId="1" applyFont="1" applyBorder="1" applyAlignment="1">
      <alignment horizontal="right"/>
    </xf>
    <xf numFmtId="38" fontId="2" fillId="0" borderId="196" xfId="1" applyFont="1" applyBorder="1" applyAlignment="1">
      <alignment horizontal="right"/>
    </xf>
    <xf numFmtId="38" fontId="2" fillId="0" borderId="173" xfId="1" applyFont="1" applyBorder="1" applyAlignment="1"/>
    <xf numFmtId="38" fontId="2" fillId="0" borderId="198" xfId="1" applyFont="1" applyBorder="1" applyAlignment="1"/>
    <xf numFmtId="38" fontId="2" fillId="0" borderId="199" xfId="1" applyFont="1" applyBorder="1" applyAlignment="1"/>
    <xf numFmtId="38" fontId="2" fillId="0" borderId="200" xfId="1" applyFont="1" applyBorder="1" applyAlignment="1">
      <alignment horizontal="right"/>
    </xf>
    <xf numFmtId="38" fontId="2" fillId="0" borderId="170" xfId="1" applyFont="1" applyBorder="1" applyAlignment="1"/>
    <xf numFmtId="38" fontId="2" fillId="0" borderId="201" xfId="1" applyFont="1" applyBorder="1" applyAlignment="1"/>
    <xf numFmtId="38" fontId="2" fillId="0" borderId="171" xfId="1" applyFont="1" applyBorder="1" applyAlignment="1"/>
    <xf numFmtId="38" fontId="2" fillId="0" borderId="202" xfId="1" applyFont="1" applyBorder="1" applyAlignment="1"/>
    <xf numFmtId="180" fontId="2" fillId="0" borderId="203" xfId="0" applyNumberFormat="1" applyFont="1" applyBorder="1" applyAlignment="1"/>
    <xf numFmtId="38" fontId="2" fillId="0" borderId="204" xfId="1" applyFont="1" applyBorder="1" applyAlignment="1"/>
    <xf numFmtId="38" fontId="2" fillId="0" borderId="205" xfId="1" applyFont="1" applyBorder="1" applyAlignment="1"/>
    <xf numFmtId="38" fontId="2" fillId="0" borderId="206" xfId="1" applyFont="1" applyBorder="1" applyAlignment="1"/>
    <xf numFmtId="38" fontId="2" fillId="0" borderId="32" xfId="1" applyFont="1" applyBorder="1" applyAlignment="1"/>
    <xf numFmtId="38" fontId="2" fillId="0" borderId="189" xfId="1" applyFont="1" applyBorder="1" applyAlignment="1"/>
    <xf numFmtId="38" fontId="2" fillId="0" borderId="59" xfId="1" applyFont="1" applyBorder="1" applyAlignment="1">
      <alignment horizontal="right"/>
    </xf>
    <xf numFmtId="38" fontId="2" fillId="0" borderId="206" xfId="1" applyFont="1" applyBorder="1" applyAlignment="1">
      <alignment horizontal="right"/>
    </xf>
    <xf numFmtId="0" fontId="39" fillId="0" borderId="0" xfId="0" applyFont="1" applyAlignment="1">
      <alignment vertical="center" wrapText="1"/>
    </xf>
    <xf numFmtId="180" fontId="2" fillId="0" borderId="207" xfId="0" applyNumberFormat="1" applyFont="1" applyBorder="1" applyAlignment="1"/>
    <xf numFmtId="180" fontId="2" fillId="0" borderId="208" xfId="0" applyNumberFormat="1" applyFont="1" applyBorder="1" applyAlignment="1"/>
    <xf numFmtId="180" fontId="2" fillId="0" borderId="209" xfId="0" applyNumberFormat="1" applyFont="1" applyBorder="1" applyAlignment="1"/>
    <xf numFmtId="0" fontId="2" fillId="0" borderId="210" xfId="0" applyFont="1" applyBorder="1" applyAlignment="1"/>
    <xf numFmtId="180" fontId="2" fillId="0" borderId="211" xfId="0" applyNumberFormat="1" applyFont="1" applyBorder="1" applyAlignment="1"/>
    <xf numFmtId="180" fontId="2" fillId="0" borderId="47" xfId="0" applyNumberFormat="1" applyFont="1" applyBorder="1" applyAlignment="1"/>
    <xf numFmtId="180" fontId="2" fillId="0" borderId="91" xfId="0" applyNumberFormat="1" applyFont="1" applyBorder="1" applyAlignment="1"/>
    <xf numFmtId="179" fontId="2" fillId="4" borderId="146" xfId="0" applyNumberFormat="1" applyFont="1" applyFill="1" applyBorder="1" applyAlignment="1">
      <alignment horizontal="center"/>
    </xf>
    <xf numFmtId="0" fontId="3" fillId="0" borderId="212" xfId="0" applyFont="1" applyFill="1" applyBorder="1" applyAlignment="1"/>
    <xf numFmtId="0" fontId="3" fillId="0" borderId="213" xfId="0" applyFont="1" applyFill="1" applyBorder="1" applyAlignment="1"/>
    <xf numFmtId="0" fontId="3" fillId="0" borderId="214" xfId="0" applyFont="1" applyFill="1" applyBorder="1" applyAlignment="1"/>
    <xf numFmtId="0" fontId="2" fillId="0" borderId="212" xfId="0" applyFont="1" applyFill="1" applyBorder="1" applyAlignment="1"/>
    <xf numFmtId="0" fontId="2" fillId="0" borderId="213" xfId="0" applyFont="1" applyFill="1" applyBorder="1" applyAlignment="1"/>
    <xf numFmtId="0" fontId="3" fillId="0" borderId="215" xfId="0" applyFont="1" applyFill="1" applyBorder="1" applyAlignment="1"/>
    <xf numFmtId="180" fontId="2" fillId="0" borderId="195" xfId="0" applyNumberFormat="1" applyFont="1" applyBorder="1" applyAlignment="1"/>
    <xf numFmtId="9" fontId="54" fillId="0" borderId="148" xfId="0" applyNumberFormat="1" applyFont="1" applyBorder="1">
      <alignment vertical="center"/>
    </xf>
    <xf numFmtId="0" fontId="36" fillId="0" borderId="148" xfId="0" applyFont="1" applyFill="1" applyBorder="1" applyAlignment="1">
      <alignment horizontal="left" vertical="center"/>
    </xf>
    <xf numFmtId="0" fontId="46" fillId="0" borderId="216" xfId="0" applyFont="1" applyBorder="1">
      <alignment vertical="center"/>
    </xf>
    <xf numFmtId="38" fontId="46" fillId="0" borderId="148" xfId="1" applyFont="1" applyBorder="1">
      <alignment vertical="center"/>
    </xf>
    <xf numFmtId="0" fontId="46" fillId="0" borderId="148" xfId="0" applyFont="1" applyBorder="1">
      <alignment vertical="center"/>
    </xf>
    <xf numFmtId="38" fontId="24" fillId="0" borderId="217" xfId="1" applyFont="1" applyBorder="1" applyAlignment="1"/>
    <xf numFmtId="38" fontId="24" fillId="0" borderId="218" xfId="1" applyFont="1" applyBorder="1" applyAlignment="1"/>
    <xf numFmtId="9" fontId="36" fillId="24" borderId="149" xfId="0" applyNumberFormat="1" applyFont="1" applyFill="1" applyBorder="1" applyAlignment="1">
      <alignment horizontal="center" vertical="center"/>
    </xf>
    <xf numFmtId="0" fontId="36" fillId="24" borderId="149" xfId="0" applyFont="1" applyFill="1" applyBorder="1" applyAlignment="1">
      <alignment horizontal="center" vertical="center"/>
    </xf>
    <xf numFmtId="9" fontId="36" fillId="24" borderId="182" xfId="0" applyNumberFormat="1" applyFont="1" applyFill="1" applyBorder="1" applyAlignment="1">
      <alignment horizontal="center" vertical="center"/>
    </xf>
    <xf numFmtId="0" fontId="36" fillId="24" borderId="182" xfId="0" applyFont="1" applyFill="1" applyBorder="1" applyAlignment="1">
      <alignment horizontal="center" vertical="center"/>
    </xf>
    <xf numFmtId="9" fontId="54" fillId="0" borderId="6" xfId="0" applyNumberFormat="1" applyFont="1" applyBorder="1">
      <alignment vertical="center"/>
    </xf>
    <xf numFmtId="0" fontId="36" fillId="0" borderId="165" xfId="0" applyFont="1" applyFill="1" applyBorder="1" applyAlignment="1">
      <alignment horizontal="left" vertical="center"/>
    </xf>
    <xf numFmtId="38" fontId="46" fillId="0" borderId="165" xfId="1" applyFont="1" applyBorder="1">
      <alignment vertical="center"/>
    </xf>
    <xf numFmtId="38" fontId="24" fillId="0" borderId="164" xfId="1" applyFont="1" applyBorder="1" applyAlignment="1"/>
    <xf numFmtId="38" fontId="24" fillId="0" borderId="59" xfId="1" applyFont="1" applyBorder="1" applyAlignment="1"/>
    <xf numFmtId="0" fontId="46" fillId="0" borderId="165" xfId="0" applyFont="1" applyBorder="1">
      <alignment vertical="center"/>
    </xf>
    <xf numFmtId="0" fontId="22" fillId="0" borderId="58" xfId="0" applyFont="1" applyFill="1" applyBorder="1" applyAlignment="1"/>
    <xf numFmtId="0" fontId="37" fillId="13" borderId="121" xfId="0" applyFont="1" applyFill="1" applyBorder="1" applyAlignment="1">
      <alignment horizontal="center" vertical="center"/>
    </xf>
    <xf numFmtId="1" fontId="40" fillId="0" borderId="219" xfId="0" applyNumberFormat="1" applyFont="1" applyFill="1" applyBorder="1" applyAlignment="1">
      <alignment horizontal="left" vertical="center"/>
    </xf>
    <xf numFmtId="181" fontId="40" fillId="0" borderId="219" xfId="0" applyNumberFormat="1" applyFont="1" applyFill="1" applyBorder="1" applyAlignment="1">
      <alignment horizontal="left" vertical="center"/>
    </xf>
    <xf numFmtId="38" fontId="43" fillId="0" borderId="220" xfId="1" applyFont="1" applyFill="1" applyBorder="1" applyAlignment="1">
      <alignment horizontal="left" vertical="center"/>
    </xf>
    <xf numFmtId="40" fontId="43" fillId="0" borderId="220" xfId="1" applyNumberFormat="1" applyFont="1" applyFill="1" applyBorder="1" applyAlignment="1">
      <alignment horizontal="left" vertical="center"/>
    </xf>
    <xf numFmtId="38" fontId="40" fillId="7" borderId="220" xfId="1" applyFont="1" applyFill="1" applyBorder="1" applyAlignment="1">
      <alignment horizontal="left" vertical="center"/>
    </xf>
    <xf numFmtId="176" fontId="43" fillId="0" borderId="220" xfId="1" applyNumberFormat="1" applyFont="1" applyFill="1" applyBorder="1" applyAlignment="1">
      <alignment horizontal="left" vertical="center"/>
    </xf>
    <xf numFmtId="38" fontId="45" fillId="0" borderId="221" xfId="1" applyFont="1" applyFill="1" applyBorder="1">
      <alignment vertical="center"/>
    </xf>
    <xf numFmtId="38" fontId="45" fillId="0" borderId="221" xfId="1" applyFont="1" applyFill="1" applyBorder="1" applyAlignment="1">
      <alignment vertical="center" wrapText="1"/>
    </xf>
    <xf numFmtId="38" fontId="40" fillId="0" borderId="220" xfId="1" applyFont="1" applyFill="1" applyBorder="1" applyAlignment="1">
      <alignment horizontal="left" vertical="center"/>
    </xf>
    <xf numFmtId="38" fontId="40" fillId="0" borderId="15" xfId="1" applyFont="1" applyFill="1" applyBorder="1" applyAlignment="1">
      <alignment horizontal="left" vertical="center"/>
    </xf>
    <xf numFmtId="38" fontId="43" fillId="0" borderId="220" xfId="1" applyFont="1" applyFill="1" applyBorder="1" applyAlignment="1">
      <alignment horizontal="right" vertical="center"/>
    </xf>
    <xf numFmtId="38" fontId="43" fillId="0" borderId="222" xfId="1" applyFont="1" applyFill="1" applyBorder="1">
      <alignment vertical="center"/>
    </xf>
    <xf numFmtId="9" fontId="43" fillId="0" borderId="220" xfId="2" applyFont="1" applyFill="1" applyBorder="1" applyAlignment="1">
      <alignment horizontal="right" vertical="center"/>
    </xf>
    <xf numFmtId="178" fontId="43" fillId="0" borderId="220" xfId="2" applyNumberFormat="1" applyFont="1" applyFill="1" applyBorder="1" applyAlignment="1">
      <alignment horizontal="right" vertical="center"/>
    </xf>
    <xf numFmtId="9" fontId="43" fillId="0" borderId="223" xfId="2" applyFont="1" applyFill="1" applyBorder="1" applyAlignment="1">
      <alignment horizontal="right" vertical="center"/>
    </xf>
    <xf numFmtId="1" fontId="43" fillId="10" borderId="14" xfId="0" applyNumberFormat="1" applyFont="1" applyFill="1" applyBorder="1" applyAlignment="1">
      <alignment horizontal="right" vertical="center"/>
    </xf>
    <xf numFmtId="9" fontId="43" fillId="10" borderId="224" xfId="2" applyFont="1" applyFill="1" applyBorder="1" applyAlignment="1">
      <alignment horizontal="right" vertical="center"/>
    </xf>
    <xf numFmtId="9" fontId="43" fillId="15" borderId="224" xfId="2" applyFont="1" applyFill="1" applyBorder="1" applyAlignment="1">
      <alignment horizontal="right" vertical="center"/>
    </xf>
    <xf numFmtId="0" fontId="39" fillId="0" borderId="17" xfId="0" applyFont="1" applyBorder="1" applyAlignment="1">
      <alignment vertical="center" wrapText="1"/>
    </xf>
    <xf numFmtId="38" fontId="41" fillId="21" borderId="227" xfId="1" applyFont="1" applyFill="1" applyBorder="1">
      <alignment vertical="center"/>
    </xf>
    <xf numFmtId="38" fontId="41" fillId="21" borderId="0" xfId="1" applyFont="1" applyFill="1" applyBorder="1">
      <alignment vertical="center"/>
    </xf>
    <xf numFmtId="178" fontId="41" fillId="21" borderId="0" xfId="2" applyNumberFormat="1" applyFont="1" applyFill="1" applyBorder="1">
      <alignment vertical="center"/>
    </xf>
    <xf numFmtId="38" fontId="43" fillId="21" borderId="0" xfId="1" applyFont="1" applyFill="1" applyBorder="1">
      <alignment vertical="center"/>
    </xf>
    <xf numFmtId="38" fontId="43" fillId="21" borderId="6" xfId="1" applyFont="1" applyFill="1" applyBorder="1">
      <alignment vertical="center"/>
    </xf>
    <xf numFmtId="0" fontId="64" fillId="8" borderId="228" xfId="0" applyFont="1" applyFill="1" applyBorder="1" applyAlignment="1">
      <alignment horizontal="left" vertical="center"/>
    </xf>
    <xf numFmtId="0" fontId="64" fillId="8" borderId="8" xfId="0" applyFont="1" applyFill="1" applyBorder="1" applyAlignment="1">
      <alignment horizontal="center" vertical="center"/>
    </xf>
    <xf numFmtId="0" fontId="64" fillId="8" borderId="8" xfId="0" applyFont="1" applyFill="1" applyBorder="1" applyAlignment="1">
      <alignment horizontal="left" vertical="center"/>
    </xf>
    <xf numFmtId="0" fontId="64" fillId="8" borderId="222" xfId="0" applyFont="1" applyFill="1" applyBorder="1" applyAlignment="1">
      <alignment horizontal="center" vertical="center"/>
    </xf>
    <xf numFmtId="0" fontId="37" fillId="8" borderId="3" xfId="0" applyFont="1" applyFill="1" applyBorder="1" applyAlignment="1">
      <alignment horizontal="center" vertical="center"/>
    </xf>
    <xf numFmtId="0" fontId="37" fillId="8" borderId="230" xfId="0" applyFont="1" applyFill="1" applyBorder="1" applyAlignment="1">
      <alignment horizontal="left" vertical="center"/>
    </xf>
    <xf numFmtId="0" fontId="37" fillId="8" borderId="230" xfId="0" applyFont="1" applyFill="1" applyBorder="1" applyAlignment="1">
      <alignment horizontal="center" vertical="center"/>
    </xf>
    <xf numFmtId="0" fontId="37" fillId="8" borderId="229" xfId="0" applyFont="1" applyFill="1" applyBorder="1" applyAlignment="1">
      <alignment horizontal="center" vertical="center"/>
    </xf>
    <xf numFmtId="38" fontId="41" fillId="21" borderId="231" xfId="1" applyFont="1" applyFill="1" applyBorder="1">
      <alignment vertical="center"/>
    </xf>
    <xf numFmtId="38" fontId="41" fillId="21" borderId="15" xfId="1" applyFont="1" applyFill="1" applyBorder="1">
      <alignment vertical="center"/>
    </xf>
    <xf numFmtId="178" fontId="41" fillId="21" borderId="15" xfId="2" applyNumberFormat="1" applyFont="1" applyFill="1" applyBorder="1">
      <alignment vertical="center"/>
    </xf>
    <xf numFmtId="38" fontId="43" fillId="21" borderId="15" xfId="1" applyFont="1" applyFill="1" applyBorder="1">
      <alignment vertical="center"/>
    </xf>
    <xf numFmtId="38" fontId="43" fillId="21" borderId="47" xfId="1" applyFont="1" applyFill="1" applyBorder="1">
      <alignment vertical="center"/>
    </xf>
    <xf numFmtId="9" fontId="43" fillId="10" borderId="14" xfId="2" applyFont="1" applyFill="1" applyBorder="1" applyAlignment="1">
      <alignment horizontal="right" vertical="center"/>
    </xf>
    <xf numFmtId="178" fontId="41" fillId="21" borderId="231" xfId="2" applyNumberFormat="1" applyFont="1" applyFill="1" applyBorder="1">
      <alignment vertical="center"/>
    </xf>
    <xf numFmtId="178" fontId="55" fillId="21" borderId="0" xfId="2" applyNumberFormat="1" applyFont="1" applyFill="1" applyBorder="1">
      <alignment vertical="center"/>
    </xf>
    <xf numFmtId="38" fontId="44" fillId="0" borderId="232" xfId="1" applyFont="1" applyFill="1" applyBorder="1">
      <alignment vertical="center"/>
    </xf>
    <xf numFmtId="38" fontId="44" fillId="21" borderId="233" xfId="1" applyFont="1" applyFill="1" applyBorder="1">
      <alignment vertical="center"/>
    </xf>
    <xf numFmtId="9" fontId="43" fillId="10" borderId="234" xfId="2" applyFont="1" applyFill="1" applyBorder="1" applyAlignment="1">
      <alignment horizontal="right" vertical="center"/>
    </xf>
    <xf numFmtId="1" fontId="43" fillId="10" borderId="224" xfId="0" applyNumberFormat="1" applyFont="1" applyFill="1" applyBorder="1" applyAlignment="1">
      <alignment horizontal="right" vertical="center"/>
    </xf>
    <xf numFmtId="9" fontId="43" fillId="15" borderId="235" xfId="2" applyFont="1" applyFill="1" applyBorder="1" applyAlignment="1">
      <alignment horizontal="right" vertical="center"/>
    </xf>
    <xf numFmtId="38" fontId="44" fillId="21" borderId="20" xfId="1" applyFont="1" applyFill="1" applyBorder="1">
      <alignment vertical="center"/>
    </xf>
    <xf numFmtId="0" fontId="37" fillId="8" borderId="36" xfId="0" applyFont="1" applyFill="1" applyBorder="1" applyAlignment="1">
      <alignment horizontal="left" vertical="center"/>
    </xf>
    <xf numFmtId="0" fontId="37" fillId="8" borderId="36" xfId="0" applyFont="1" applyFill="1" applyBorder="1" applyAlignment="1">
      <alignment horizontal="center" vertical="center"/>
    </xf>
    <xf numFmtId="0" fontId="37" fillId="8" borderId="87" xfId="0" applyFont="1" applyFill="1" applyBorder="1" applyAlignment="1">
      <alignment horizontal="center" vertical="center"/>
    </xf>
    <xf numFmtId="38" fontId="43" fillId="0" borderId="237" xfId="1" applyFont="1" applyFill="1" applyBorder="1">
      <alignment vertical="center"/>
    </xf>
    <xf numFmtId="38" fontId="43" fillId="10" borderId="238" xfId="1" applyFont="1" applyFill="1" applyBorder="1" applyAlignment="1">
      <alignment horizontal="right" vertical="center"/>
    </xf>
    <xf numFmtId="9" fontId="43" fillId="10" borderId="238" xfId="2" applyFont="1" applyFill="1" applyBorder="1" applyAlignment="1">
      <alignment horizontal="right" vertical="center"/>
    </xf>
    <xf numFmtId="178" fontId="43" fillId="15" borderId="238" xfId="2" applyNumberFormat="1" applyFont="1" applyFill="1" applyBorder="1" applyAlignment="1">
      <alignment horizontal="right" vertical="center"/>
    </xf>
    <xf numFmtId="9" fontId="43" fillId="15" borderId="239" xfId="2" applyFont="1" applyFill="1" applyBorder="1" applyAlignment="1">
      <alignment horizontal="right" vertical="center"/>
    </xf>
    <xf numFmtId="178" fontId="41" fillId="21" borderId="22" xfId="2" applyNumberFormat="1" applyFont="1" applyFill="1" applyBorder="1">
      <alignment vertical="center"/>
    </xf>
    <xf numFmtId="38" fontId="43" fillId="21" borderId="22" xfId="1" applyFont="1" applyFill="1" applyBorder="1">
      <alignment vertical="center"/>
    </xf>
    <xf numFmtId="38" fontId="43" fillId="21" borderId="24" xfId="1" applyFont="1" applyFill="1" applyBorder="1">
      <alignment vertical="center"/>
    </xf>
    <xf numFmtId="38" fontId="43" fillId="21" borderId="17" xfId="1" applyFont="1" applyFill="1" applyBorder="1">
      <alignment vertical="center"/>
    </xf>
    <xf numFmtId="38" fontId="43" fillId="21" borderId="26" xfId="1" applyFont="1" applyFill="1" applyBorder="1">
      <alignment vertical="center"/>
    </xf>
    <xf numFmtId="0" fontId="37" fillId="13" borderId="240" xfId="0" applyFont="1" applyFill="1" applyBorder="1" applyAlignment="1">
      <alignment horizontal="center" vertical="center"/>
    </xf>
    <xf numFmtId="38" fontId="41" fillId="9" borderId="226" xfId="1" applyFont="1" applyFill="1" applyBorder="1">
      <alignment vertical="center"/>
    </xf>
    <xf numFmtId="178" fontId="41" fillId="9" borderId="226" xfId="2" applyNumberFormat="1" applyFont="1" applyFill="1" applyBorder="1">
      <alignment vertical="center"/>
    </xf>
    <xf numFmtId="178" fontId="41" fillId="10" borderId="226" xfId="2" applyNumberFormat="1" applyFont="1" applyFill="1" applyBorder="1">
      <alignment vertical="center"/>
    </xf>
    <xf numFmtId="38" fontId="43" fillId="10" borderId="226" xfId="1" applyFont="1" applyFill="1" applyBorder="1">
      <alignment vertical="center"/>
    </xf>
    <xf numFmtId="181" fontId="43" fillId="10" borderId="225" xfId="0" applyNumberFormat="1" applyFont="1" applyFill="1" applyBorder="1" applyAlignment="1">
      <alignment horizontal="right" vertical="center"/>
    </xf>
    <xf numFmtId="181" fontId="43" fillId="0" borderId="225" xfId="0" applyNumberFormat="1" applyFont="1" applyFill="1" applyBorder="1" applyAlignment="1">
      <alignment horizontal="right" vertical="center"/>
    </xf>
    <xf numFmtId="38" fontId="43" fillId="15" borderId="225" xfId="1" applyFont="1" applyFill="1" applyBorder="1" applyAlignment="1">
      <alignment horizontal="right" vertical="center"/>
    </xf>
    <xf numFmtId="1" fontId="43" fillId="10" borderId="225" xfId="0" applyNumberFormat="1" applyFont="1" applyFill="1" applyBorder="1" applyAlignment="1">
      <alignment horizontal="right" vertical="center"/>
    </xf>
    <xf numFmtId="38" fontId="43" fillId="15" borderId="238" xfId="1" applyFont="1" applyFill="1" applyBorder="1" applyAlignment="1">
      <alignment horizontal="right" vertical="center"/>
    </xf>
    <xf numFmtId="176" fontId="43" fillId="15" borderId="238" xfId="1" applyNumberFormat="1" applyFont="1" applyFill="1" applyBorder="1" applyAlignment="1">
      <alignment horizontal="right" vertical="center"/>
    </xf>
    <xf numFmtId="182" fontId="43" fillId="15" borderId="238" xfId="1" applyNumberFormat="1" applyFont="1" applyFill="1" applyBorder="1" applyAlignment="1">
      <alignment horizontal="right" vertical="center"/>
    </xf>
    <xf numFmtId="38" fontId="43" fillId="0" borderId="238" xfId="1" applyFont="1" applyFill="1" applyBorder="1" applyAlignment="1">
      <alignment horizontal="right" vertical="center"/>
    </xf>
    <xf numFmtId="38" fontId="43" fillId="15" borderId="3" xfId="1" applyFont="1" applyFill="1" applyBorder="1" applyAlignment="1">
      <alignment horizontal="right" vertical="center"/>
    </xf>
    <xf numFmtId="9" fontId="43" fillId="15" borderId="238" xfId="2" applyFont="1" applyFill="1" applyBorder="1" applyAlignment="1">
      <alignment horizontal="right" vertical="center"/>
    </xf>
    <xf numFmtId="38" fontId="41" fillId="21" borderId="241" xfId="1" applyFont="1" applyFill="1" applyBorder="1">
      <alignment vertical="center"/>
    </xf>
    <xf numFmtId="38" fontId="41" fillId="21" borderId="22" xfId="1" applyFont="1" applyFill="1" applyBorder="1">
      <alignment vertical="center"/>
    </xf>
    <xf numFmtId="38" fontId="43" fillId="21" borderId="30" xfId="1" applyFont="1" applyFill="1" applyBorder="1">
      <alignment vertical="center"/>
    </xf>
    <xf numFmtId="0" fontId="37" fillId="8" borderId="86" xfId="0" applyFont="1" applyFill="1" applyBorder="1" applyAlignment="1">
      <alignment horizontal="left" vertical="center"/>
    </xf>
    <xf numFmtId="181" fontId="43" fillId="10" borderId="242" xfId="0" applyNumberFormat="1" applyFont="1" applyFill="1" applyBorder="1" applyAlignment="1">
      <alignment vertical="center"/>
    </xf>
    <xf numFmtId="181" fontId="43" fillId="10" borderId="135" xfId="0" applyNumberFormat="1" applyFont="1" applyFill="1" applyBorder="1" applyAlignment="1">
      <alignment vertical="center"/>
    </xf>
    <xf numFmtId="0" fontId="37" fillId="8" borderId="75" xfId="0" applyFont="1" applyFill="1" applyBorder="1" applyAlignment="1">
      <alignment horizontal="left" vertical="center"/>
    </xf>
    <xf numFmtId="9" fontId="43" fillId="10" borderId="86" xfId="2" applyFont="1" applyFill="1" applyBorder="1" applyAlignment="1">
      <alignment horizontal="right" vertical="center"/>
    </xf>
    <xf numFmtId="1" fontId="43" fillId="10" borderId="145" xfId="0" applyNumberFormat="1" applyFont="1" applyFill="1" applyBorder="1" applyAlignment="1">
      <alignment horizontal="right" vertical="center"/>
    </xf>
    <xf numFmtId="9" fontId="43" fillId="15" borderId="244" xfId="2" applyFont="1" applyFill="1" applyBorder="1" applyAlignment="1">
      <alignment horizontal="right" vertical="center"/>
    </xf>
    <xf numFmtId="38" fontId="43" fillId="15" borderId="134" xfId="1" applyFont="1" applyFill="1" applyBorder="1" applyAlignment="1">
      <alignment horizontal="right" vertical="center"/>
    </xf>
    <xf numFmtId="38" fontId="44" fillId="21" borderId="242" xfId="1" applyFont="1" applyFill="1" applyBorder="1">
      <alignment vertical="center"/>
    </xf>
    <xf numFmtId="38" fontId="44" fillId="21" borderId="219" xfId="1" applyFont="1" applyFill="1" applyBorder="1">
      <alignment vertical="center"/>
    </xf>
    <xf numFmtId="9" fontId="43" fillId="10" borderId="245" xfId="2" applyFont="1" applyFill="1" applyBorder="1" applyAlignment="1">
      <alignment horizontal="right" vertical="center"/>
    </xf>
    <xf numFmtId="1" fontId="43" fillId="10" borderId="246" xfId="0" applyNumberFormat="1" applyFont="1" applyFill="1" applyBorder="1" applyAlignment="1">
      <alignment horizontal="right" vertical="center"/>
    </xf>
    <xf numFmtId="9" fontId="43" fillId="10" borderId="244" xfId="2" applyFont="1" applyFill="1" applyBorder="1" applyAlignment="1">
      <alignment horizontal="right" vertical="center"/>
    </xf>
    <xf numFmtId="1" fontId="43" fillId="10" borderId="134" xfId="0" applyNumberFormat="1" applyFont="1" applyFill="1" applyBorder="1" applyAlignment="1">
      <alignment horizontal="right" vertical="center"/>
    </xf>
    <xf numFmtId="9" fontId="43" fillId="15" borderId="247" xfId="2" applyFont="1" applyFill="1" applyBorder="1" applyAlignment="1">
      <alignment horizontal="right" vertical="center"/>
    </xf>
    <xf numFmtId="38" fontId="43" fillId="15" borderId="248" xfId="1" applyFont="1" applyFill="1" applyBorder="1" applyAlignment="1">
      <alignment horizontal="right" vertical="center"/>
    </xf>
    <xf numFmtId="38" fontId="44" fillId="21" borderId="27" xfId="1" applyFont="1" applyFill="1" applyBorder="1">
      <alignment vertical="center"/>
    </xf>
    <xf numFmtId="38" fontId="44" fillId="21" borderId="221" xfId="1" applyFont="1" applyFill="1" applyBorder="1">
      <alignment vertical="center"/>
    </xf>
    <xf numFmtId="0" fontId="39" fillId="0" borderId="17" xfId="0" applyFont="1" applyBorder="1" applyAlignment="1">
      <alignment vertical="center"/>
    </xf>
    <xf numFmtId="181" fontId="43" fillId="15" borderId="135" xfId="0" applyNumberFormat="1" applyFont="1" applyFill="1" applyBorder="1" applyAlignment="1">
      <alignment vertical="center"/>
    </xf>
    <xf numFmtId="181" fontId="43" fillId="15" borderId="243" xfId="0" applyNumberFormat="1" applyFont="1" applyFill="1" applyBorder="1" applyAlignment="1">
      <alignment vertical="center"/>
    </xf>
    <xf numFmtId="181" fontId="43" fillId="15" borderId="137" xfId="0" applyNumberFormat="1" applyFont="1" applyFill="1" applyBorder="1" applyAlignment="1">
      <alignment vertical="center"/>
    </xf>
    <xf numFmtId="181" fontId="43" fillId="15" borderId="236" xfId="0" applyNumberFormat="1" applyFont="1" applyFill="1" applyBorder="1" applyAlignment="1">
      <alignment vertical="center"/>
    </xf>
    <xf numFmtId="38" fontId="43" fillId="0" borderId="249" xfId="1" applyFont="1" applyFill="1" applyBorder="1" applyAlignment="1">
      <alignment horizontal="right" vertical="center"/>
    </xf>
    <xf numFmtId="0" fontId="64" fillId="8" borderId="34" xfId="0" applyFont="1" applyFill="1" applyBorder="1" applyAlignment="1">
      <alignment horizontal="left" vertical="center"/>
    </xf>
    <xf numFmtId="0" fontId="64" fillId="8" borderId="35" xfId="0" applyFont="1" applyFill="1" applyBorder="1" applyAlignment="1">
      <alignment horizontal="center" vertical="center"/>
    </xf>
    <xf numFmtId="0" fontId="64" fillId="8" borderId="35" xfId="0" applyFont="1" applyFill="1" applyBorder="1" applyAlignment="1">
      <alignment horizontal="left" vertical="center"/>
    </xf>
    <xf numFmtId="0" fontId="64" fillId="8" borderId="37" xfId="0" applyFont="1" applyFill="1" applyBorder="1" applyAlignment="1">
      <alignment horizontal="center" vertical="center"/>
    </xf>
    <xf numFmtId="0" fontId="37" fillId="13" borderId="37" xfId="0" applyFont="1" applyFill="1" applyBorder="1" applyAlignment="1">
      <alignment horizontal="center" vertical="center"/>
    </xf>
    <xf numFmtId="181" fontId="43" fillId="21" borderId="135" xfId="0" applyNumberFormat="1" applyFont="1" applyFill="1" applyBorder="1" applyAlignment="1">
      <alignment vertical="center"/>
    </xf>
    <xf numFmtId="181" fontId="43" fillId="21" borderId="136" xfId="0" applyNumberFormat="1" applyFont="1" applyFill="1" applyBorder="1" applyAlignment="1">
      <alignment vertical="center"/>
    </xf>
    <xf numFmtId="38" fontId="43" fillId="10" borderId="225" xfId="1" applyFont="1" applyFill="1" applyBorder="1" applyAlignment="1">
      <alignment horizontal="right" vertical="center"/>
    </xf>
    <xf numFmtId="0" fontId="40" fillId="0" borderId="242" xfId="0" applyFont="1" applyBorder="1">
      <alignment vertical="center"/>
    </xf>
    <xf numFmtId="0" fontId="40" fillId="0" borderId="30" xfId="0" applyFont="1" applyBorder="1">
      <alignment vertical="center"/>
    </xf>
    <xf numFmtId="0" fontId="0" fillId="15" borderId="0" xfId="0" applyFill="1">
      <alignment vertical="center"/>
    </xf>
    <xf numFmtId="181" fontId="0" fillId="0" borderId="0" xfId="0" applyNumberFormat="1">
      <alignment vertical="center"/>
    </xf>
    <xf numFmtId="182" fontId="43" fillId="10" borderId="225" xfId="0" applyNumberFormat="1" applyFont="1" applyFill="1" applyBorder="1" applyAlignment="1">
      <alignment horizontal="right" vertical="center"/>
    </xf>
    <xf numFmtId="0" fontId="3" fillId="0" borderId="64" xfId="0" applyFont="1" applyFill="1" applyBorder="1" applyAlignment="1"/>
    <xf numFmtId="180" fontId="2" fillId="0" borderId="101" xfId="0" applyNumberFormat="1" applyFont="1" applyBorder="1" applyAlignment="1"/>
    <xf numFmtId="0" fontId="65" fillId="15" borderId="0" xfId="0" applyFont="1" applyFill="1" applyBorder="1">
      <alignment vertical="center"/>
    </xf>
    <xf numFmtId="0" fontId="0" fillId="15" borderId="0" xfId="0" applyFont="1" applyFill="1" applyBorder="1">
      <alignment vertical="center"/>
    </xf>
    <xf numFmtId="0" fontId="2" fillId="15" borderId="0" xfId="0" applyFont="1" applyFill="1">
      <alignment vertical="center"/>
    </xf>
    <xf numFmtId="0" fontId="2" fillId="15" borderId="0" xfId="0" applyFont="1" applyFill="1" applyBorder="1">
      <alignment vertical="center"/>
    </xf>
    <xf numFmtId="0" fontId="3" fillId="15" borderId="0" xfId="0" applyFont="1" applyFill="1" applyBorder="1">
      <alignment vertical="center"/>
    </xf>
    <xf numFmtId="0" fontId="69" fillId="16" borderId="111" xfId="0" applyFont="1" applyFill="1" applyBorder="1" applyAlignment="1">
      <alignment vertical="center"/>
    </xf>
    <xf numFmtId="0" fontId="69" fillId="16" borderId="48" xfId="0" applyFont="1" applyFill="1" applyBorder="1" applyAlignment="1">
      <alignment horizontal="center" vertical="center"/>
    </xf>
    <xf numFmtId="0" fontId="70" fillId="16" borderId="103" xfId="0" applyFont="1" applyFill="1" applyBorder="1" applyAlignment="1">
      <alignment vertical="center"/>
    </xf>
    <xf numFmtId="0" fontId="68" fillId="15" borderId="0" xfId="0" applyFont="1" applyFill="1" applyBorder="1">
      <alignment vertical="center"/>
    </xf>
    <xf numFmtId="0" fontId="74" fillId="15" borderId="0" xfId="0" applyFont="1" applyFill="1" applyBorder="1">
      <alignment vertical="center"/>
    </xf>
    <xf numFmtId="0" fontId="74" fillId="15" borderId="0" xfId="0" applyFont="1" applyFill="1">
      <alignment vertical="center"/>
    </xf>
    <xf numFmtId="0" fontId="63" fillId="15" borderId="0" xfId="0" applyFont="1" applyFill="1" applyBorder="1">
      <alignment vertical="center"/>
    </xf>
    <xf numFmtId="0" fontId="65" fillId="10" borderId="0" xfId="0" applyFont="1" applyFill="1" applyBorder="1">
      <alignment vertical="center"/>
    </xf>
    <xf numFmtId="0" fontId="22" fillId="10" borderId="0" xfId="0" applyFont="1" applyFill="1" applyBorder="1" applyAlignment="1"/>
    <xf numFmtId="38" fontId="2" fillId="10" borderId="0" xfId="1" applyFont="1" applyFill="1" applyBorder="1" applyAlignment="1"/>
    <xf numFmtId="0" fontId="0" fillId="10" borderId="0" xfId="0" applyFont="1" applyFill="1" applyBorder="1">
      <alignment vertical="center"/>
    </xf>
    <xf numFmtId="0" fontId="2" fillId="10" borderId="0" xfId="0" applyFont="1" applyFill="1">
      <alignment vertical="center"/>
    </xf>
    <xf numFmtId="0" fontId="39" fillId="10" borderId="0" xfId="0" applyFont="1" applyFill="1" applyBorder="1">
      <alignment vertical="center"/>
    </xf>
    <xf numFmtId="0" fontId="66" fillId="10" borderId="0" xfId="0" applyFont="1" applyFill="1" applyBorder="1">
      <alignment vertical="center"/>
    </xf>
    <xf numFmtId="0" fontId="0" fillId="10" borderId="0" xfId="0" applyFill="1">
      <alignment vertical="center"/>
    </xf>
    <xf numFmtId="0" fontId="2" fillId="10" borderId="0" xfId="0" applyFont="1" applyFill="1" applyBorder="1">
      <alignment vertical="center"/>
    </xf>
    <xf numFmtId="0" fontId="44" fillId="10" borderId="0" xfId="0" applyFont="1" applyFill="1" applyBorder="1">
      <alignment vertical="center"/>
    </xf>
    <xf numFmtId="0" fontId="45" fillId="10" borderId="0" xfId="0" applyFont="1" applyFill="1" applyBorder="1">
      <alignment vertical="center"/>
    </xf>
    <xf numFmtId="0" fontId="65" fillId="15" borderId="17" xfId="0" applyFont="1" applyFill="1" applyBorder="1">
      <alignment vertical="center"/>
    </xf>
    <xf numFmtId="38" fontId="29" fillId="15" borderId="0" xfId="1" applyFont="1" applyFill="1" applyBorder="1" applyAlignment="1">
      <alignment horizontal="center" vertical="center"/>
    </xf>
    <xf numFmtId="0" fontId="10" fillId="15" borderId="0" xfId="0" applyFont="1" applyFill="1">
      <alignment vertical="center"/>
    </xf>
    <xf numFmtId="0" fontId="10" fillId="15" borderId="0" xfId="0" applyFont="1" applyFill="1" applyBorder="1">
      <alignment vertical="center"/>
    </xf>
    <xf numFmtId="38" fontId="2" fillId="15" borderId="0" xfId="1" applyFont="1" applyFill="1" applyBorder="1">
      <alignment vertical="center"/>
    </xf>
    <xf numFmtId="0" fontId="7" fillId="15" borderId="0" xfId="0" applyFont="1" applyFill="1">
      <alignment vertical="center"/>
    </xf>
    <xf numFmtId="0" fontId="0" fillId="15" borderId="0" xfId="0" applyFill="1" applyBorder="1">
      <alignment vertical="center"/>
    </xf>
    <xf numFmtId="9" fontId="0" fillId="15" borderId="0" xfId="2" applyFont="1" applyFill="1" applyBorder="1">
      <alignment vertical="center"/>
    </xf>
    <xf numFmtId="0" fontId="35" fillId="15" borderId="0" xfId="0" applyFont="1" applyFill="1" applyBorder="1">
      <alignment vertical="center"/>
    </xf>
    <xf numFmtId="38" fontId="35" fillId="15" borderId="0" xfId="1" applyFont="1" applyFill="1" applyBorder="1">
      <alignment vertical="center"/>
    </xf>
    <xf numFmtId="0" fontId="21" fillId="15" borderId="0" xfId="0" applyFont="1" applyFill="1" applyBorder="1" applyAlignment="1">
      <alignment vertical="center"/>
    </xf>
    <xf numFmtId="178" fontId="0" fillId="15" borderId="0" xfId="2" applyNumberFormat="1" applyFont="1" applyFill="1" applyBorder="1">
      <alignment vertical="center"/>
    </xf>
    <xf numFmtId="38" fontId="0" fillId="15" borderId="0" xfId="1" applyFont="1" applyFill="1" applyBorder="1">
      <alignment vertical="center"/>
    </xf>
    <xf numFmtId="0" fontId="61" fillId="15" borderId="0" xfId="0" applyFont="1" applyFill="1">
      <alignment vertical="center"/>
    </xf>
    <xf numFmtId="0" fontId="63" fillId="21" borderId="30" xfId="0" applyFont="1" applyFill="1" applyBorder="1">
      <alignment vertical="center"/>
    </xf>
    <xf numFmtId="0" fontId="68" fillId="21" borderId="58" xfId="0" applyFont="1" applyFill="1" applyBorder="1">
      <alignment vertical="center"/>
    </xf>
    <xf numFmtId="0" fontId="68" fillId="21" borderId="47" xfId="0" applyFont="1" applyFill="1" applyBorder="1">
      <alignment vertical="center"/>
    </xf>
    <xf numFmtId="0" fontId="0" fillId="9" borderId="0" xfId="0" applyFill="1" applyBorder="1">
      <alignment vertical="center"/>
    </xf>
    <xf numFmtId="0" fontId="66" fillId="9" borderId="254" xfId="0" applyFont="1" applyFill="1" applyBorder="1">
      <alignment vertical="center"/>
    </xf>
    <xf numFmtId="0" fontId="0" fillId="9" borderId="255" xfId="0" applyFill="1" applyBorder="1">
      <alignment vertical="center"/>
    </xf>
    <xf numFmtId="0" fontId="0" fillId="9" borderId="256" xfId="0" applyFill="1" applyBorder="1">
      <alignment vertical="center"/>
    </xf>
    <xf numFmtId="0" fontId="0" fillId="9" borderId="257" xfId="0" applyFill="1" applyBorder="1">
      <alignment vertical="center"/>
    </xf>
    <xf numFmtId="0" fontId="0" fillId="9" borderId="258" xfId="0" applyFill="1" applyBorder="1">
      <alignment vertical="center"/>
    </xf>
    <xf numFmtId="0" fontId="0" fillId="9" borderId="259" xfId="0" applyFill="1" applyBorder="1">
      <alignment vertical="center"/>
    </xf>
    <xf numFmtId="0" fontId="0" fillId="9" borderId="260" xfId="0" applyFill="1" applyBorder="1">
      <alignment vertical="center"/>
    </xf>
    <xf numFmtId="0" fontId="0" fillId="9" borderId="261" xfId="0" applyFill="1" applyBorder="1">
      <alignment vertical="center"/>
    </xf>
    <xf numFmtId="0" fontId="63" fillId="21" borderId="0" xfId="0" applyFont="1" applyFill="1" applyBorder="1">
      <alignment vertical="center"/>
    </xf>
    <xf numFmtId="0" fontId="69" fillId="14" borderId="113" xfId="0" applyFont="1" applyFill="1" applyBorder="1">
      <alignment vertical="center"/>
    </xf>
    <xf numFmtId="0" fontId="70" fillId="14" borderId="28" xfId="0" applyFont="1" applyFill="1" applyBorder="1">
      <alignment vertical="center"/>
    </xf>
    <xf numFmtId="0" fontId="70" fillId="14" borderId="121" xfId="0" applyFont="1" applyFill="1" applyBorder="1">
      <alignment vertical="center"/>
    </xf>
    <xf numFmtId="0" fontId="63" fillId="21" borderId="262" xfId="0" applyFont="1" applyFill="1" applyBorder="1">
      <alignment vertical="center"/>
    </xf>
    <xf numFmtId="0" fontId="69" fillId="14" borderId="111" xfId="0" applyFont="1" applyFill="1" applyBorder="1">
      <alignment vertical="center"/>
    </xf>
    <xf numFmtId="0" fontId="70" fillId="14" borderId="250" xfId="0" applyFont="1" applyFill="1" applyBorder="1">
      <alignment vertical="center"/>
    </xf>
    <xf numFmtId="0" fontId="70" fillId="14" borderId="113" xfId="0" applyFont="1" applyFill="1" applyBorder="1">
      <alignment vertical="center"/>
    </xf>
    <xf numFmtId="0" fontId="69" fillId="14" borderId="28" xfId="0" applyFont="1" applyFill="1" applyBorder="1" applyAlignment="1">
      <alignment horizontal="center" vertical="center"/>
    </xf>
    <xf numFmtId="0" fontId="69" fillId="14" borderId="121" xfId="0" applyFont="1" applyFill="1" applyBorder="1" applyAlignment="1">
      <alignment horizontal="center" vertical="center"/>
    </xf>
    <xf numFmtId="0" fontId="7" fillId="14" borderId="0" xfId="0" applyFont="1" applyFill="1">
      <alignment vertical="center"/>
    </xf>
    <xf numFmtId="0" fontId="69" fillId="14" borderId="111" xfId="0" applyFont="1" applyFill="1" applyBorder="1" applyAlignment="1">
      <alignment vertical="center"/>
    </xf>
    <xf numFmtId="38" fontId="68" fillId="15" borderId="0" xfId="1" applyFont="1" applyFill="1" applyBorder="1">
      <alignment vertical="center"/>
    </xf>
    <xf numFmtId="38" fontId="68" fillId="15" borderId="0" xfId="1" applyFont="1" applyFill="1" applyBorder="1" applyAlignment="1">
      <alignment vertical="center"/>
    </xf>
    <xf numFmtId="38" fontId="68" fillId="21" borderId="0" xfId="1" applyFont="1" applyFill="1" applyBorder="1">
      <alignment vertical="center"/>
    </xf>
    <xf numFmtId="0" fontId="68" fillId="21" borderId="0" xfId="0" applyFont="1" applyFill="1" applyBorder="1">
      <alignment vertical="center"/>
    </xf>
    <xf numFmtId="0" fontId="70" fillId="14" borderId="121" xfId="0" applyFont="1" applyFill="1" applyBorder="1" applyAlignment="1">
      <alignment horizontal="center" vertical="center"/>
    </xf>
    <xf numFmtId="0" fontId="69" fillId="16" borderId="250" xfId="0" applyFont="1" applyFill="1" applyBorder="1" applyAlignment="1">
      <alignment horizontal="center" vertical="center"/>
    </xf>
    <xf numFmtId="0" fontId="70" fillId="16" borderId="251" xfId="0" applyFont="1" applyFill="1" applyBorder="1" applyAlignment="1">
      <alignment vertical="center"/>
    </xf>
    <xf numFmtId="0" fontId="68" fillId="21" borderId="266" xfId="0" applyFont="1" applyFill="1" applyBorder="1">
      <alignment vertical="center"/>
    </xf>
    <xf numFmtId="0" fontId="68" fillId="21" borderId="26" xfId="0" applyFont="1" applyFill="1" applyBorder="1">
      <alignment vertical="center"/>
    </xf>
    <xf numFmtId="38" fontId="68" fillId="21" borderId="265" xfId="1" applyFont="1" applyFill="1" applyBorder="1">
      <alignment vertical="center"/>
    </xf>
    <xf numFmtId="38" fontId="68" fillId="21" borderId="262" xfId="1" applyFont="1" applyFill="1" applyBorder="1" applyAlignment="1">
      <alignment horizontal="right" vertical="center"/>
    </xf>
    <xf numFmtId="0" fontId="69" fillId="14" borderId="250" xfId="0" applyFont="1" applyFill="1" applyBorder="1" applyAlignment="1">
      <alignment horizontal="center" vertical="center"/>
    </xf>
    <xf numFmtId="0" fontId="70" fillId="14" borderId="251" xfId="0" applyFont="1" applyFill="1" applyBorder="1" applyAlignment="1">
      <alignment vertical="center"/>
    </xf>
    <xf numFmtId="0" fontId="72" fillId="21" borderId="30" xfId="0" applyFont="1" applyFill="1" applyBorder="1" applyAlignment="1">
      <alignment horizontal="left" vertical="center"/>
    </xf>
    <xf numFmtId="0" fontId="72" fillId="21" borderId="57" xfId="0" applyFont="1" applyFill="1" applyBorder="1" applyAlignment="1">
      <alignment horizontal="left" vertical="center"/>
    </xf>
    <xf numFmtId="0" fontId="68" fillId="21" borderId="266" xfId="0" applyFont="1" applyFill="1" applyBorder="1" applyAlignment="1">
      <alignment horizontal="left" vertical="center"/>
    </xf>
    <xf numFmtId="176" fontId="68" fillId="21" borderId="265" xfId="1" applyNumberFormat="1" applyFont="1" applyFill="1" applyBorder="1">
      <alignment vertical="center"/>
    </xf>
    <xf numFmtId="0" fontId="63" fillId="21" borderId="266" xfId="0" applyFont="1" applyFill="1" applyBorder="1" applyAlignment="1">
      <alignment horizontal="left" vertical="center"/>
    </xf>
    <xf numFmtId="176" fontId="68" fillId="21" borderId="265" xfId="0" applyNumberFormat="1" applyFont="1" applyFill="1" applyBorder="1" applyAlignment="1">
      <alignment horizontal="right"/>
    </xf>
    <xf numFmtId="176" fontId="73" fillId="21" borderId="265" xfId="1" applyNumberFormat="1" applyFont="1" applyFill="1" applyBorder="1" applyAlignment="1">
      <alignment horizontal="right"/>
    </xf>
    <xf numFmtId="0" fontId="72" fillId="21" borderId="31" xfId="0" applyFont="1" applyFill="1" applyBorder="1" applyAlignment="1">
      <alignment horizontal="left" vertical="center"/>
    </xf>
    <xf numFmtId="176" fontId="73" fillId="21" borderId="32" xfId="1" applyNumberFormat="1" applyFont="1" applyFill="1" applyBorder="1" applyAlignment="1">
      <alignment horizontal="right" vertical="center"/>
    </xf>
    <xf numFmtId="38" fontId="29" fillId="21" borderId="91" xfId="1" applyFont="1" applyFill="1" applyBorder="1" applyAlignment="1">
      <alignment horizontal="left" vertical="center"/>
    </xf>
    <xf numFmtId="0" fontId="34" fillId="15" borderId="22" xfId="0" applyFont="1" applyFill="1" applyBorder="1">
      <alignment vertical="center"/>
    </xf>
    <xf numFmtId="0" fontId="71" fillId="15" borderId="0" xfId="0" applyFont="1" applyFill="1" applyBorder="1">
      <alignment vertical="center"/>
    </xf>
    <xf numFmtId="0" fontId="71" fillId="15" borderId="15" xfId="0" applyFont="1" applyFill="1" applyBorder="1">
      <alignment vertical="center"/>
    </xf>
    <xf numFmtId="0" fontId="71" fillId="0" borderId="22" xfId="0" applyFont="1" applyBorder="1">
      <alignment vertical="center"/>
    </xf>
    <xf numFmtId="38" fontId="71" fillId="0" borderId="0" xfId="0" applyNumberFormat="1" applyFont="1" applyBorder="1">
      <alignment vertical="center"/>
    </xf>
    <xf numFmtId="38" fontId="71" fillId="0" borderId="15" xfId="0" applyNumberFormat="1" applyFont="1" applyBorder="1">
      <alignment vertical="center"/>
    </xf>
    <xf numFmtId="0" fontId="34" fillId="0" borderId="22" xfId="0" applyFont="1" applyBorder="1">
      <alignment vertical="center"/>
    </xf>
    <xf numFmtId="0" fontId="34" fillId="0" borderId="22" xfId="0" applyFont="1" applyBorder="1" applyAlignment="1">
      <alignment vertical="center" wrapText="1"/>
    </xf>
    <xf numFmtId="0" fontId="34" fillId="0" borderId="24" xfId="0" applyFont="1" applyBorder="1">
      <alignment vertical="center"/>
    </xf>
    <xf numFmtId="38" fontId="71" fillId="0" borderId="17" xfId="0" applyNumberFormat="1" applyFont="1" applyBorder="1">
      <alignment vertical="center"/>
    </xf>
    <xf numFmtId="38" fontId="71" fillId="0" borderId="26" xfId="0" applyNumberFormat="1" applyFont="1" applyBorder="1">
      <alignment vertical="center"/>
    </xf>
    <xf numFmtId="38" fontId="68" fillId="21" borderId="0" xfId="1" applyFont="1" applyFill="1" applyBorder="1" applyAlignment="1">
      <alignment vertical="center"/>
    </xf>
    <xf numFmtId="0" fontId="76" fillId="21" borderId="0" xfId="0" applyFont="1" applyFill="1">
      <alignment vertical="center"/>
    </xf>
    <xf numFmtId="0" fontId="74" fillId="21" borderId="0" xfId="0" applyFont="1" applyFill="1">
      <alignment vertical="center"/>
    </xf>
    <xf numFmtId="0" fontId="74" fillId="21" borderId="0" xfId="0" applyFont="1" applyFill="1" applyBorder="1">
      <alignment vertical="center"/>
    </xf>
    <xf numFmtId="0" fontId="75" fillId="21" borderId="0" xfId="0" applyFont="1" applyFill="1" applyBorder="1">
      <alignment vertical="center"/>
    </xf>
    <xf numFmtId="0" fontId="76" fillId="21" borderId="0" xfId="0" applyFont="1" applyFill="1" applyBorder="1">
      <alignment vertical="center"/>
    </xf>
    <xf numFmtId="0" fontId="7" fillId="21" borderId="0" xfId="0" applyFont="1" applyFill="1">
      <alignment vertical="center"/>
    </xf>
    <xf numFmtId="0" fontId="2" fillId="21" borderId="0" xfId="0" applyFont="1" applyFill="1">
      <alignment vertical="center"/>
    </xf>
    <xf numFmtId="0" fontId="2" fillId="21" borderId="0" xfId="0" applyFont="1" applyFill="1" applyBorder="1">
      <alignment vertical="center"/>
    </xf>
    <xf numFmtId="38" fontId="63" fillId="21" borderId="91" xfId="1" applyFont="1" applyFill="1" applyBorder="1" applyAlignment="1">
      <alignment horizontal="left" vertical="center"/>
    </xf>
    <xf numFmtId="176" fontId="68" fillId="21" borderId="262" xfId="1" applyNumberFormat="1" applyFont="1" applyFill="1" applyBorder="1">
      <alignment vertical="center"/>
    </xf>
    <xf numFmtId="0" fontId="63" fillId="21" borderId="263" xfId="0" applyFont="1" applyFill="1" applyBorder="1" applyAlignment="1">
      <alignment horizontal="left" vertical="center"/>
    </xf>
    <xf numFmtId="0" fontId="63" fillId="21" borderId="91" xfId="0" applyFont="1" applyFill="1" applyBorder="1" applyAlignment="1">
      <alignment horizontal="left" vertical="center"/>
    </xf>
    <xf numFmtId="9" fontId="68" fillId="25" borderId="262" xfId="2" applyFont="1" applyFill="1" applyBorder="1">
      <alignment vertical="center"/>
    </xf>
    <xf numFmtId="0" fontId="72" fillId="0" borderId="22" xfId="0" applyFont="1" applyBorder="1">
      <alignment vertical="center"/>
    </xf>
    <xf numFmtId="38" fontId="73" fillId="0" borderId="0" xfId="0" applyNumberFormat="1" applyFont="1" applyBorder="1">
      <alignment vertical="center"/>
    </xf>
    <xf numFmtId="38" fontId="73" fillId="0" borderId="15" xfId="0" applyNumberFormat="1" applyFont="1" applyBorder="1">
      <alignment vertical="center"/>
    </xf>
    <xf numFmtId="0" fontId="72" fillId="15" borderId="22" xfId="0" applyFont="1" applyFill="1" applyBorder="1">
      <alignment vertical="center"/>
    </xf>
    <xf numFmtId="0" fontId="73" fillId="15" borderId="0" xfId="0" applyFont="1" applyFill="1" applyBorder="1">
      <alignment vertical="center"/>
    </xf>
    <xf numFmtId="0" fontId="73" fillId="15" borderId="15" xfId="0" applyFont="1" applyFill="1" applyBorder="1">
      <alignment vertical="center"/>
    </xf>
    <xf numFmtId="0" fontId="73" fillId="0" borderId="22" xfId="0" applyFont="1" applyBorder="1">
      <alignment vertical="center"/>
    </xf>
    <xf numFmtId="9" fontId="46" fillId="0" borderId="0" xfId="0" applyNumberFormat="1" applyFont="1">
      <alignment vertical="center"/>
    </xf>
    <xf numFmtId="0" fontId="46" fillId="0" borderId="15" xfId="0" applyFont="1" applyBorder="1" applyAlignment="1">
      <alignment vertical="center"/>
    </xf>
    <xf numFmtId="0" fontId="46" fillId="0" borderId="35" xfId="0" applyFont="1" applyBorder="1" applyAlignment="1">
      <alignment vertical="center"/>
    </xf>
    <xf numFmtId="0" fontId="20" fillId="15" borderId="0" xfId="0" applyFont="1" applyFill="1">
      <alignment vertical="center"/>
    </xf>
    <xf numFmtId="38" fontId="63" fillId="21" borderId="0" xfId="1" applyFont="1" applyFill="1" applyBorder="1" applyAlignment="1">
      <alignment vertical="center"/>
    </xf>
    <xf numFmtId="38" fontId="68" fillId="21" borderId="28" xfId="1" applyFont="1" applyFill="1" applyBorder="1">
      <alignment vertical="center"/>
    </xf>
    <xf numFmtId="0" fontId="68" fillId="21" borderId="28" xfId="0" applyFont="1" applyFill="1" applyBorder="1">
      <alignment vertical="center"/>
    </xf>
    <xf numFmtId="38" fontId="68" fillId="21" borderId="28" xfId="1" applyFont="1" applyFill="1" applyBorder="1" applyAlignment="1">
      <alignment vertical="center"/>
    </xf>
    <xf numFmtId="0" fontId="74" fillId="21" borderId="28" xfId="0" applyFont="1" applyFill="1" applyBorder="1">
      <alignment vertical="center"/>
    </xf>
    <xf numFmtId="0" fontId="74" fillId="21" borderId="121" xfId="0" applyFont="1" applyFill="1" applyBorder="1">
      <alignment vertical="center"/>
    </xf>
    <xf numFmtId="0" fontId="63" fillId="21" borderId="22" xfId="0" applyFont="1" applyFill="1" applyBorder="1">
      <alignment vertical="center"/>
    </xf>
    <xf numFmtId="0" fontId="74" fillId="21" borderId="15" xfId="0" applyFont="1" applyFill="1" applyBorder="1">
      <alignment vertical="center"/>
    </xf>
    <xf numFmtId="0" fontId="0" fillId="10" borderId="15" xfId="0" applyFont="1" applyFill="1" applyBorder="1">
      <alignment vertical="center"/>
    </xf>
    <xf numFmtId="0" fontId="66" fillId="10" borderId="15" xfId="0" applyFont="1" applyFill="1" applyBorder="1">
      <alignment vertical="center"/>
    </xf>
    <xf numFmtId="0" fontId="39" fillId="10" borderId="15" xfId="0" applyFont="1" applyFill="1" applyBorder="1">
      <alignment vertical="center"/>
    </xf>
    <xf numFmtId="0" fontId="0" fillId="10" borderId="0" xfId="0" applyFill="1" applyBorder="1">
      <alignment vertical="center"/>
    </xf>
    <xf numFmtId="0" fontId="44" fillId="10" borderId="15" xfId="0" applyFont="1" applyFill="1" applyBorder="1">
      <alignment vertical="center"/>
    </xf>
    <xf numFmtId="0" fontId="45" fillId="10" borderId="15" xfId="0" applyFont="1" applyFill="1" applyBorder="1">
      <alignment vertical="center"/>
    </xf>
    <xf numFmtId="38" fontId="68" fillId="21" borderId="17" xfId="1" applyFont="1" applyFill="1" applyBorder="1" applyAlignment="1">
      <alignment vertical="center"/>
    </xf>
    <xf numFmtId="0" fontId="2" fillId="10" borderId="17" xfId="0" applyFont="1" applyFill="1" applyBorder="1">
      <alignment vertical="center"/>
    </xf>
    <xf numFmtId="0" fontId="0" fillId="10" borderId="17" xfId="0" applyFill="1" applyBorder="1">
      <alignment vertical="center"/>
    </xf>
    <xf numFmtId="0" fontId="2" fillId="10" borderId="26" xfId="0" applyFont="1" applyFill="1" applyBorder="1">
      <alignment vertical="center"/>
    </xf>
    <xf numFmtId="0" fontId="78" fillId="21" borderId="28" xfId="0" applyFont="1" applyFill="1" applyBorder="1">
      <alignment vertical="center"/>
    </xf>
    <xf numFmtId="0" fontId="78" fillId="21" borderId="113" xfId="0" applyFont="1" applyFill="1" applyBorder="1">
      <alignment vertical="center"/>
    </xf>
    <xf numFmtId="0" fontId="75" fillId="21" borderId="22" xfId="0" applyFont="1" applyFill="1" applyBorder="1">
      <alignment vertical="center"/>
    </xf>
    <xf numFmtId="0" fontId="69" fillId="16" borderId="250" xfId="0" applyFont="1" applyFill="1" applyBorder="1" applyAlignment="1">
      <alignment horizontal="left" vertical="center"/>
    </xf>
    <xf numFmtId="0" fontId="63" fillId="21" borderId="269" xfId="0" applyFont="1" applyFill="1" applyBorder="1">
      <alignment vertical="center"/>
    </xf>
    <xf numFmtId="0" fontId="72" fillId="21" borderId="269" xfId="0" applyFont="1" applyFill="1" applyBorder="1" applyAlignment="1">
      <alignment horizontal="left" vertical="center"/>
    </xf>
    <xf numFmtId="0" fontId="0" fillId="0" borderId="0" xfId="0" applyFill="1">
      <alignment vertical="center"/>
    </xf>
    <xf numFmtId="38" fontId="68" fillId="21" borderId="265" xfId="1" applyFont="1" applyFill="1" applyBorder="1" applyAlignment="1">
      <alignment horizontal="left" vertical="center"/>
    </xf>
    <xf numFmtId="0" fontId="34" fillId="0" borderId="269" xfId="0" applyFont="1" applyBorder="1">
      <alignment vertical="center"/>
    </xf>
    <xf numFmtId="0" fontId="34" fillId="0" borderId="31" xfId="0" applyFont="1" applyBorder="1">
      <alignment vertical="center"/>
    </xf>
    <xf numFmtId="9" fontId="68" fillId="25" borderId="263" xfId="2" applyFont="1" applyFill="1" applyBorder="1">
      <alignment vertical="center"/>
    </xf>
    <xf numFmtId="0" fontId="69" fillId="14" borderId="48" xfId="0" applyFont="1" applyFill="1" applyBorder="1" applyAlignment="1">
      <alignment horizontal="center" vertical="center"/>
    </xf>
    <xf numFmtId="0" fontId="70" fillId="14" borderId="103" xfId="0" applyFont="1" applyFill="1" applyBorder="1" applyAlignment="1">
      <alignment vertical="center"/>
    </xf>
    <xf numFmtId="0" fontId="72" fillId="21" borderId="24" xfId="0" applyFont="1" applyFill="1" applyBorder="1" applyAlignment="1">
      <alignment horizontal="left" vertical="center"/>
    </xf>
    <xf numFmtId="176" fontId="68" fillId="21" borderId="17" xfId="1" applyNumberFormat="1" applyFont="1" applyFill="1" applyBorder="1">
      <alignment vertical="center"/>
    </xf>
    <xf numFmtId="0" fontId="63" fillId="21" borderId="26" xfId="0" applyFont="1" applyFill="1" applyBorder="1" applyAlignment="1">
      <alignment horizontal="left" vertical="center"/>
    </xf>
    <xf numFmtId="0" fontId="3" fillId="10" borderId="0" xfId="0" applyFont="1" applyFill="1">
      <alignment vertical="center"/>
    </xf>
    <xf numFmtId="0" fontId="0" fillId="10" borderId="0" xfId="0" applyFont="1" applyFill="1" applyBorder="1" applyAlignment="1">
      <alignment horizontal="right" vertical="center"/>
    </xf>
    <xf numFmtId="0" fontId="2" fillId="10" borderId="0" xfId="0" applyFont="1" applyFill="1" applyBorder="1" applyAlignment="1">
      <alignment horizontal="right" vertical="center"/>
    </xf>
    <xf numFmtId="0" fontId="63" fillId="21" borderId="265" xfId="0" applyFont="1" applyFill="1" applyBorder="1">
      <alignment vertical="center"/>
    </xf>
    <xf numFmtId="0" fontId="68" fillId="21" borderId="265" xfId="0" applyFont="1" applyFill="1" applyBorder="1">
      <alignment vertical="center"/>
    </xf>
    <xf numFmtId="38" fontId="68" fillId="21" borderId="262" xfId="0" applyNumberFormat="1" applyFont="1" applyFill="1" applyBorder="1">
      <alignment vertical="center"/>
    </xf>
    <xf numFmtId="0" fontId="69" fillId="14" borderId="251" xfId="0" applyFont="1" applyFill="1" applyBorder="1">
      <alignment vertical="center"/>
    </xf>
    <xf numFmtId="0" fontId="63" fillId="21" borderId="252" xfId="0" applyFont="1" applyFill="1" applyBorder="1">
      <alignment vertical="center"/>
    </xf>
    <xf numFmtId="38" fontId="68" fillId="21" borderId="253" xfId="1" applyFont="1" applyFill="1" applyBorder="1" applyAlignment="1">
      <alignment horizontal="left" vertical="center"/>
    </xf>
    <xf numFmtId="0" fontId="63" fillId="21" borderId="24" xfId="0" applyFont="1" applyFill="1" applyBorder="1">
      <alignment vertical="center"/>
    </xf>
    <xf numFmtId="9" fontId="28" fillId="0" borderId="76" xfId="2" applyFont="1" applyFill="1" applyBorder="1" applyAlignment="1">
      <alignment horizontal="right" vertical="center"/>
    </xf>
    <xf numFmtId="38" fontId="0" fillId="0" borderId="122" xfId="1" applyFont="1" applyFill="1" applyBorder="1" applyAlignment="1">
      <alignment horizontal="right" vertical="center"/>
    </xf>
    <xf numFmtId="9" fontId="28" fillId="0" borderId="51" xfId="2" applyFont="1" applyFill="1" applyBorder="1" applyAlignment="1">
      <alignment horizontal="right" vertical="center"/>
    </xf>
    <xf numFmtId="178" fontId="0" fillId="0" borderId="123" xfId="2" applyNumberFormat="1" applyFont="1" applyFill="1" applyBorder="1" applyAlignment="1">
      <alignment horizontal="right" vertical="center"/>
    </xf>
    <xf numFmtId="9" fontId="28" fillId="0" borderId="80" xfId="2" applyFont="1" applyFill="1" applyBorder="1" applyAlignment="1">
      <alignment horizontal="right" vertical="center"/>
    </xf>
    <xf numFmtId="178" fontId="0" fillId="0" borderId="138" xfId="2" applyNumberFormat="1" applyFont="1" applyFill="1" applyBorder="1" applyAlignment="1">
      <alignment horizontal="right" vertical="center"/>
    </xf>
    <xf numFmtId="38" fontId="67" fillId="10" borderId="0" xfId="0" applyNumberFormat="1" applyFont="1" applyFill="1" applyBorder="1" applyAlignment="1">
      <alignment horizontal="right" vertical="center"/>
    </xf>
    <xf numFmtId="0" fontId="67" fillId="10" borderId="0" xfId="0" applyFont="1" applyFill="1" applyBorder="1" applyAlignment="1">
      <alignment horizontal="right" vertical="center"/>
    </xf>
    <xf numFmtId="38" fontId="67" fillId="10" borderId="0" xfId="1" applyFont="1" applyFill="1" applyBorder="1" applyAlignment="1">
      <alignment horizontal="right" vertical="center"/>
    </xf>
    <xf numFmtId="0" fontId="63" fillId="21" borderId="270" xfId="0" applyFont="1" applyFill="1" applyBorder="1">
      <alignment vertical="center"/>
    </xf>
    <xf numFmtId="0" fontId="69" fillId="14" borderId="271" xfId="0" applyFont="1" applyFill="1" applyBorder="1">
      <alignment vertical="center"/>
    </xf>
    <xf numFmtId="0" fontId="68" fillId="21" borderId="253" xfId="0" applyFont="1" applyFill="1" applyBorder="1">
      <alignment vertical="center"/>
    </xf>
    <xf numFmtId="0" fontId="68" fillId="21" borderId="262" xfId="0" applyFont="1" applyFill="1" applyBorder="1">
      <alignment vertical="center"/>
    </xf>
    <xf numFmtId="38" fontId="40" fillId="15" borderId="20" xfId="0" applyNumberFormat="1" applyFont="1" applyFill="1" applyBorder="1">
      <alignment vertical="center"/>
    </xf>
    <xf numFmtId="38" fontId="40" fillId="0" borderId="20" xfId="0" applyNumberFormat="1" applyFont="1" applyBorder="1">
      <alignment vertical="center"/>
    </xf>
    <xf numFmtId="0" fontId="8" fillId="15" borderId="0" xfId="0" applyFont="1" applyFill="1" applyAlignment="1">
      <alignment horizontal="right" vertical="center"/>
    </xf>
    <xf numFmtId="0" fontId="8" fillId="15" borderId="0" xfId="0" applyFont="1" applyFill="1">
      <alignment vertical="center"/>
    </xf>
    <xf numFmtId="9" fontId="0" fillId="15" borderId="0" xfId="2" applyFont="1" applyFill="1">
      <alignment vertical="center"/>
    </xf>
    <xf numFmtId="0" fontId="69" fillId="14" borderId="250" xfId="0" applyFont="1" applyFill="1" applyBorder="1">
      <alignment vertical="center"/>
    </xf>
    <xf numFmtId="0" fontId="68" fillId="21" borderId="17" xfId="0" applyFont="1" applyFill="1" applyBorder="1">
      <alignment vertical="center"/>
    </xf>
    <xf numFmtId="38" fontId="68" fillId="21" borderId="270" xfId="1" applyFont="1" applyFill="1" applyBorder="1" applyAlignment="1">
      <alignment horizontal="left" vertical="center"/>
    </xf>
    <xf numFmtId="0" fontId="30" fillId="15" borderId="0" xfId="0" applyFont="1" applyFill="1" applyAlignment="1">
      <alignment vertical="center"/>
    </xf>
    <xf numFmtId="0" fontId="7" fillId="15" borderId="0" xfId="0" applyFont="1" applyFill="1" applyAlignment="1">
      <alignment horizontal="right" vertical="center"/>
    </xf>
    <xf numFmtId="9" fontId="0" fillId="9" borderId="0" xfId="0" applyNumberFormat="1" applyFill="1">
      <alignment vertical="center"/>
    </xf>
    <xf numFmtId="40" fontId="0" fillId="0" borderId="0" xfId="1" applyNumberFormat="1" applyFont="1">
      <alignment vertical="center"/>
    </xf>
    <xf numFmtId="179" fontId="77" fillId="21" borderId="0" xfId="0" applyNumberFormat="1" applyFont="1" applyFill="1" applyBorder="1" applyAlignment="1">
      <alignment horizontal="centerContinuous"/>
    </xf>
    <xf numFmtId="179" fontId="2" fillId="21" borderId="0" xfId="0" applyNumberFormat="1" applyFont="1" applyFill="1" applyBorder="1" applyAlignment="1">
      <alignment horizontal="centerContinuous"/>
    </xf>
    <xf numFmtId="0" fontId="2" fillId="21" borderId="277" xfId="0" applyFont="1" applyFill="1" applyBorder="1">
      <alignment vertical="center"/>
    </xf>
    <xf numFmtId="0" fontId="70" fillId="16" borderId="278" xfId="0" applyFont="1" applyFill="1" applyBorder="1" applyAlignment="1">
      <alignment vertical="center"/>
    </xf>
    <xf numFmtId="0" fontId="68" fillId="21" borderId="279" xfId="0" applyFont="1" applyFill="1" applyBorder="1">
      <alignment vertical="center"/>
    </xf>
    <xf numFmtId="0" fontId="69" fillId="16" borderId="280" xfId="0" applyFont="1" applyFill="1" applyBorder="1" applyAlignment="1">
      <alignment vertical="center"/>
    </xf>
    <xf numFmtId="0" fontId="68" fillId="21" borderId="281" xfId="0" applyFont="1" applyFill="1" applyBorder="1">
      <alignment vertical="center"/>
    </xf>
    <xf numFmtId="0" fontId="2" fillId="21" borderId="285" xfId="0" applyFont="1" applyFill="1" applyBorder="1">
      <alignment vertical="center"/>
    </xf>
    <xf numFmtId="0" fontId="2" fillId="21" borderId="286" xfId="0" applyFont="1" applyFill="1" applyBorder="1">
      <alignment vertical="center"/>
    </xf>
    <xf numFmtId="38" fontId="29" fillId="21" borderId="286" xfId="1" applyFont="1" applyFill="1" applyBorder="1" applyAlignment="1">
      <alignment horizontal="center" vertical="center"/>
    </xf>
    <xf numFmtId="38" fontId="69" fillId="21" borderId="286" xfId="1" applyFont="1" applyFill="1" applyBorder="1" applyAlignment="1">
      <alignment horizontal="center" vertical="center"/>
    </xf>
    <xf numFmtId="38" fontId="40" fillId="21" borderId="287" xfId="1" applyFont="1" applyFill="1" applyBorder="1" applyAlignment="1">
      <alignment horizontal="right" vertical="center"/>
    </xf>
    <xf numFmtId="0" fontId="62" fillId="16" borderId="274" xfId="0" applyFont="1" applyFill="1" applyBorder="1">
      <alignment vertical="center"/>
    </xf>
    <xf numFmtId="0" fontId="13" fillId="16" borderId="275" xfId="0" applyFont="1" applyFill="1" applyBorder="1">
      <alignment vertical="center"/>
    </xf>
    <xf numFmtId="0" fontId="14" fillId="16" borderId="275" xfId="0" applyFont="1" applyFill="1" applyBorder="1">
      <alignment vertical="center"/>
    </xf>
    <xf numFmtId="0" fontId="14" fillId="16" borderId="276" xfId="0" applyFont="1" applyFill="1" applyBorder="1">
      <alignment vertical="center"/>
    </xf>
    <xf numFmtId="179" fontId="77" fillId="21" borderId="284" xfId="0" applyNumberFormat="1" applyFont="1" applyFill="1" applyBorder="1" applyAlignment="1">
      <alignment horizontal="centerContinuous"/>
    </xf>
    <xf numFmtId="0" fontId="67" fillId="10" borderId="0" xfId="0" applyFont="1" applyFill="1" applyBorder="1" applyAlignment="1">
      <alignment vertical="center"/>
    </xf>
    <xf numFmtId="0" fontId="21" fillId="7" borderId="0" xfId="0" applyFont="1" applyFill="1">
      <alignment vertical="center"/>
    </xf>
    <xf numFmtId="0" fontId="0" fillId="0" borderId="0" xfId="0" applyAlignment="1">
      <alignment horizontal="right" vertical="center"/>
    </xf>
    <xf numFmtId="9" fontId="47" fillId="10" borderId="0" xfId="8" applyNumberFormat="1" applyFont="1" applyFill="1" applyAlignment="1">
      <alignment vertical="center" wrapText="1"/>
    </xf>
    <xf numFmtId="0" fontId="46" fillId="10" borderId="0" xfId="8" applyFont="1" applyFill="1" applyAlignment="1">
      <alignment vertical="center" wrapText="1"/>
    </xf>
    <xf numFmtId="178" fontId="46" fillId="10" borderId="0" xfId="10" applyNumberFormat="1" applyFont="1" applyFill="1" applyAlignment="1">
      <alignment vertical="center" wrapText="1"/>
    </xf>
    <xf numFmtId="9" fontId="46" fillId="10" borderId="0" xfId="8" applyNumberFormat="1" applyFont="1" applyFill="1" applyAlignment="1">
      <alignment vertical="center" wrapText="1"/>
    </xf>
    <xf numFmtId="10" fontId="46" fillId="10" borderId="0" xfId="8" applyNumberFormat="1" applyFont="1" applyFill="1" applyAlignment="1">
      <alignment vertical="center" wrapText="1"/>
    </xf>
    <xf numFmtId="0" fontId="36" fillId="10" borderId="0" xfId="8" applyFill="1">
      <alignment vertical="center"/>
    </xf>
    <xf numFmtId="9" fontId="46" fillId="10" borderId="0" xfId="0" applyNumberFormat="1" applyFont="1" applyFill="1" applyAlignment="1">
      <alignment vertical="center" wrapText="1"/>
    </xf>
    <xf numFmtId="178" fontId="46" fillId="10" borderId="0" xfId="0" applyNumberFormat="1" applyFont="1" applyFill="1" applyAlignment="1">
      <alignment vertical="center" wrapText="1"/>
    </xf>
    <xf numFmtId="9" fontId="36" fillId="10" borderId="0" xfId="8" applyNumberFormat="1" applyFill="1">
      <alignment vertical="center"/>
    </xf>
    <xf numFmtId="38" fontId="24" fillId="0" borderId="39" xfId="1" applyFont="1" applyBorder="1" applyAlignment="1">
      <alignment horizontal="center"/>
    </xf>
    <xf numFmtId="0" fontId="24" fillId="0" borderId="39" xfId="3" applyNumberFormat="1" applyFont="1" applyBorder="1" applyAlignment="1">
      <alignment horizontal="center"/>
    </xf>
    <xf numFmtId="0" fontId="24" fillId="0" borderId="40" xfId="3" applyNumberFormat="1" applyFont="1" applyBorder="1" applyAlignment="1">
      <alignment horizontal="center"/>
    </xf>
    <xf numFmtId="0" fontId="52" fillId="0" borderId="288" xfId="0" applyFont="1" applyBorder="1" applyAlignment="1">
      <alignment horizontal="left"/>
    </xf>
    <xf numFmtId="0" fontId="53" fillId="0" borderId="288" xfId="0" applyFont="1" applyBorder="1" applyAlignment="1">
      <alignment horizontal="center"/>
    </xf>
    <xf numFmtId="38" fontId="24" fillId="0" borderId="289" xfId="1" applyFont="1" applyBorder="1" applyAlignment="1">
      <alignment horizontal="center"/>
    </xf>
    <xf numFmtId="9" fontId="24" fillId="0" borderId="289" xfId="2" applyFont="1" applyBorder="1" applyAlignment="1">
      <alignment horizontal="right"/>
    </xf>
    <xf numFmtId="9" fontId="24" fillId="0" borderId="290" xfId="2" applyFont="1" applyBorder="1" applyAlignment="1">
      <alignment horizontal="right"/>
    </xf>
    <xf numFmtId="0" fontId="36" fillId="0" borderId="42" xfId="0" applyFont="1" applyFill="1" applyBorder="1" applyAlignment="1"/>
    <xf numFmtId="0" fontId="24" fillId="0" borderId="42" xfId="0" applyFont="1" applyFill="1" applyBorder="1" applyAlignment="1"/>
    <xf numFmtId="38" fontId="24" fillId="0" borderId="1" xfId="1" applyFont="1" applyBorder="1" applyAlignment="1">
      <alignment horizontal="right"/>
    </xf>
    <xf numFmtId="38" fontId="24" fillId="0" borderId="42" xfId="1" applyFont="1" applyFill="1" applyBorder="1" applyAlignment="1"/>
    <xf numFmtId="0" fontId="11" fillId="0" borderId="0" xfId="0" applyFont="1">
      <alignment vertical="center"/>
    </xf>
    <xf numFmtId="0" fontId="80" fillId="0" borderId="0" xfId="0" applyFont="1">
      <alignment vertical="center"/>
    </xf>
    <xf numFmtId="0" fontId="40" fillId="0" borderId="264" xfId="0" applyFont="1" applyFill="1" applyBorder="1">
      <alignment vertical="center"/>
    </xf>
    <xf numFmtId="0" fontId="40" fillId="0" borderId="184" xfId="0" applyFont="1" applyFill="1" applyBorder="1">
      <alignment vertical="center"/>
    </xf>
    <xf numFmtId="0" fontId="12" fillId="0" borderId="0" xfId="0" applyFont="1">
      <alignment vertical="center"/>
    </xf>
    <xf numFmtId="0" fontId="45" fillId="21" borderId="272" xfId="0" applyFont="1" applyFill="1" applyBorder="1">
      <alignment vertical="center"/>
    </xf>
    <xf numFmtId="0" fontId="82" fillId="21" borderId="272" xfId="0" applyFont="1" applyFill="1" applyBorder="1">
      <alignment vertical="center"/>
    </xf>
    <xf numFmtId="0" fontId="82" fillId="21" borderId="273" xfId="0" applyFont="1" applyFill="1" applyBorder="1">
      <alignment vertical="center"/>
    </xf>
    <xf numFmtId="0" fontId="69" fillId="14" borderId="28" xfId="0" applyFont="1" applyFill="1" applyBorder="1" applyAlignment="1">
      <alignment horizontal="left" vertical="center"/>
    </xf>
    <xf numFmtId="0" fontId="69" fillId="14" borderId="250" xfId="0" applyFont="1" applyFill="1" applyBorder="1" applyAlignment="1">
      <alignment horizontal="left" vertical="center"/>
    </xf>
    <xf numFmtId="0" fontId="45" fillId="15" borderId="0" xfId="0" applyFont="1" applyFill="1" applyAlignment="1">
      <alignment horizontal="right" vertical="center"/>
    </xf>
    <xf numFmtId="0" fontId="66" fillId="9" borderId="255" xfId="0" applyFont="1" applyFill="1" applyBorder="1">
      <alignment vertical="center"/>
    </xf>
    <xf numFmtId="0" fontId="0" fillId="9" borderId="257" xfId="0" applyFill="1" applyBorder="1" applyAlignment="1">
      <alignment vertical="center"/>
    </xf>
    <xf numFmtId="0" fontId="68" fillId="21" borderId="291" xfId="0" applyFont="1" applyFill="1" applyBorder="1">
      <alignment vertical="center"/>
    </xf>
    <xf numFmtId="0" fontId="68" fillId="21" borderId="292" xfId="0" applyFont="1" applyFill="1" applyBorder="1">
      <alignment vertical="center"/>
    </xf>
    <xf numFmtId="0" fontId="68" fillId="21" borderId="293" xfId="0" applyFont="1" applyFill="1" applyBorder="1">
      <alignment vertical="center"/>
    </xf>
    <xf numFmtId="38" fontId="68" fillId="21" borderId="291" xfId="1" applyFont="1" applyFill="1" applyBorder="1" applyAlignment="1">
      <alignment horizontal="left" vertical="center"/>
    </xf>
    <xf numFmtId="38" fontId="68" fillId="21" borderId="292" xfId="1" applyFont="1" applyFill="1" applyBorder="1" applyAlignment="1">
      <alignment horizontal="left" vertical="center"/>
    </xf>
    <xf numFmtId="38" fontId="68" fillId="21" borderId="293" xfId="1" applyFont="1" applyFill="1" applyBorder="1" applyAlignment="1">
      <alignment horizontal="left" vertical="center"/>
    </xf>
    <xf numFmtId="178" fontId="41" fillId="21" borderId="24" xfId="2" applyNumberFormat="1" applyFont="1" applyFill="1" applyBorder="1">
      <alignment vertical="center"/>
    </xf>
    <xf numFmtId="178" fontId="41" fillId="21" borderId="17" xfId="2" applyNumberFormat="1" applyFont="1" applyFill="1" applyBorder="1">
      <alignment vertical="center"/>
    </xf>
    <xf numFmtId="178" fontId="41" fillId="21" borderId="26" xfId="2" applyNumberFormat="1" applyFont="1" applyFill="1" applyBorder="1">
      <alignment vertical="center"/>
    </xf>
    <xf numFmtId="9" fontId="43" fillId="21" borderId="113" xfId="2" applyFont="1" applyFill="1" applyBorder="1" applyAlignment="1">
      <alignment horizontal="right" vertical="center"/>
    </xf>
    <xf numFmtId="1" fontId="43" fillId="21" borderId="28" xfId="0" applyNumberFormat="1" applyFont="1" applyFill="1" applyBorder="1" applyAlignment="1">
      <alignment horizontal="right" vertical="center"/>
    </xf>
    <xf numFmtId="9" fontId="43" fillId="21" borderId="28" xfId="2" applyFont="1" applyFill="1" applyBorder="1" applyAlignment="1">
      <alignment horizontal="right" vertical="center"/>
    </xf>
    <xf numFmtId="1" fontId="40" fillId="21" borderId="28" xfId="0" applyNumberFormat="1" applyFont="1" applyFill="1" applyBorder="1" applyAlignment="1">
      <alignment horizontal="right" vertical="center"/>
    </xf>
    <xf numFmtId="1" fontId="43" fillId="21" borderId="121" xfId="0" applyNumberFormat="1" applyFont="1" applyFill="1" applyBorder="1" applyAlignment="1">
      <alignment horizontal="right" vertical="center"/>
    </xf>
    <xf numFmtId="9" fontId="43" fillId="21" borderId="22" xfId="2" applyFont="1" applyFill="1" applyBorder="1" applyAlignment="1">
      <alignment horizontal="right" vertical="center"/>
    </xf>
    <xf numFmtId="9" fontId="43" fillId="21" borderId="0" xfId="2" applyFont="1" applyFill="1" applyBorder="1" applyAlignment="1">
      <alignment horizontal="right" vertical="center"/>
    </xf>
    <xf numFmtId="38" fontId="43" fillId="21" borderId="15" xfId="1" applyFont="1" applyFill="1" applyBorder="1" applyAlignment="1">
      <alignment horizontal="right" vertical="center"/>
    </xf>
    <xf numFmtId="0" fontId="70" fillId="16" borderId="250" xfId="0" applyFont="1" applyFill="1" applyBorder="1" applyAlignment="1">
      <alignment vertical="center"/>
    </xf>
    <xf numFmtId="38" fontId="40" fillId="21" borderId="0" xfId="1" applyFont="1" applyFill="1" applyBorder="1" applyAlignment="1">
      <alignment horizontal="right" vertical="center"/>
    </xf>
    <xf numFmtId="38" fontId="40" fillId="21" borderId="286" xfId="1" applyFont="1" applyFill="1" applyBorder="1" applyAlignment="1">
      <alignment horizontal="right" vertical="center"/>
    </xf>
    <xf numFmtId="0" fontId="0" fillId="16" borderId="0" xfId="0" applyFill="1">
      <alignment vertical="center"/>
    </xf>
    <xf numFmtId="0" fontId="21" fillId="16" borderId="0" xfId="0" applyFont="1" applyFill="1">
      <alignment vertical="center"/>
    </xf>
    <xf numFmtId="40" fontId="0" fillId="0" borderId="0" xfId="1" applyNumberFormat="1" applyFont="1" applyFill="1">
      <alignment vertical="center"/>
    </xf>
    <xf numFmtId="38" fontId="0" fillId="0" borderId="0" xfId="1" applyFont="1" applyFill="1">
      <alignment vertical="center"/>
    </xf>
    <xf numFmtId="38" fontId="0" fillId="16" borderId="0" xfId="0" applyNumberFormat="1" applyFill="1">
      <alignment vertical="center"/>
    </xf>
    <xf numFmtId="38" fontId="21" fillId="16" borderId="0" xfId="0" applyNumberFormat="1" applyFont="1" applyFill="1">
      <alignment vertical="center"/>
    </xf>
    <xf numFmtId="181" fontId="21" fillId="16" borderId="0" xfId="0" applyNumberFormat="1" applyFont="1" applyFill="1">
      <alignment vertical="center"/>
    </xf>
    <xf numFmtId="40" fontId="21" fillId="16" borderId="0" xfId="1" applyNumberFormat="1" applyFont="1" applyFill="1">
      <alignment vertical="center"/>
    </xf>
    <xf numFmtId="176" fontId="21" fillId="16" borderId="0" xfId="1" applyNumberFormat="1" applyFont="1" applyFill="1">
      <alignment vertical="center"/>
    </xf>
    <xf numFmtId="38" fontId="0" fillId="0" borderId="0" xfId="1" applyNumberFormat="1" applyFont="1">
      <alignment vertical="center"/>
    </xf>
    <xf numFmtId="9" fontId="0" fillId="2" borderId="0" xfId="2" applyFont="1" applyFill="1">
      <alignment vertical="center"/>
    </xf>
    <xf numFmtId="9" fontId="0" fillId="10" borderId="0" xfId="2" applyFont="1" applyFill="1">
      <alignment vertical="center"/>
    </xf>
    <xf numFmtId="9" fontId="0" fillId="2" borderId="0" xfId="0" applyNumberFormat="1" applyFill="1">
      <alignment vertical="center"/>
    </xf>
    <xf numFmtId="0" fontId="13" fillId="16" borderId="28" xfId="0" applyFont="1" applyFill="1" applyBorder="1">
      <alignment vertical="center"/>
    </xf>
    <xf numFmtId="0" fontId="14" fillId="16" borderId="28" xfId="0" applyFont="1" applyFill="1" applyBorder="1">
      <alignment vertical="center"/>
    </xf>
    <xf numFmtId="0" fontId="69" fillId="16" borderId="294" xfId="0" applyFont="1" applyFill="1" applyBorder="1" applyAlignment="1">
      <alignment horizontal="center" vertical="center"/>
    </xf>
    <xf numFmtId="0" fontId="70" fillId="16" borderId="294" xfId="0" applyFont="1" applyFill="1" applyBorder="1" applyAlignment="1">
      <alignment vertical="center"/>
    </xf>
    <xf numFmtId="0" fontId="70" fillId="16" borderId="295" xfId="0" applyFont="1" applyFill="1" applyBorder="1" applyAlignment="1">
      <alignment vertical="center"/>
    </xf>
    <xf numFmtId="0" fontId="68" fillId="21" borderId="277" xfId="0" applyFont="1" applyFill="1" applyBorder="1">
      <alignment vertical="center"/>
    </xf>
    <xf numFmtId="0" fontId="62" fillId="16" borderId="113" xfId="0" applyFont="1" applyFill="1" applyBorder="1">
      <alignment vertical="center"/>
    </xf>
    <xf numFmtId="0" fontId="62" fillId="16" borderId="296" xfId="0" applyFont="1" applyFill="1" applyBorder="1">
      <alignment vertical="center"/>
    </xf>
    <xf numFmtId="0" fontId="62" fillId="16" borderId="34" xfId="0" applyFont="1" applyFill="1" applyBorder="1">
      <alignment vertical="center"/>
    </xf>
    <xf numFmtId="0" fontId="63" fillId="21" borderId="31" xfId="0" applyFont="1" applyFill="1" applyBorder="1">
      <alignment vertical="center"/>
    </xf>
    <xf numFmtId="9" fontId="31" fillId="14" borderId="35" xfId="2" applyFont="1" applyFill="1" applyBorder="1" applyAlignment="1">
      <alignment horizontal="center" vertical="center" wrapText="1"/>
    </xf>
    <xf numFmtId="9" fontId="8" fillId="15" borderId="0" xfId="2" applyFont="1" applyFill="1">
      <alignment vertical="center"/>
    </xf>
    <xf numFmtId="176" fontId="68" fillId="21" borderId="17" xfId="1" applyNumberFormat="1" applyFont="1" applyFill="1" applyBorder="1" applyAlignment="1">
      <alignment horizontal="right" vertical="center"/>
    </xf>
    <xf numFmtId="0" fontId="68" fillId="21" borderId="26" xfId="0" applyFont="1" applyFill="1" applyBorder="1" applyAlignment="1">
      <alignment horizontal="left" vertical="center"/>
    </xf>
    <xf numFmtId="176" fontId="68" fillId="21" borderId="291" xfId="1" applyNumberFormat="1" applyFont="1" applyFill="1" applyBorder="1" applyAlignment="1">
      <alignment horizontal="right" vertical="center"/>
    </xf>
    <xf numFmtId="0" fontId="68" fillId="21" borderId="292" xfId="0" applyFont="1" applyFill="1" applyBorder="1" applyAlignment="1">
      <alignment horizontal="left" vertical="center"/>
    </xf>
    <xf numFmtId="0" fontId="63" fillId="21" borderId="292" xfId="0" applyFont="1" applyFill="1" applyBorder="1" applyAlignment="1">
      <alignment horizontal="left" vertical="center"/>
    </xf>
    <xf numFmtId="0" fontId="83" fillId="14" borderId="0" xfId="0" applyFont="1" applyFill="1" applyAlignment="1">
      <alignment vertical="center"/>
    </xf>
    <xf numFmtId="1" fontId="40" fillId="10" borderId="234" xfId="0" applyNumberFormat="1" applyFont="1" applyFill="1" applyBorder="1" applyAlignment="1">
      <alignment horizontal="right" vertical="center"/>
    </xf>
    <xf numFmtId="1" fontId="40" fillId="10" borderId="14" xfId="0" applyNumberFormat="1" applyFont="1" applyFill="1" applyBorder="1" applyAlignment="1">
      <alignment horizontal="right" vertical="center"/>
    </xf>
    <xf numFmtId="1" fontId="40" fillId="10" borderId="224" xfId="0" applyNumberFormat="1" applyFont="1" applyFill="1" applyBorder="1" applyAlignment="1">
      <alignment horizontal="right" vertical="center"/>
    </xf>
    <xf numFmtId="1" fontId="40" fillId="10" borderId="145" xfId="0" applyNumberFormat="1" applyFont="1" applyFill="1" applyBorder="1" applyAlignment="1">
      <alignment horizontal="right" vertical="center"/>
    </xf>
    <xf numFmtId="178" fontId="43" fillId="10" borderId="86" xfId="2" applyNumberFormat="1" applyFont="1" applyFill="1" applyBorder="1" applyAlignment="1">
      <alignment horizontal="right" vertical="center"/>
    </xf>
    <xf numFmtId="178" fontId="43" fillId="10" borderId="14" xfId="2" applyNumberFormat="1" applyFont="1" applyFill="1" applyBorder="1" applyAlignment="1">
      <alignment horizontal="right" vertical="center"/>
    </xf>
    <xf numFmtId="9" fontId="40" fillId="15" borderId="224" xfId="2" applyFont="1" applyFill="1" applyBorder="1" applyAlignment="1">
      <alignment horizontal="right" vertical="center"/>
    </xf>
    <xf numFmtId="0" fontId="83" fillId="14" borderId="0" xfId="0" applyFont="1" applyFill="1" applyAlignment="1"/>
    <xf numFmtId="0" fontId="76" fillId="15" borderId="0" xfId="0" applyFont="1" applyFill="1">
      <alignment vertical="center"/>
    </xf>
    <xf numFmtId="0" fontId="75" fillId="15" borderId="0" xfId="0" applyFont="1" applyFill="1" applyBorder="1">
      <alignment vertical="center"/>
    </xf>
    <xf numFmtId="0" fontId="76" fillId="15" borderId="0" xfId="0" applyFont="1" applyFill="1" applyBorder="1">
      <alignment vertical="center"/>
    </xf>
    <xf numFmtId="38" fontId="68" fillId="21" borderId="297" xfId="1" applyFont="1" applyFill="1" applyBorder="1">
      <alignment vertical="center"/>
    </xf>
    <xf numFmtId="0" fontId="63" fillId="21" borderId="298" xfId="0" applyFont="1" applyFill="1" applyBorder="1">
      <alignment vertical="center"/>
    </xf>
    <xf numFmtId="38" fontId="68" fillId="21" borderId="291" xfId="1" applyFont="1" applyFill="1" applyBorder="1">
      <alignment vertical="center"/>
    </xf>
    <xf numFmtId="38" fontId="68" fillId="21" borderId="293" xfId="1" applyFont="1" applyFill="1" applyBorder="1">
      <alignment vertical="center"/>
    </xf>
    <xf numFmtId="0" fontId="68" fillId="21" borderId="300" xfId="0" applyFont="1" applyFill="1" applyBorder="1">
      <alignment vertical="center"/>
    </xf>
    <xf numFmtId="176" fontId="68" fillId="21" borderId="294" xfId="1" applyNumberFormat="1" applyFont="1" applyFill="1" applyBorder="1">
      <alignment vertical="center"/>
    </xf>
    <xf numFmtId="176" fontId="68" fillId="21" borderId="291" xfId="1" applyNumberFormat="1" applyFont="1" applyFill="1" applyBorder="1">
      <alignment vertical="center"/>
    </xf>
    <xf numFmtId="0" fontId="68" fillId="21" borderId="301" xfId="0" applyFont="1" applyFill="1" applyBorder="1">
      <alignment vertical="center"/>
    </xf>
    <xf numFmtId="0" fontId="63" fillId="21" borderId="303" xfId="0" applyFont="1" applyFill="1" applyBorder="1">
      <alignment vertical="center"/>
    </xf>
    <xf numFmtId="0" fontId="63" fillId="21" borderId="304" xfId="0" applyFont="1" applyFill="1" applyBorder="1">
      <alignment vertical="center"/>
    </xf>
    <xf numFmtId="0" fontId="68" fillId="21" borderId="306" xfId="0" applyFont="1" applyFill="1" applyBorder="1">
      <alignment vertical="center"/>
    </xf>
    <xf numFmtId="0" fontId="68" fillId="21" borderId="307" xfId="0" applyFont="1" applyFill="1" applyBorder="1">
      <alignment vertical="center"/>
    </xf>
    <xf numFmtId="0" fontId="69" fillId="16" borderId="309" xfId="0" applyFont="1" applyFill="1" applyBorder="1" applyAlignment="1">
      <alignment horizontal="center" vertical="center"/>
    </xf>
    <xf numFmtId="0" fontId="70" fillId="16" borderId="294" xfId="0" applyFont="1" applyFill="1" applyBorder="1" applyAlignment="1">
      <alignment horizontal="center" vertical="center"/>
    </xf>
    <xf numFmtId="0" fontId="69" fillId="16" borderId="271" xfId="0" applyFont="1" applyFill="1" applyBorder="1" applyAlignment="1">
      <alignment horizontal="center" vertical="center"/>
    </xf>
    <xf numFmtId="0" fontId="63" fillId="21" borderId="311" xfId="0" applyFont="1" applyFill="1" applyBorder="1">
      <alignment vertical="center"/>
    </xf>
    <xf numFmtId="0" fontId="63" fillId="21" borderId="312" xfId="0" applyFont="1" applyFill="1" applyBorder="1">
      <alignment vertical="center"/>
    </xf>
    <xf numFmtId="38" fontId="81" fillId="21" borderId="313" xfId="1" applyFont="1" applyFill="1" applyBorder="1" applyAlignment="1">
      <alignment horizontal="left" vertical="center"/>
    </xf>
    <xf numFmtId="38" fontId="82" fillId="21" borderId="313" xfId="1" applyFont="1" applyFill="1" applyBorder="1" applyAlignment="1">
      <alignment horizontal="left" vertical="center"/>
    </xf>
    <xf numFmtId="0" fontId="63" fillId="21" borderId="308" xfId="0" applyFont="1" applyFill="1" applyBorder="1">
      <alignment vertical="center"/>
    </xf>
    <xf numFmtId="0" fontId="63" fillId="21" borderId="309" xfId="0" applyFont="1" applyFill="1" applyBorder="1">
      <alignment vertical="center"/>
    </xf>
    <xf numFmtId="0" fontId="68" fillId="21" borderId="305" xfId="0" applyFont="1" applyFill="1" applyBorder="1">
      <alignment vertical="center"/>
    </xf>
    <xf numFmtId="38" fontId="81" fillId="21" borderId="270" xfId="1" applyFont="1" applyFill="1" applyBorder="1" applyAlignment="1">
      <alignment horizontal="left" vertical="center"/>
    </xf>
    <xf numFmtId="0" fontId="63" fillId="21" borderId="306" xfId="0" applyFont="1" applyFill="1" applyBorder="1">
      <alignment vertical="center"/>
    </xf>
    <xf numFmtId="0" fontId="2" fillId="15" borderId="22" xfId="0" applyFont="1" applyFill="1" applyBorder="1">
      <alignment vertical="center"/>
    </xf>
    <xf numFmtId="0" fontId="72" fillId="21" borderId="309" xfId="0" applyFont="1" applyFill="1" applyBorder="1" applyAlignment="1">
      <alignment horizontal="left" vertical="center"/>
    </xf>
    <xf numFmtId="0" fontId="63" fillId="21" borderId="295" xfId="0" applyFont="1" applyFill="1" applyBorder="1" applyAlignment="1">
      <alignment horizontal="center" vertical="center"/>
    </xf>
    <xf numFmtId="0" fontId="72" fillId="21" borderId="298" xfId="0" applyFont="1" applyFill="1" applyBorder="1" applyAlignment="1">
      <alignment horizontal="left" vertical="center"/>
    </xf>
    <xf numFmtId="0" fontId="63" fillId="21" borderId="300" xfId="0" applyFont="1" applyFill="1" applyBorder="1" applyAlignment="1">
      <alignment horizontal="center" vertical="center"/>
    </xf>
    <xf numFmtId="0" fontId="63" fillId="21" borderId="91" xfId="0" applyFont="1" applyFill="1" applyBorder="1" applyAlignment="1">
      <alignment horizontal="center" vertical="center"/>
    </xf>
    <xf numFmtId="0" fontId="84" fillId="21" borderId="0" xfId="0" applyFont="1" applyFill="1">
      <alignment vertical="center"/>
    </xf>
    <xf numFmtId="0" fontId="85" fillId="14" borderId="0" xfId="0" applyFont="1" applyFill="1">
      <alignment vertical="center"/>
    </xf>
    <xf numFmtId="0" fontId="86" fillId="21" borderId="0" xfId="0" applyFont="1" applyFill="1">
      <alignment vertical="center"/>
    </xf>
    <xf numFmtId="0" fontId="87" fillId="21" borderId="0" xfId="0" applyFont="1" applyFill="1">
      <alignment vertical="center"/>
    </xf>
    <xf numFmtId="0" fontId="0" fillId="21" borderId="0" xfId="0" applyFont="1" applyFill="1">
      <alignment vertical="center"/>
    </xf>
    <xf numFmtId="0" fontId="0" fillId="21" borderId="0" xfId="0" applyFill="1" applyAlignment="1">
      <alignment vertical="center"/>
    </xf>
    <xf numFmtId="0" fontId="0" fillId="14" borderId="0" xfId="0" applyFill="1">
      <alignment vertical="center"/>
    </xf>
    <xf numFmtId="0" fontId="88" fillId="14" borderId="0" xfId="0" applyFont="1" applyFill="1">
      <alignment vertical="center"/>
    </xf>
    <xf numFmtId="0" fontId="21" fillId="14" borderId="0" xfId="0" applyFont="1" applyFill="1">
      <alignment vertical="center"/>
    </xf>
    <xf numFmtId="0" fontId="46" fillId="21" borderId="0" xfId="0" applyFont="1" applyFill="1">
      <alignment vertical="center"/>
    </xf>
    <xf numFmtId="0" fontId="63" fillId="0" borderId="17" xfId="0" applyFont="1" applyFill="1" applyBorder="1">
      <alignment vertical="center"/>
    </xf>
    <xf numFmtId="0" fontId="3" fillId="0" borderId="17" xfId="0" applyFont="1" applyFill="1" applyBorder="1">
      <alignment vertical="center"/>
    </xf>
    <xf numFmtId="0" fontId="2" fillId="0" borderId="17" xfId="0" applyFont="1" applyFill="1" applyBorder="1">
      <alignment vertical="center"/>
    </xf>
    <xf numFmtId="0" fontId="3" fillId="0" borderId="271" xfId="0" applyFont="1" applyFill="1" applyBorder="1" applyAlignment="1">
      <alignment vertical="center"/>
    </xf>
    <xf numFmtId="0" fontId="3" fillId="0" borderId="309" xfId="0" applyFont="1" applyBorder="1">
      <alignment vertical="center"/>
    </xf>
    <xf numFmtId="38" fontId="2" fillId="9" borderId="313" xfId="1" applyFont="1" applyFill="1" applyBorder="1">
      <alignment vertical="center"/>
    </xf>
    <xf numFmtId="0" fontId="2" fillId="0" borderId="300" xfId="0" applyFont="1" applyBorder="1">
      <alignment vertical="center"/>
    </xf>
    <xf numFmtId="38" fontId="2" fillId="9" borderId="294" xfId="1" applyFont="1" applyFill="1" applyBorder="1" applyAlignment="1">
      <alignment horizontal="right" vertical="center"/>
    </xf>
    <xf numFmtId="0" fontId="2" fillId="0" borderId="295" xfId="0" applyFont="1" applyBorder="1">
      <alignment vertical="center"/>
    </xf>
    <xf numFmtId="0" fontId="3" fillId="0" borderId="314" xfId="0" applyFont="1" applyBorder="1">
      <alignment vertical="center"/>
    </xf>
    <xf numFmtId="38" fontId="2" fillId="9" borderId="315" xfId="1" applyFont="1" applyFill="1" applyBorder="1">
      <alignment vertical="center"/>
    </xf>
    <xf numFmtId="0" fontId="3" fillId="0" borderId="316" xfId="0" applyFont="1" applyBorder="1">
      <alignment vertical="center"/>
    </xf>
    <xf numFmtId="38" fontId="2" fillId="9" borderId="317" xfId="1" applyFont="1" applyFill="1" applyBorder="1">
      <alignment vertical="center"/>
    </xf>
    <xf numFmtId="0" fontId="3" fillId="0" borderId="318" xfId="0" applyFont="1" applyBorder="1">
      <alignment vertical="center"/>
    </xf>
    <xf numFmtId="178" fontId="2" fillId="9" borderId="319" xfId="0" applyNumberFormat="1" applyFont="1" applyFill="1" applyBorder="1">
      <alignment vertical="center"/>
    </xf>
    <xf numFmtId="0" fontId="2" fillId="0" borderId="320" xfId="0" applyFont="1" applyBorder="1">
      <alignment vertical="center"/>
    </xf>
    <xf numFmtId="9" fontId="79" fillId="9" borderId="0" xfId="0" applyNumberFormat="1" applyFont="1" applyFill="1">
      <alignment vertical="center"/>
    </xf>
    <xf numFmtId="38" fontId="68" fillId="9" borderId="282" xfId="1" applyFont="1" applyFill="1" applyBorder="1" applyProtection="1">
      <alignment vertical="center"/>
      <protection locked="0"/>
    </xf>
    <xf numFmtId="38" fontId="68" fillId="9" borderId="165" xfId="1" applyFont="1" applyFill="1" applyBorder="1" applyProtection="1">
      <alignment vertical="center"/>
      <protection locked="0"/>
    </xf>
    <xf numFmtId="38" fontId="68" fillId="9" borderId="291" xfId="1" applyFont="1" applyFill="1" applyBorder="1" applyProtection="1">
      <alignment vertical="center"/>
      <protection locked="0"/>
    </xf>
    <xf numFmtId="176" fontId="68" fillId="21" borderId="265" xfId="1" applyNumberFormat="1" applyFont="1" applyFill="1" applyBorder="1" applyProtection="1">
      <alignment vertical="center"/>
      <protection locked="0"/>
    </xf>
    <xf numFmtId="176" fontId="68" fillId="21" borderId="291" xfId="1" applyNumberFormat="1" applyFont="1" applyFill="1" applyBorder="1" applyProtection="1">
      <alignment vertical="center"/>
      <protection locked="0"/>
    </xf>
    <xf numFmtId="176" fontId="68" fillId="21" borderId="294" xfId="1" applyNumberFormat="1" applyFont="1" applyFill="1" applyBorder="1" applyProtection="1">
      <alignment vertical="center"/>
      <protection locked="0"/>
    </xf>
    <xf numFmtId="9" fontId="68" fillId="9" borderId="265" xfId="2" applyFont="1" applyFill="1" applyBorder="1" applyProtection="1">
      <alignment vertical="center"/>
      <protection locked="0"/>
    </xf>
    <xf numFmtId="38" fontId="68" fillId="9" borderId="313" xfId="1" applyFont="1" applyFill="1" applyBorder="1" applyProtection="1">
      <alignment vertical="center"/>
      <protection locked="0"/>
    </xf>
    <xf numFmtId="38" fontId="68" fillId="9" borderId="265" xfId="1" applyFont="1" applyFill="1" applyBorder="1" applyProtection="1">
      <alignment vertical="center"/>
      <protection locked="0"/>
    </xf>
    <xf numFmtId="176" fontId="68" fillId="9" borderId="265" xfId="1" applyNumberFormat="1" applyFont="1" applyFill="1" applyBorder="1" applyProtection="1">
      <alignment vertical="center"/>
      <protection locked="0"/>
    </xf>
    <xf numFmtId="176" fontId="68" fillId="9" borderId="293" xfId="1" applyNumberFormat="1" applyFont="1" applyFill="1" applyBorder="1" applyProtection="1">
      <alignment vertical="center"/>
      <protection locked="0"/>
    </xf>
    <xf numFmtId="9" fontId="68" fillId="9" borderId="262" xfId="2" applyFont="1" applyFill="1" applyBorder="1" applyProtection="1">
      <alignment vertical="center"/>
      <protection locked="0"/>
    </xf>
    <xf numFmtId="9" fontId="68" fillId="9" borderId="32" xfId="2" applyFont="1" applyFill="1" applyBorder="1" applyProtection="1">
      <alignment vertical="center"/>
      <protection locked="0"/>
    </xf>
    <xf numFmtId="9" fontId="68" fillId="9" borderId="17" xfId="2" applyFont="1" applyFill="1" applyBorder="1" applyProtection="1">
      <alignment vertical="center"/>
      <protection locked="0"/>
    </xf>
    <xf numFmtId="0" fontId="0" fillId="26" borderId="0" xfId="0" applyFill="1">
      <alignment vertical="center"/>
    </xf>
    <xf numFmtId="0" fontId="89" fillId="0" borderId="0" xfId="0" applyFont="1" applyFill="1">
      <alignment vertical="center"/>
    </xf>
    <xf numFmtId="0" fontId="90" fillId="0" borderId="0" xfId="0" applyFont="1" applyFill="1">
      <alignment vertical="center"/>
    </xf>
    <xf numFmtId="0" fontId="90" fillId="0" borderId="0" xfId="0" applyFont="1" applyFill="1" applyBorder="1">
      <alignment vertical="center"/>
    </xf>
    <xf numFmtId="0" fontId="90" fillId="0" borderId="0" xfId="0" applyFont="1">
      <alignment vertical="center"/>
    </xf>
    <xf numFmtId="176" fontId="92" fillId="0" borderId="0" xfId="1" applyNumberFormat="1" applyFont="1" applyFill="1" applyBorder="1" applyAlignment="1"/>
    <xf numFmtId="38" fontId="90" fillId="0" borderId="0" xfId="1" applyFont="1" applyFill="1" applyBorder="1" applyAlignment="1"/>
    <xf numFmtId="0" fontId="91" fillId="0" borderId="0" xfId="0" applyFont="1" applyFill="1" applyBorder="1" applyAlignment="1">
      <alignment vertical="center" wrapText="1"/>
    </xf>
    <xf numFmtId="0" fontId="92" fillId="0" borderId="0" xfId="0" applyFont="1" applyFill="1" applyBorder="1" applyAlignment="1"/>
    <xf numFmtId="38" fontId="91" fillId="0" borderId="0" xfId="1" applyFont="1" applyFill="1" applyBorder="1" applyAlignment="1"/>
    <xf numFmtId="0" fontId="93" fillId="0" borderId="0" xfId="0" applyFont="1" applyFill="1" applyBorder="1" applyAlignment="1"/>
    <xf numFmtId="0" fontId="91" fillId="0" borderId="0" xfId="0" applyFont="1" applyFill="1" applyBorder="1" applyAlignment="1"/>
    <xf numFmtId="178" fontId="90" fillId="0" borderId="0" xfId="0" applyNumberFormat="1" applyFont="1" applyFill="1" applyBorder="1">
      <alignment vertical="center"/>
    </xf>
    <xf numFmtId="0" fontId="94" fillId="0" borderId="0" xfId="0" applyFont="1" applyFill="1" applyBorder="1">
      <alignment vertical="center"/>
    </xf>
    <xf numFmtId="0" fontId="95" fillId="0" borderId="0" xfId="0" applyFont="1" applyFill="1" applyBorder="1" applyAlignment="1"/>
    <xf numFmtId="178" fontId="94" fillId="0" borderId="0" xfId="0" applyNumberFormat="1" applyFont="1" applyFill="1" applyBorder="1">
      <alignment vertical="center"/>
    </xf>
    <xf numFmtId="0" fontId="94" fillId="21" borderId="0" xfId="0" applyFont="1" applyFill="1" applyBorder="1">
      <alignment vertical="center"/>
    </xf>
    <xf numFmtId="0" fontId="95" fillId="21" borderId="0" xfId="0" applyFont="1" applyFill="1" applyBorder="1" applyAlignment="1"/>
    <xf numFmtId="178" fontId="94" fillId="21" borderId="0" xfId="0" applyNumberFormat="1" applyFont="1" applyFill="1" applyBorder="1">
      <alignment vertical="center"/>
    </xf>
    <xf numFmtId="0" fontId="94" fillId="21" borderId="0" xfId="0" applyFont="1" applyFill="1">
      <alignment vertical="center"/>
    </xf>
    <xf numFmtId="9" fontId="90" fillId="0" borderId="0" xfId="0" applyNumberFormat="1" applyFont="1" applyFill="1" applyBorder="1">
      <alignment vertical="center"/>
    </xf>
    <xf numFmtId="9" fontId="89" fillId="0" borderId="0" xfId="2" applyFont="1" applyFill="1" applyBorder="1">
      <alignment vertical="center"/>
    </xf>
    <xf numFmtId="9" fontId="96" fillId="0" borderId="0" xfId="0" applyNumberFormat="1" applyFont="1" applyFill="1" applyBorder="1">
      <alignment vertical="center"/>
    </xf>
    <xf numFmtId="0" fontId="90" fillId="21" borderId="0" xfId="0" applyFont="1" applyFill="1">
      <alignment vertical="center"/>
    </xf>
    <xf numFmtId="176" fontId="68" fillId="26" borderId="165" xfId="1" applyNumberFormat="1" applyFont="1" applyFill="1" applyBorder="1" applyProtection="1">
      <alignment vertical="center"/>
      <protection locked="0"/>
    </xf>
    <xf numFmtId="176" fontId="68" fillId="26" borderId="291" xfId="1" applyNumberFormat="1" applyFont="1" applyFill="1" applyBorder="1" applyProtection="1">
      <alignment vertical="center"/>
      <protection locked="0"/>
    </xf>
    <xf numFmtId="38" fontId="68" fillId="26" borderId="165" xfId="1" applyFont="1" applyFill="1" applyBorder="1" applyProtection="1">
      <alignment vertical="center"/>
      <protection locked="0"/>
    </xf>
    <xf numFmtId="38" fontId="68" fillId="26" borderId="6" xfId="1" applyFont="1" applyFill="1" applyBorder="1" applyAlignment="1" applyProtection="1">
      <alignment horizontal="right" vertical="center"/>
      <protection locked="0"/>
    </xf>
    <xf numFmtId="38" fontId="68" fillId="26" borderId="297" xfId="1" applyFont="1" applyFill="1" applyBorder="1" applyProtection="1">
      <alignment vertical="center"/>
      <protection locked="0"/>
    </xf>
    <xf numFmtId="38" fontId="68" fillId="26" borderId="291" xfId="1" applyFont="1" applyFill="1" applyBorder="1" applyProtection="1">
      <alignment vertical="center"/>
      <protection locked="0"/>
    </xf>
    <xf numFmtId="38" fontId="68" fillId="21" borderId="310" xfId="1" applyFont="1" applyFill="1" applyBorder="1" applyProtection="1">
      <alignment vertical="center"/>
      <protection locked="0"/>
    </xf>
    <xf numFmtId="38" fontId="68" fillId="10" borderId="291" xfId="1" applyFont="1" applyFill="1" applyBorder="1" applyProtection="1">
      <alignment vertical="center"/>
      <protection locked="0"/>
    </xf>
    <xf numFmtId="38" fontId="73" fillId="10" borderId="291" xfId="1" applyFont="1" applyFill="1" applyBorder="1" applyProtection="1">
      <alignment vertical="center"/>
      <protection locked="0"/>
    </xf>
    <xf numFmtId="0" fontId="73" fillId="10" borderId="270" xfId="0" applyFont="1" applyFill="1" applyBorder="1" applyProtection="1">
      <alignment vertical="center"/>
      <protection locked="0"/>
    </xf>
    <xf numFmtId="38" fontId="68" fillId="10" borderId="265" xfId="1" applyFont="1" applyFill="1" applyBorder="1" applyProtection="1">
      <alignment vertical="center"/>
      <protection locked="0"/>
    </xf>
    <xf numFmtId="176" fontId="68" fillId="10" borderId="265" xfId="1" applyNumberFormat="1" applyFont="1" applyFill="1" applyBorder="1" applyProtection="1">
      <alignment vertical="center"/>
      <protection locked="0"/>
    </xf>
    <xf numFmtId="176" fontId="68" fillId="10" borderId="270" xfId="1" applyNumberFormat="1" applyFont="1" applyFill="1" applyBorder="1" applyProtection="1">
      <alignment vertical="center"/>
      <protection locked="0"/>
    </xf>
    <xf numFmtId="38" fontId="68" fillId="21" borderId="31" xfId="1" applyFont="1" applyFill="1" applyBorder="1" applyProtection="1">
      <alignment vertical="center"/>
      <protection locked="0"/>
    </xf>
    <xf numFmtId="38" fontId="68" fillId="10" borderId="298" xfId="1" applyFont="1" applyFill="1" applyBorder="1" applyProtection="1">
      <alignment vertical="center"/>
      <protection locked="0"/>
    </xf>
    <xf numFmtId="38" fontId="68" fillId="10" borderId="299" xfId="1" applyFont="1" applyFill="1" applyBorder="1" applyProtection="1">
      <alignment vertical="center"/>
      <protection locked="0"/>
    </xf>
    <xf numFmtId="176" fontId="68" fillId="10" borderId="291" xfId="1" applyNumberFormat="1" applyFont="1" applyFill="1" applyBorder="1" applyAlignment="1" applyProtection="1">
      <alignment horizontal="right" vertical="center"/>
      <protection locked="0"/>
    </xf>
    <xf numFmtId="176" fontId="68" fillId="10" borderId="17" xfId="1" applyNumberFormat="1" applyFont="1" applyFill="1" applyBorder="1" applyAlignment="1" applyProtection="1">
      <alignment horizontal="right" vertical="center"/>
      <protection locked="0"/>
    </xf>
    <xf numFmtId="9" fontId="68" fillId="21" borderId="265" xfId="2" applyFont="1" applyFill="1" applyBorder="1" applyProtection="1">
      <alignment vertical="center"/>
      <protection locked="0"/>
    </xf>
    <xf numFmtId="0" fontId="97" fillId="14" borderId="250" xfId="0" applyFont="1" applyFill="1" applyBorder="1">
      <alignment vertical="center"/>
    </xf>
    <xf numFmtId="0" fontId="62" fillId="14" borderId="251" xfId="0" applyFont="1" applyFill="1" applyBorder="1" applyAlignment="1">
      <alignment horizontal="right" vertical="center"/>
    </xf>
    <xf numFmtId="38" fontId="68" fillId="21" borderId="321" xfId="1" applyFont="1" applyFill="1" applyBorder="1" applyProtection="1">
      <alignment vertical="center"/>
      <protection locked="0"/>
    </xf>
    <xf numFmtId="0" fontId="68" fillId="21" borderId="322" xfId="0" applyFont="1" applyFill="1" applyBorder="1">
      <alignment vertical="center"/>
    </xf>
    <xf numFmtId="0" fontId="68" fillId="21" borderId="323" xfId="0" applyFont="1" applyFill="1" applyBorder="1">
      <alignment vertical="center"/>
    </xf>
    <xf numFmtId="0" fontId="62" fillId="14" borderId="113" xfId="0" applyFont="1" applyFill="1" applyBorder="1">
      <alignment vertical="center"/>
    </xf>
    <xf numFmtId="0" fontId="69" fillId="14" borderId="311" xfId="0" applyFont="1" applyFill="1" applyBorder="1" applyAlignment="1">
      <alignment vertical="center"/>
    </xf>
    <xf numFmtId="0" fontId="62" fillId="14" borderId="28" xfId="0" applyFont="1" applyFill="1" applyBorder="1">
      <alignment vertical="center"/>
    </xf>
    <xf numFmtId="38" fontId="97" fillId="14" borderId="28" xfId="0" applyNumberFormat="1" applyFont="1" applyFill="1" applyBorder="1">
      <alignment vertical="center"/>
    </xf>
    <xf numFmtId="0" fontId="68" fillId="21" borderId="325" xfId="0" applyFont="1" applyFill="1" applyBorder="1">
      <alignment vertical="center"/>
    </xf>
    <xf numFmtId="38" fontId="82" fillId="21" borderId="17" xfId="1" applyFont="1" applyFill="1" applyBorder="1" applyAlignment="1">
      <alignment horizontal="left" vertical="center"/>
    </xf>
    <xf numFmtId="38" fontId="68" fillId="21" borderId="26" xfId="1" applyFont="1" applyFill="1" applyBorder="1" applyAlignment="1">
      <alignment horizontal="left" vertical="center"/>
    </xf>
    <xf numFmtId="38" fontId="68" fillId="21" borderId="300" xfId="1" applyFont="1" applyFill="1" applyBorder="1" applyAlignment="1">
      <alignment horizontal="left" vertical="center"/>
    </xf>
    <xf numFmtId="38" fontId="68" fillId="21" borderId="17" xfId="1" applyFont="1" applyFill="1" applyBorder="1" applyProtection="1">
      <alignment vertical="center"/>
    </xf>
    <xf numFmtId="38" fontId="68" fillId="21" borderId="265" xfId="1" applyFont="1" applyFill="1" applyBorder="1" applyProtection="1">
      <alignment vertical="center"/>
      <protection locked="0"/>
    </xf>
    <xf numFmtId="38" fontId="68" fillId="21" borderId="313" xfId="1" applyFont="1" applyFill="1" applyBorder="1" applyAlignment="1">
      <alignment horizontal="left" vertical="center"/>
    </xf>
    <xf numFmtId="38" fontId="68" fillId="21" borderId="17" xfId="1" applyFont="1" applyFill="1" applyBorder="1" applyAlignment="1">
      <alignment horizontal="left" vertical="center"/>
    </xf>
    <xf numFmtId="38" fontId="68" fillId="21" borderId="265" xfId="1" applyFont="1" applyFill="1" applyBorder="1" applyProtection="1">
      <alignment vertical="center"/>
    </xf>
    <xf numFmtId="0" fontId="63" fillId="21" borderId="313" xfId="0" applyFont="1" applyFill="1" applyBorder="1">
      <alignment vertical="center"/>
    </xf>
    <xf numFmtId="0" fontId="63" fillId="21" borderId="293" xfId="0" applyFont="1" applyFill="1" applyBorder="1">
      <alignment vertical="center"/>
    </xf>
    <xf numFmtId="0" fontId="70" fillId="14" borderId="250" xfId="0" applyFont="1" applyFill="1" applyBorder="1" applyAlignment="1">
      <alignment vertical="center"/>
    </xf>
    <xf numFmtId="0" fontId="72" fillId="21" borderId="309" xfId="0" applyFont="1" applyFill="1" applyBorder="1">
      <alignment vertical="center"/>
    </xf>
    <xf numFmtId="0" fontId="10" fillId="21" borderId="294" xfId="0" applyFont="1" applyFill="1" applyBorder="1">
      <alignment vertical="center"/>
    </xf>
    <xf numFmtId="0" fontId="10" fillId="21" borderId="295" xfId="0" applyFont="1" applyFill="1" applyBorder="1">
      <alignment vertical="center"/>
    </xf>
    <xf numFmtId="0" fontId="69" fillId="16" borderId="294" xfId="0" applyFont="1" applyFill="1" applyBorder="1" applyAlignment="1">
      <alignment horizontal="left" vertical="center"/>
    </xf>
    <xf numFmtId="176" fontId="68" fillId="21" borderId="165" xfId="1" applyNumberFormat="1" applyFont="1" applyFill="1" applyBorder="1" applyProtection="1">
      <alignment vertical="center"/>
    </xf>
    <xf numFmtId="176" fontId="68" fillId="21" borderId="6" xfId="1" applyNumberFormat="1" applyFont="1" applyFill="1" applyBorder="1" applyAlignment="1" applyProtection="1">
      <alignment horizontal="right" vertical="center"/>
    </xf>
    <xf numFmtId="176" fontId="68" fillId="21" borderId="291" xfId="1" applyNumberFormat="1" applyFont="1" applyFill="1" applyBorder="1" applyProtection="1">
      <alignment vertical="center"/>
    </xf>
    <xf numFmtId="0" fontId="13" fillId="14" borderId="28" xfId="0" applyFont="1" applyFill="1" applyBorder="1">
      <alignment vertical="center"/>
    </xf>
    <xf numFmtId="0" fontId="14" fillId="14" borderId="28" xfId="0" applyFont="1" applyFill="1" applyBorder="1">
      <alignment vertical="center"/>
    </xf>
    <xf numFmtId="0" fontId="14" fillId="14" borderId="121" xfId="0" applyFont="1" applyFill="1" applyBorder="1">
      <alignment vertical="center"/>
    </xf>
    <xf numFmtId="0" fontId="69" fillId="14" borderId="309" xfId="0" applyFont="1" applyFill="1" applyBorder="1" applyAlignment="1">
      <alignment horizontal="center" vertical="center"/>
    </xf>
    <xf numFmtId="0" fontId="69" fillId="14" borderId="294" xfId="0" applyFont="1" applyFill="1" applyBorder="1" applyAlignment="1">
      <alignment horizontal="left" vertical="center"/>
    </xf>
    <xf numFmtId="0" fontId="70" fillId="14" borderId="294" xfId="0" applyFont="1" applyFill="1" applyBorder="1" applyAlignment="1">
      <alignment horizontal="center" vertical="center"/>
    </xf>
    <xf numFmtId="0" fontId="70" fillId="14" borderId="295" xfId="0" applyFont="1" applyFill="1" applyBorder="1" applyAlignment="1">
      <alignment vertical="center"/>
    </xf>
    <xf numFmtId="176" fontId="68" fillId="10" borderId="165" xfId="1" applyNumberFormat="1" applyFont="1" applyFill="1" applyBorder="1" applyProtection="1">
      <alignment vertical="center"/>
      <protection locked="0"/>
    </xf>
    <xf numFmtId="176" fontId="68" fillId="10" borderId="291" xfId="1" applyNumberFormat="1" applyFont="1" applyFill="1" applyBorder="1" applyProtection="1">
      <alignment vertical="center"/>
      <protection locked="0"/>
    </xf>
    <xf numFmtId="0" fontId="63" fillId="21" borderId="303" xfId="0" applyFont="1" applyFill="1" applyBorder="1" applyProtection="1">
      <alignment vertical="center"/>
    </xf>
    <xf numFmtId="0" fontId="68" fillId="21" borderId="306" xfId="0" applyFont="1" applyFill="1" applyBorder="1" applyProtection="1">
      <alignment vertical="center"/>
    </xf>
    <xf numFmtId="38" fontId="68" fillId="21" borderId="291" xfId="1" applyFont="1" applyFill="1" applyBorder="1" applyProtection="1">
      <alignment vertical="center"/>
    </xf>
    <xf numFmtId="0" fontId="68" fillId="21" borderId="300" xfId="0" applyFont="1" applyFill="1" applyBorder="1" applyProtection="1">
      <alignment vertical="center"/>
    </xf>
    <xf numFmtId="176" fontId="68" fillId="21" borderId="17" xfId="1" applyNumberFormat="1" applyFont="1" applyFill="1" applyBorder="1" applyProtection="1">
      <alignment vertical="center"/>
    </xf>
    <xf numFmtId="0" fontId="68" fillId="21" borderId="308" xfId="0" applyFont="1" applyFill="1" applyBorder="1" applyProtection="1">
      <alignment vertical="center"/>
    </xf>
    <xf numFmtId="178" fontId="68" fillId="21" borderId="17" xfId="0" applyNumberFormat="1" applyFont="1" applyFill="1" applyBorder="1" applyAlignment="1" applyProtection="1">
      <alignment horizontal="right" vertical="center"/>
    </xf>
    <xf numFmtId="0" fontId="68" fillId="21" borderId="17" xfId="0" applyFont="1" applyFill="1" applyBorder="1" applyAlignment="1" applyProtection="1">
      <alignment horizontal="right" vertical="center"/>
    </xf>
    <xf numFmtId="0" fontId="68" fillId="21" borderId="26" xfId="0" applyFont="1" applyFill="1" applyBorder="1" applyAlignment="1" applyProtection="1">
      <alignment horizontal="right" vertical="center"/>
    </xf>
    <xf numFmtId="0" fontId="63" fillId="21" borderId="302" xfId="0" applyFont="1" applyFill="1" applyBorder="1" applyProtection="1">
      <alignment vertical="center"/>
    </xf>
    <xf numFmtId="176" fontId="68" fillId="21" borderId="270" xfId="1" applyNumberFormat="1" applyFont="1" applyFill="1" applyBorder="1" applyProtection="1">
      <alignment vertical="center"/>
    </xf>
    <xf numFmtId="0" fontId="68" fillId="21" borderId="283" xfId="0" applyFont="1" applyFill="1" applyBorder="1" applyProtection="1">
      <alignment vertical="center"/>
    </xf>
    <xf numFmtId="176" fontId="71" fillId="21" borderId="294" xfId="1" applyNumberFormat="1" applyFont="1" applyFill="1" applyBorder="1" applyAlignment="1">
      <alignment horizontal="right" vertical="center"/>
    </xf>
    <xf numFmtId="176" fontId="71" fillId="21" borderId="313" xfId="1" applyNumberFormat="1" applyFont="1" applyFill="1" applyBorder="1" applyAlignment="1">
      <alignment horizontal="right" vertical="center"/>
    </xf>
    <xf numFmtId="176" fontId="71" fillId="21" borderId="293" xfId="1" applyNumberFormat="1" applyFont="1" applyFill="1" applyBorder="1" applyAlignment="1">
      <alignment horizontal="right" vertical="center"/>
    </xf>
    <xf numFmtId="0" fontId="63" fillId="21" borderId="311" xfId="0" applyFont="1" applyFill="1" applyBorder="1" applyProtection="1">
      <alignment vertical="center"/>
    </xf>
    <xf numFmtId="176" fontId="68" fillId="21" borderId="0" xfId="1" applyNumberFormat="1" applyFont="1" applyFill="1" applyBorder="1" applyProtection="1">
      <alignment vertical="center"/>
    </xf>
    <xf numFmtId="0" fontId="68" fillId="21" borderId="324" xfId="0" applyFont="1" applyFill="1" applyBorder="1" applyProtection="1">
      <alignment vertical="center"/>
    </xf>
    <xf numFmtId="178" fontId="68" fillId="21" borderId="0" xfId="0" applyNumberFormat="1" applyFont="1" applyFill="1" applyBorder="1" applyAlignment="1" applyProtection="1">
      <alignment horizontal="right" vertical="center"/>
    </xf>
    <xf numFmtId="0" fontId="68" fillId="21" borderId="0" xfId="0" applyFont="1" applyFill="1" applyBorder="1" applyAlignment="1" applyProtection="1">
      <alignment horizontal="right" vertical="center"/>
    </xf>
    <xf numFmtId="0" fontId="68" fillId="21" borderId="15" xfId="0" applyFont="1" applyFill="1" applyBorder="1" applyAlignment="1" applyProtection="1">
      <alignment horizontal="right" vertical="center"/>
    </xf>
    <xf numFmtId="0" fontId="43" fillId="15" borderId="0" xfId="0" applyFont="1" applyFill="1" applyAlignment="1">
      <alignment horizontal="right" vertical="center"/>
    </xf>
    <xf numFmtId="0" fontId="40" fillId="15" borderId="0" xfId="0" applyFont="1" applyFill="1" applyAlignment="1">
      <alignment horizontal="right" vertical="center"/>
    </xf>
    <xf numFmtId="9" fontId="68" fillId="10" borderId="313" xfId="2" applyFont="1" applyFill="1" applyBorder="1" applyProtection="1">
      <alignment vertical="center"/>
      <protection locked="0"/>
    </xf>
    <xf numFmtId="0" fontId="63" fillId="21" borderId="0" xfId="0" applyFont="1" applyFill="1" applyBorder="1" applyProtection="1">
      <alignment vertical="center"/>
    </xf>
    <xf numFmtId="0" fontId="68" fillId="21" borderId="0" xfId="0" applyFont="1" applyFill="1" applyBorder="1" applyProtection="1">
      <alignment vertical="center"/>
    </xf>
    <xf numFmtId="0" fontId="63" fillId="21" borderId="24" xfId="0" applyFont="1" applyFill="1" applyBorder="1" applyProtection="1">
      <alignment vertical="center"/>
    </xf>
    <xf numFmtId="0" fontId="68" fillId="21" borderId="17" xfId="0" applyFont="1" applyFill="1" applyBorder="1" applyProtection="1">
      <alignment vertical="center"/>
    </xf>
    <xf numFmtId="178" fontId="68" fillId="21" borderId="325" xfId="0" applyNumberFormat="1" applyFont="1" applyFill="1" applyBorder="1" applyAlignment="1" applyProtection="1">
      <alignment horizontal="right" vertical="center"/>
    </xf>
    <xf numFmtId="0" fontId="68" fillId="21" borderId="306" xfId="0" applyFont="1" applyFill="1" applyBorder="1" applyAlignment="1" applyProtection="1">
      <alignment horizontal="right" vertical="center"/>
    </xf>
    <xf numFmtId="176" fontId="68" fillId="21" borderId="325" xfId="1" applyNumberFormat="1" applyFont="1" applyFill="1" applyBorder="1" applyProtection="1">
      <alignment vertical="center"/>
    </xf>
    <xf numFmtId="0" fontId="68" fillId="21" borderId="300" xfId="0" applyFont="1" applyFill="1" applyBorder="1" applyAlignment="1" applyProtection="1">
      <alignment horizontal="right" vertical="center"/>
    </xf>
    <xf numFmtId="38" fontId="69" fillId="21" borderId="0" xfId="1" applyFont="1" applyFill="1" applyBorder="1" applyAlignment="1">
      <alignment horizontal="center" vertical="center"/>
    </xf>
    <xf numFmtId="0" fontId="7" fillId="21" borderId="0" xfId="0" applyFont="1" applyFill="1" applyBorder="1">
      <alignment vertical="center"/>
    </xf>
    <xf numFmtId="38" fontId="40" fillId="21" borderId="28" xfId="1" applyFont="1" applyFill="1" applyBorder="1" applyAlignment="1">
      <alignment horizontal="left" vertical="center"/>
    </xf>
    <xf numFmtId="0" fontId="2" fillId="15" borderId="326" xfId="0" applyFont="1" applyFill="1" applyBorder="1">
      <alignment vertical="center"/>
    </xf>
    <xf numFmtId="0" fontId="66" fillId="27" borderId="0" xfId="0" applyFont="1" applyFill="1" applyBorder="1">
      <alignment vertical="center"/>
    </xf>
    <xf numFmtId="0" fontId="0" fillId="27" borderId="0" xfId="0" applyFill="1" applyBorder="1">
      <alignment vertical="center"/>
    </xf>
    <xf numFmtId="0" fontId="89" fillId="0" borderId="0" xfId="0" applyFont="1" applyFill="1" applyBorder="1">
      <alignment vertical="center"/>
    </xf>
    <xf numFmtId="0" fontId="91" fillId="0" borderId="0" xfId="0" applyFont="1">
      <alignment vertical="center"/>
    </xf>
    <xf numFmtId="0" fontId="98" fillId="0" borderId="0" xfId="0" applyFont="1" applyFill="1" applyBorder="1" applyAlignment="1">
      <alignment vertical="center" wrapText="1"/>
    </xf>
    <xf numFmtId="38" fontId="90" fillId="0" borderId="0" xfId="1" applyFont="1" applyFill="1" applyBorder="1">
      <alignment vertical="center"/>
    </xf>
    <xf numFmtId="0" fontId="89" fillId="0" borderId="0" xfId="0" applyFont="1">
      <alignment vertical="center"/>
    </xf>
    <xf numFmtId="9" fontId="89" fillId="0" borderId="0" xfId="0" applyNumberFormat="1" applyFont="1" applyFill="1">
      <alignment vertical="center"/>
    </xf>
    <xf numFmtId="0" fontId="89" fillId="21" borderId="0" xfId="0" applyFont="1" applyFill="1">
      <alignment vertical="center"/>
    </xf>
    <xf numFmtId="0" fontId="69" fillId="14" borderId="24" xfId="0" applyFont="1" applyFill="1" applyBorder="1" applyAlignment="1">
      <alignment vertical="center"/>
    </xf>
    <xf numFmtId="0" fontId="63" fillId="21" borderId="302" xfId="0" applyFont="1" applyFill="1" applyBorder="1">
      <alignment vertical="center"/>
    </xf>
    <xf numFmtId="176" fontId="68" fillId="21" borderId="293" xfId="1" applyNumberFormat="1" applyFont="1" applyFill="1" applyBorder="1" applyProtection="1">
      <alignment vertical="center"/>
      <protection locked="0"/>
    </xf>
    <xf numFmtId="176" fontId="68" fillId="0" borderId="293" xfId="1" applyNumberFormat="1" applyFont="1" applyFill="1" applyBorder="1" applyAlignment="1">
      <alignment horizontal="right" vertical="center"/>
    </xf>
    <xf numFmtId="0" fontId="68" fillId="21" borderId="91" xfId="0" applyFont="1" applyFill="1" applyBorder="1" applyAlignment="1">
      <alignment horizontal="left" vertical="center"/>
    </xf>
    <xf numFmtId="0" fontId="45" fillId="21" borderId="262" xfId="0" applyFont="1" applyFill="1" applyBorder="1">
      <alignment vertical="center"/>
    </xf>
    <xf numFmtId="0" fontId="45" fillId="21" borderId="265" xfId="0" applyFont="1" applyFill="1" applyBorder="1">
      <alignment vertical="center"/>
    </xf>
    <xf numFmtId="0" fontId="45" fillId="21" borderId="270" xfId="0" applyFont="1" applyFill="1" applyBorder="1">
      <alignment vertical="center"/>
    </xf>
    <xf numFmtId="0" fontId="45" fillId="21" borderId="306" xfId="0" applyFont="1" applyFill="1" applyBorder="1">
      <alignment vertical="center"/>
    </xf>
    <xf numFmtId="0" fontId="43" fillId="0" borderId="306" xfId="0" applyFont="1" applyBorder="1">
      <alignment vertical="center"/>
    </xf>
    <xf numFmtId="178" fontId="45" fillId="21" borderId="306" xfId="0" applyNumberFormat="1" applyFont="1" applyFill="1" applyBorder="1" applyAlignment="1">
      <alignment horizontal="left" vertical="center"/>
    </xf>
    <xf numFmtId="38" fontId="45" fillId="21" borderId="306" xfId="1" applyFont="1" applyFill="1" applyBorder="1" applyAlignment="1">
      <alignment horizontal="left" vertical="center"/>
    </xf>
    <xf numFmtId="178" fontId="45" fillId="21" borderId="305" xfId="0" applyNumberFormat="1" applyFont="1" applyFill="1" applyBorder="1" applyAlignment="1">
      <alignment horizontal="left" vertical="center"/>
    </xf>
    <xf numFmtId="0" fontId="3" fillId="15" borderId="0" xfId="0" applyFont="1" applyFill="1" applyBorder="1" applyAlignment="1">
      <alignment horizontal="right" vertical="center"/>
    </xf>
    <xf numFmtId="0" fontId="0" fillId="9" borderId="0" xfId="0" applyFill="1" applyBorder="1" applyAlignment="1">
      <alignment vertical="center"/>
    </xf>
    <xf numFmtId="0" fontId="90" fillId="21" borderId="0" xfId="0" applyFont="1" applyFill="1" applyBorder="1">
      <alignment vertical="center"/>
    </xf>
    <xf numFmtId="0" fontId="89" fillId="21" borderId="0" xfId="0" applyFont="1" applyFill="1" applyBorder="1">
      <alignment vertical="center"/>
    </xf>
    <xf numFmtId="0" fontId="91" fillId="21" borderId="0" xfId="0" applyFont="1" applyFill="1" applyBorder="1">
      <alignment vertical="center"/>
    </xf>
    <xf numFmtId="38" fontId="89" fillId="21" borderId="0" xfId="0" applyNumberFormat="1" applyFont="1" applyFill="1" applyBorder="1">
      <alignment vertical="center"/>
    </xf>
    <xf numFmtId="0" fontId="89" fillId="21" borderId="0" xfId="0" applyFont="1" applyFill="1" applyBorder="1" applyAlignment="1">
      <alignment vertical="center"/>
    </xf>
    <xf numFmtId="38" fontId="89" fillId="21" borderId="0" xfId="1" applyFont="1" applyFill="1" applyBorder="1">
      <alignment vertical="center"/>
    </xf>
    <xf numFmtId="0" fontId="91" fillId="21" borderId="0" xfId="0" applyFont="1" applyFill="1" applyBorder="1" applyAlignment="1">
      <alignment vertical="center" wrapText="1"/>
    </xf>
    <xf numFmtId="176" fontId="92" fillId="21" borderId="0" xfId="1" applyNumberFormat="1" applyFont="1" applyFill="1" applyBorder="1" applyAlignment="1"/>
    <xf numFmtId="38" fontId="90" fillId="21" borderId="0" xfId="1" applyFont="1" applyFill="1" applyBorder="1" applyAlignment="1"/>
    <xf numFmtId="38" fontId="99" fillId="21" borderId="0" xfId="1" applyFont="1" applyFill="1" applyBorder="1" applyAlignment="1">
      <alignment horizontal="center" vertical="center"/>
    </xf>
    <xf numFmtId="38" fontId="100" fillId="21" borderId="0" xfId="1" applyFont="1" applyFill="1" applyBorder="1" applyAlignment="1">
      <alignment horizontal="right" vertical="center"/>
    </xf>
    <xf numFmtId="176" fontId="90" fillId="21" borderId="0" xfId="0" applyNumberFormat="1" applyFont="1" applyFill="1">
      <alignment vertical="center"/>
    </xf>
    <xf numFmtId="9" fontId="89" fillId="21" borderId="0" xfId="0" applyNumberFormat="1" applyFont="1" applyFill="1">
      <alignment vertical="center"/>
    </xf>
    <xf numFmtId="178" fontId="89" fillId="21" borderId="0" xfId="2" applyNumberFormat="1" applyFont="1" applyFill="1" applyBorder="1">
      <alignment vertical="center"/>
    </xf>
    <xf numFmtId="38" fontId="89" fillId="21" borderId="0" xfId="1" applyFont="1" applyFill="1">
      <alignment vertical="center"/>
    </xf>
    <xf numFmtId="179" fontId="89" fillId="21" borderId="0" xfId="0" applyNumberFormat="1" applyFont="1" applyFill="1">
      <alignment vertical="center"/>
    </xf>
    <xf numFmtId="38" fontId="89" fillId="21" borderId="0" xfId="0" applyNumberFormat="1" applyFont="1" applyFill="1">
      <alignment vertical="center"/>
    </xf>
    <xf numFmtId="0" fontId="89" fillId="21" borderId="0" xfId="0" applyFont="1" applyFill="1" applyAlignment="1">
      <alignment vertical="center" wrapText="1"/>
    </xf>
    <xf numFmtId="0" fontId="0" fillId="9" borderId="257" xfId="0" applyFill="1" applyBorder="1" applyAlignment="1">
      <alignment horizontal="left" vertical="center"/>
    </xf>
    <xf numFmtId="0" fontId="0" fillId="9" borderId="0" xfId="0" applyFill="1" applyBorder="1" applyAlignment="1">
      <alignment horizontal="left" vertical="center"/>
    </xf>
    <xf numFmtId="0" fontId="0" fillId="9" borderId="258" xfId="0" applyFill="1" applyBorder="1" applyAlignment="1">
      <alignment horizontal="left" vertical="center"/>
    </xf>
    <xf numFmtId="0" fontId="0" fillId="9" borderId="258" xfId="0" applyFill="1" applyBorder="1" applyAlignment="1">
      <alignment vertical="center"/>
    </xf>
    <xf numFmtId="0" fontId="91" fillId="0" borderId="0" xfId="0" applyFont="1" applyAlignment="1">
      <alignment vertical="center"/>
    </xf>
    <xf numFmtId="0" fontId="90" fillId="0" borderId="0" xfId="0" applyFont="1" applyAlignment="1">
      <alignment vertical="center"/>
    </xf>
    <xf numFmtId="0" fontId="101" fillId="21" borderId="0" xfId="0" applyFont="1" applyFill="1">
      <alignment vertical="center"/>
    </xf>
    <xf numFmtId="38" fontId="27" fillId="21" borderId="0" xfId="1" applyFont="1" applyFill="1" applyBorder="1">
      <alignment vertical="center"/>
    </xf>
    <xf numFmtId="9" fontId="0" fillId="21" borderId="0" xfId="0" applyNumberFormat="1" applyFont="1" applyFill="1" applyBorder="1">
      <alignment vertical="center"/>
    </xf>
    <xf numFmtId="0" fontId="10" fillId="21" borderId="0" xfId="0" applyFont="1" applyFill="1">
      <alignment vertical="center"/>
    </xf>
    <xf numFmtId="0" fontId="10" fillId="21" borderId="0" xfId="0" applyFont="1" applyFill="1" applyBorder="1">
      <alignment vertical="center"/>
    </xf>
    <xf numFmtId="9" fontId="96" fillId="21" borderId="0" xfId="0" applyNumberFormat="1" applyFont="1" applyFill="1" applyBorder="1">
      <alignment vertical="center"/>
    </xf>
    <xf numFmtId="38" fontId="81" fillId="21" borderId="273" xfId="1" applyFont="1" applyFill="1" applyBorder="1" applyAlignment="1">
      <alignment horizontal="left" vertical="center"/>
    </xf>
    <xf numFmtId="0" fontId="90" fillId="21" borderId="0" xfId="0" applyFont="1" applyFill="1" applyAlignment="1">
      <alignment horizontal="center" vertical="center"/>
    </xf>
    <xf numFmtId="0" fontId="2" fillId="21" borderId="0" xfId="0" applyFont="1" applyFill="1" applyAlignment="1">
      <alignment horizontal="center" vertical="center"/>
    </xf>
    <xf numFmtId="38" fontId="90" fillId="21" borderId="0" xfId="1" applyFont="1" applyFill="1" applyBorder="1" applyAlignment="1">
      <alignment horizontal="center" vertical="center"/>
    </xf>
    <xf numFmtId="38" fontId="2" fillId="21" borderId="0" xfId="1" applyFont="1" applyFill="1">
      <alignment vertical="center"/>
    </xf>
    <xf numFmtId="38" fontId="90" fillId="21" borderId="0" xfId="1" applyFont="1" applyFill="1">
      <alignment vertical="center"/>
    </xf>
    <xf numFmtId="9" fontId="2" fillId="21" borderId="0" xfId="2" applyFont="1" applyFill="1">
      <alignment vertical="center"/>
    </xf>
    <xf numFmtId="9" fontId="3" fillId="21" borderId="0" xfId="2" applyFont="1" applyFill="1" applyBorder="1" applyAlignment="1"/>
    <xf numFmtId="178" fontId="2" fillId="21" borderId="0" xfId="2" applyNumberFormat="1" applyFont="1" applyFill="1" applyBorder="1">
      <alignment vertical="center"/>
    </xf>
    <xf numFmtId="178" fontId="2" fillId="21" borderId="0" xfId="2" applyNumberFormat="1" applyFont="1" applyFill="1">
      <alignment vertical="center"/>
    </xf>
    <xf numFmtId="0" fontId="102" fillId="15" borderId="255" xfId="0" applyFont="1" applyFill="1" applyBorder="1">
      <alignment vertical="center"/>
    </xf>
    <xf numFmtId="0" fontId="20" fillId="15" borderId="0" xfId="0" applyFont="1" applyFill="1" applyBorder="1">
      <alignment vertical="center"/>
    </xf>
    <xf numFmtId="176" fontId="0" fillId="0" borderId="0" xfId="0" applyNumberFormat="1">
      <alignment vertical="center"/>
    </xf>
    <xf numFmtId="183" fontId="0" fillId="0" borderId="0" xfId="0" applyNumberFormat="1">
      <alignment vertical="center"/>
    </xf>
    <xf numFmtId="0" fontId="70" fillId="14" borderId="294" xfId="0" applyFont="1" applyFill="1" applyBorder="1" applyAlignment="1">
      <alignment vertical="center"/>
    </xf>
    <xf numFmtId="38" fontId="68" fillId="21" borderId="165" xfId="1" applyFont="1" applyFill="1" applyBorder="1" applyProtection="1">
      <alignment vertical="center"/>
    </xf>
    <xf numFmtId="38" fontId="68" fillId="0" borderId="293" xfId="1" applyFont="1" applyFill="1" applyBorder="1" applyAlignment="1">
      <alignment horizontal="right" vertical="center"/>
    </xf>
    <xf numFmtId="0" fontId="68" fillId="21" borderId="328" xfId="0" applyFont="1" applyFill="1" applyBorder="1">
      <alignment vertical="center"/>
    </xf>
    <xf numFmtId="0" fontId="68" fillId="21" borderId="328" xfId="0" applyFont="1" applyFill="1" applyBorder="1" applyProtection="1">
      <alignment vertical="center"/>
    </xf>
    <xf numFmtId="0" fontId="68" fillId="21" borderId="327" xfId="0" applyFont="1" applyFill="1" applyBorder="1" applyAlignment="1">
      <alignment horizontal="left" vertical="center"/>
    </xf>
    <xf numFmtId="0" fontId="2" fillId="15" borderId="0" xfId="0" applyFont="1" applyFill="1" applyBorder="1" applyAlignment="1">
      <alignment horizontal="right" vertical="center"/>
    </xf>
    <xf numFmtId="38" fontId="8" fillId="21" borderId="284" xfId="1" applyFont="1" applyFill="1" applyBorder="1" applyAlignment="1">
      <alignment horizontal="right" vertical="center"/>
    </xf>
    <xf numFmtId="176" fontId="68" fillId="9" borderId="313" xfId="1" applyNumberFormat="1" applyFont="1" applyFill="1" applyBorder="1" applyProtection="1">
      <alignment vertical="center"/>
      <protection locked="0"/>
    </xf>
    <xf numFmtId="14" fontId="0" fillId="0" borderId="0" xfId="0" applyNumberFormat="1">
      <alignment vertical="center"/>
    </xf>
    <xf numFmtId="0" fontId="46" fillId="0" borderId="294" xfId="0" applyFont="1" applyBorder="1">
      <alignment vertical="center"/>
    </xf>
    <xf numFmtId="0" fontId="36" fillId="0" borderId="294" xfId="0" applyFont="1" applyFill="1" applyBorder="1" applyAlignment="1">
      <alignment horizontal="center" vertical="center"/>
    </xf>
    <xf numFmtId="0" fontId="22" fillId="0" borderId="295" xfId="0" applyFont="1" applyFill="1" applyBorder="1" applyAlignment="1"/>
    <xf numFmtId="38" fontId="46" fillId="0" borderId="294" xfId="1" applyFont="1" applyBorder="1">
      <alignment vertical="center"/>
    </xf>
    <xf numFmtId="38" fontId="46" fillId="0" borderId="294" xfId="0" applyNumberFormat="1" applyFont="1" applyBorder="1">
      <alignment vertical="center"/>
    </xf>
    <xf numFmtId="38" fontId="46" fillId="0" borderId="329" xfId="1" applyFont="1" applyBorder="1">
      <alignment vertical="center"/>
    </xf>
    <xf numFmtId="38" fontId="46" fillId="0" borderId="0" xfId="1" applyFont="1" applyFill="1" applyBorder="1">
      <alignment vertical="center"/>
    </xf>
    <xf numFmtId="38" fontId="46" fillId="0" borderId="6" xfId="1" applyFont="1" applyFill="1" applyBorder="1">
      <alignment vertical="center"/>
    </xf>
    <xf numFmtId="38" fontId="46" fillId="0" borderId="35" xfId="0" applyNumberFormat="1" applyFont="1" applyFill="1" applyBorder="1">
      <alignment vertical="center"/>
    </xf>
    <xf numFmtId="0" fontId="36" fillId="0" borderId="294" xfId="0" applyFont="1" applyFill="1" applyBorder="1" applyAlignment="1">
      <alignment horizontal="left" vertical="center"/>
    </xf>
    <xf numFmtId="0" fontId="46" fillId="0" borderId="295" xfId="0" applyFont="1" applyBorder="1">
      <alignment vertical="center"/>
    </xf>
    <xf numFmtId="38" fontId="24" fillId="0" borderId="330" xfId="1" applyFont="1" applyBorder="1" applyAlignment="1"/>
    <xf numFmtId="38" fontId="24" fillId="0" borderId="329" xfId="1" applyFont="1" applyBorder="1" applyAlignment="1"/>
    <xf numFmtId="38" fontId="46" fillId="28" borderId="0" xfId="1" applyFont="1" applyFill="1" applyBorder="1">
      <alignment vertical="center"/>
    </xf>
    <xf numFmtId="0" fontId="36" fillId="28" borderId="0" xfId="0" applyFont="1" applyFill="1" applyBorder="1" applyAlignment="1">
      <alignment horizontal="left" vertical="center"/>
    </xf>
    <xf numFmtId="9" fontId="47" fillId="28" borderId="0" xfId="0" applyNumberFormat="1" applyFont="1" applyFill="1" applyBorder="1">
      <alignment vertical="center"/>
    </xf>
    <xf numFmtId="9" fontId="47" fillId="28" borderId="294" xfId="0" applyNumberFormat="1" applyFont="1" applyFill="1" applyBorder="1">
      <alignment vertical="center"/>
    </xf>
    <xf numFmtId="0" fontId="46" fillId="28" borderId="0" xfId="0" applyFont="1" applyFill="1" applyBorder="1">
      <alignment vertical="center"/>
    </xf>
    <xf numFmtId="0" fontId="46" fillId="28" borderId="22" xfId="0" applyFont="1" applyFill="1" applyBorder="1">
      <alignment vertical="center"/>
    </xf>
    <xf numFmtId="0" fontId="46" fillId="28" borderId="0" xfId="0" applyFont="1" applyFill="1">
      <alignment vertical="center"/>
    </xf>
    <xf numFmtId="9" fontId="54" fillId="28" borderId="0" xfId="0" applyNumberFormat="1" applyFont="1" applyFill="1" applyBorder="1">
      <alignment vertical="center"/>
    </xf>
    <xf numFmtId="0" fontId="36" fillId="28" borderId="6" xfId="0" applyFont="1" applyFill="1" applyBorder="1" applyAlignment="1">
      <alignment horizontal="left" vertical="center"/>
    </xf>
    <xf numFmtId="0" fontId="46" fillId="28" borderId="15" xfId="0" applyFont="1" applyFill="1" applyBorder="1">
      <alignment vertical="center"/>
    </xf>
    <xf numFmtId="38" fontId="46" fillId="28" borderId="167" xfId="1" applyFont="1" applyFill="1" applyBorder="1">
      <alignment vertical="center"/>
    </xf>
    <xf numFmtId="38" fontId="46" fillId="28" borderId="50" xfId="0" applyNumberFormat="1" applyFont="1" applyFill="1" applyBorder="1">
      <alignment vertical="center"/>
    </xf>
    <xf numFmtId="0" fontId="47" fillId="28" borderId="0" xfId="0" applyFont="1" applyFill="1" applyBorder="1">
      <alignment vertical="center"/>
    </xf>
    <xf numFmtId="0" fontId="47" fillId="28" borderId="22" xfId="0" applyFont="1" applyFill="1" applyBorder="1">
      <alignment vertical="center"/>
    </xf>
    <xf numFmtId="0" fontId="36" fillId="28" borderId="0" xfId="0" applyFont="1" applyFill="1" applyBorder="1" applyAlignment="1"/>
    <xf numFmtId="38" fontId="22" fillId="28" borderId="179" xfId="1" applyFont="1" applyFill="1" applyBorder="1" applyAlignment="1"/>
    <xf numFmtId="38" fontId="22" fillId="28" borderId="176" xfId="1" applyFont="1" applyFill="1" applyBorder="1" applyAlignment="1"/>
    <xf numFmtId="38" fontId="22" fillId="28" borderId="50" xfId="1" applyFont="1" applyFill="1" applyBorder="1" applyAlignment="1"/>
    <xf numFmtId="38" fontId="22" fillId="0" borderId="0" xfId="1" applyFont="1" applyBorder="1" applyAlignment="1"/>
    <xf numFmtId="0" fontId="46" fillId="0" borderId="0" xfId="8" applyFont="1" applyFill="1" applyAlignment="1">
      <alignment vertical="center"/>
    </xf>
    <xf numFmtId="38" fontId="46" fillId="0" borderId="0" xfId="1" applyFont="1" applyFill="1" applyAlignment="1">
      <alignment vertical="center" wrapText="1"/>
    </xf>
    <xf numFmtId="178" fontId="103" fillId="0" borderId="0" xfId="11" applyNumberFormat="1" applyFill="1" applyAlignment="1">
      <alignment vertical="center"/>
    </xf>
    <xf numFmtId="178" fontId="0" fillId="9" borderId="0" xfId="10" applyNumberFormat="1" applyFont="1" applyFill="1">
      <alignment vertical="center"/>
    </xf>
    <xf numFmtId="0" fontId="23" fillId="28" borderId="149" xfId="0" applyFont="1" applyFill="1" applyBorder="1" applyAlignment="1">
      <alignment vertical="center" wrapText="1"/>
    </xf>
    <xf numFmtId="38" fontId="46" fillId="28" borderId="50" xfId="1" applyFont="1" applyFill="1" applyBorder="1">
      <alignment vertical="center"/>
    </xf>
    <xf numFmtId="38" fontId="46" fillId="28" borderId="176" xfId="1" applyFont="1" applyFill="1" applyBorder="1" applyAlignment="1"/>
    <xf numFmtId="38" fontId="22" fillId="0" borderId="167" xfId="1" applyFont="1" applyBorder="1" applyAlignment="1"/>
    <xf numFmtId="0" fontId="36" fillId="0" borderId="28" xfId="0" applyFont="1" applyFill="1" applyBorder="1" applyAlignment="1">
      <alignment horizontal="center"/>
    </xf>
    <xf numFmtId="0" fontId="22" fillId="0" borderId="113" xfId="0" applyFont="1" applyFill="1" applyBorder="1" applyAlignment="1">
      <alignment horizontal="left"/>
    </xf>
    <xf numFmtId="0" fontId="22" fillId="0" borderId="121" xfId="0" applyFont="1" applyFill="1" applyBorder="1" applyAlignment="1">
      <alignment horizontal="left"/>
    </xf>
    <xf numFmtId="0" fontId="36" fillId="9" borderId="22" xfId="0" applyFont="1" applyFill="1" applyBorder="1" applyAlignment="1"/>
    <xf numFmtId="0" fontId="36" fillId="9" borderId="0" xfId="0" applyFont="1" applyFill="1" applyBorder="1" applyAlignment="1"/>
    <xf numFmtId="0" fontId="22" fillId="9" borderId="15" xfId="0" applyFont="1" applyFill="1" applyBorder="1" applyAlignment="1"/>
    <xf numFmtId="38" fontId="24" fillId="9" borderId="0" xfId="1" applyFont="1" applyFill="1" applyBorder="1" applyAlignment="1"/>
    <xf numFmtId="38" fontId="24" fillId="9" borderId="0" xfId="0" applyNumberFormat="1" applyFont="1" applyFill="1" applyBorder="1" applyAlignment="1"/>
    <xf numFmtId="38" fontId="24" fillId="9" borderId="50" xfId="1" applyFont="1" applyFill="1" applyBorder="1" applyAlignment="1"/>
    <xf numFmtId="0" fontId="24" fillId="9" borderId="0" xfId="0" applyFont="1" applyFill="1" applyAlignment="1"/>
    <xf numFmtId="0" fontId="103" fillId="0" borderId="0" xfId="11">
      <alignment vertical="center"/>
    </xf>
    <xf numFmtId="38" fontId="46" fillId="0" borderId="331" xfId="1" applyFont="1" applyBorder="1">
      <alignment vertical="center"/>
    </xf>
    <xf numFmtId="9" fontId="2" fillId="2" borderId="29" xfId="2" applyFont="1" applyFill="1" applyBorder="1" applyAlignment="1">
      <alignment horizontal="right"/>
    </xf>
    <xf numFmtId="9" fontId="2" fillId="2" borderId="140" xfId="2" applyFont="1" applyFill="1" applyBorder="1" applyAlignment="1">
      <alignment horizontal="right"/>
    </xf>
    <xf numFmtId="38" fontId="10" fillId="2" borderId="14" xfId="1" applyFont="1" applyFill="1" applyBorder="1">
      <alignment vertical="center"/>
    </xf>
    <xf numFmtId="38" fontId="10" fillId="2" borderId="93" xfId="1" applyFont="1" applyFill="1" applyBorder="1">
      <alignment vertical="center"/>
    </xf>
    <xf numFmtId="0" fontId="3" fillId="2" borderId="51" xfId="0" applyFont="1" applyFill="1" applyBorder="1" applyAlignment="1">
      <alignment horizontal="left" indent="1"/>
    </xf>
    <xf numFmtId="0" fontId="3" fillId="2" borderId="52" xfId="0" applyFont="1" applyFill="1" applyBorder="1" applyAlignment="1"/>
    <xf numFmtId="38" fontId="20" fillId="2" borderId="86" xfId="1" applyFont="1" applyFill="1" applyBorder="1">
      <alignment vertical="center"/>
    </xf>
    <xf numFmtId="38" fontId="20" fillId="2" borderId="61" xfId="1" applyFont="1" applyFill="1" applyBorder="1">
      <alignment vertical="center"/>
    </xf>
    <xf numFmtId="0" fontId="36" fillId="0" borderId="298" xfId="0" applyFont="1" applyFill="1" applyBorder="1" applyAlignment="1"/>
    <xf numFmtId="0" fontId="36" fillId="0" borderId="313" xfId="0" applyFont="1" applyFill="1" applyBorder="1" applyAlignment="1"/>
    <xf numFmtId="0" fontId="22" fillId="0" borderId="300" xfId="0" applyFont="1" applyFill="1" applyBorder="1" applyAlignment="1"/>
    <xf numFmtId="38" fontId="24" fillId="0" borderId="313" xfId="1" applyFont="1" applyFill="1" applyBorder="1" applyAlignment="1"/>
    <xf numFmtId="176" fontId="24" fillId="0" borderId="313" xfId="0" applyNumberFormat="1" applyFont="1" applyFill="1" applyBorder="1" applyAlignment="1"/>
    <xf numFmtId="184" fontId="46" fillId="0" borderId="0" xfId="0" applyNumberFormat="1" applyFont="1" applyAlignment="1">
      <alignment vertical="center" wrapText="1"/>
    </xf>
    <xf numFmtId="178" fontId="0" fillId="10" borderId="0" xfId="10" applyNumberFormat="1" applyFont="1" applyFill="1">
      <alignment vertical="center"/>
    </xf>
    <xf numFmtId="0" fontId="104" fillId="9" borderId="254" xfId="0" applyFont="1" applyFill="1" applyBorder="1">
      <alignment vertical="center"/>
    </xf>
    <xf numFmtId="185" fontId="0" fillId="0" borderId="0" xfId="0" applyNumberFormat="1">
      <alignment vertical="center"/>
    </xf>
    <xf numFmtId="38" fontId="68" fillId="10" borderId="313" xfId="1" applyFont="1" applyFill="1" applyBorder="1" applyProtection="1">
      <alignment vertical="center"/>
      <protection locked="0"/>
    </xf>
    <xf numFmtId="0" fontId="105" fillId="9" borderId="257" xfId="0" applyFont="1" applyFill="1" applyBorder="1">
      <alignment vertical="center"/>
    </xf>
    <xf numFmtId="0" fontId="39" fillId="9" borderId="257" xfId="0" applyFont="1" applyFill="1" applyBorder="1">
      <alignment vertical="center"/>
    </xf>
    <xf numFmtId="0" fontId="107" fillId="9" borderId="254" xfId="0" applyFont="1" applyFill="1" applyBorder="1">
      <alignment vertical="center"/>
    </xf>
    <xf numFmtId="0" fontId="102" fillId="15" borderId="0" xfId="0" applyFont="1" applyFill="1" applyBorder="1">
      <alignment vertical="center"/>
    </xf>
    <xf numFmtId="178" fontId="20" fillId="0" borderId="4" xfId="2" applyNumberFormat="1" applyFont="1" applyBorder="1">
      <alignment vertical="center"/>
    </xf>
    <xf numFmtId="0" fontId="0" fillId="21" borderId="0" xfId="0" quotePrefix="1" applyFill="1">
      <alignment vertical="center"/>
    </xf>
    <xf numFmtId="0" fontId="74" fillId="10" borderId="0" xfId="0" applyFont="1" applyFill="1" applyBorder="1" applyAlignment="1">
      <alignment horizontal="right" vertical="center"/>
    </xf>
    <xf numFmtId="38" fontId="67" fillId="10" borderId="0" xfId="0" applyNumberFormat="1" applyFont="1" applyFill="1" applyBorder="1" applyAlignment="1">
      <alignment horizontal="right" vertical="center"/>
    </xf>
    <xf numFmtId="9" fontId="67" fillId="10" borderId="0" xfId="0" applyNumberFormat="1" applyFont="1" applyFill="1" applyBorder="1" applyAlignment="1">
      <alignment horizontal="right" vertical="center"/>
    </xf>
    <xf numFmtId="0" fontId="67" fillId="10" borderId="0" xfId="0" applyFont="1" applyFill="1" applyBorder="1" applyAlignment="1">
      <alignment horizontal="right" vertical="center"/>
    </xf>
    <xf numFmtId="0" fontId="0" fillId="10" borderId="0" xfId="0" applyFont="1" applyFill="1" applyBorder="1" applyAlignment="1">
      <alignment horizontal="center" vertical="center"/>
    </xf>
    <xf numFmtId="0" fontId="78" fillId="26" borderId="35" xfId="0" applyFont="1" applyFill="1" applyBorder="1" applyAlignment="1" applyProtection="1">
      <alignment horizontal="center" vertical="center"/>
      <protection locked="0"/>
    </xf>
    <xf numFmtId="0" fontId="78" fillId="26" borderId="37" xfId="0" applyFont="1" applyFill="1" applyBorder="1" applyAlignment="1" applyProtection="1">
      <alignment horizontal="center" vertical="center"/>
      <protection locked="0"/>
    </xf>
    <xf numFmtId="38" fontId="67" fillId="10" borderId="0" xfId="1" applyFont="1" applyFill="1" applyBorder="1" applyAlignment="1">
      <alignment horizontal="right" vertical="center"/>
    </xf>
    <xf numFmtId="0" fontId="69" fillId="14" borderId="0" xfId="0" applyFont="1" applyFill="1" applyBorder="1" applyAlignment="1">
      <alignment horizontal="left" vertical="center"/>
    </xf>
    <xf numFmtId="0" fontId="69" fillId="14" borderId="324" xfId="0" applyFont="1" applyFill="1" applyBorder="1" applyAlignment="1">
      <alignment horizontal="left" vertical="center"/>
    </xf>
    <xf numFmtId="0" fontId="69" fillId="14" borderId="17" xfId="0" applyFont="1" applyFill="1" applyBorder="1" applyAlignment="1">
      <alignment horizontal="left" vertical="center"/>
    </xf>
    <xf numFmtId="0" fontId="69" fillId="14" borderId="308" xfId="0" applyFont="1" applyFill="1" applyBorder="1" applyAlignment="1">
      <alignment horizontal="left" vertical="center"/>
    </xf>
    <xf numFmtId="0" fontId="42" fillId="21" borderId="0" xfId="0" applyFont="1" applyFill="1" applyBorder="1" applyAlignment="1">
      <alignment horizontal="left" vertical="center"/>
    </xf>
    <xf numFmtId="0" fontId="42" fillId="21" borderId="277" xfId="0" applyFont="1" applyFill="1" applyBorder="1" applyAlignment="1">
      <alignment horizontal="left" vertical="center"/>
    </xf>
    <xf numFmtId="38" fontId="68" fillId="21" borderId="293" xfId="1" applyFont="1" applyFill="1" applyBorder="1" applyAlignment="1" applyProtection="1">
      <alignment horizontal="center" vertical="center"/>
      <protection locked="0"/>
    </xf>
    <xf numFmtId="38" fontId="68" fillId="21" borderId="253" xfId="1" applyFont="1" applyFill="1" applyBorder="1" applyAlignment="1" applyProtection="1">
      <alignment horizontal="center" vertical="center"/>
      <protection locked="0"/>
    </xf>
    <xf numFmtId="38" fontId="42" fillId="21" borderId="267" xfId="1" applyFont="1" applyFill="1" applyBorder="1" applyAlignment="1">
      <alignment horizontal="left" vertical="center" wrapText="1"/>
    </xf>
    <xf numFmtId="38" fontId="42" fillId="21" borderId="268" xfId="1" applyFont="1" applyFill="1" applyBorder="1" applyAlignment="1">
      <alignment horizontal="left" vertical="center" wrapText="1"/>
    </xf>
    <xf numFmtId="38" fontId="42" fillId="21" borderId="185" xfId="1" applyFont="1" applyFill="1" applyBorder="1" applyAlignment="1">
      <alignment horizontal="left" vertical="center" wrapText="1"/>
    </xf>
    <xf numFmtId="0" fontId="2" fillId="10" borderId="250" xfId="0" applyFont="1" applyFill="1" applyBorder="1" applyAlignment="1">
      <alignment horizontal="center" vertical="center"/>
    </xf>
    <xf numFmtId="0" fontId="2" fillId="10" borderId="251" xfId="0" applyFont="1" applyFill="1" applyBorder="1" applyAlignment="1">
      <alignment horizontal="center" vertical="center"/>
    </xf>
    <xf numFmtId="0" fontId="52" fillId="0" borderId="38" xfId="0" applyFont="1" applyBorder="1" applyAlignment="1">
      <alignment horizontal="center"/>
    </xf>
    <xf numFmtId="0" fontId="53" fillId="0" borderId="39" xfId="0" applyFont="1" applyBorder="1" applyAlignment="1">
      <alignment horizontal="center"/>
    </xf>
    <xf numFmtId="0" fontId="33" fillId="22" borderId="0" xfId="0" applyFont="1" applyFill="1" applyAlignment="1">
      <alignment horizontal="center" vertical="center" wrapText="1"/>
    </xf>
    <xf numFmtId="0" fontId="33" fillId="23" borderId="0" xfId="0" applyFont="1" applyFill="1" applyAlignment="1">
      <alignment horizontal="center" vertical="center" wrapText="1"/>
    </xf>
    <xf numFmtId="0" fontId="16" fillId="0" borderId="38" xfId="0" applyFont="1" applyBorder="1" applyAlignment="1">
      <alignment horizontal="center"/>
    </xf>
    <xf numFmtId="0" fontId="16" fillId="0" borderId="39" xfId="0" applyFont="1" applyBorder="1" applyAlignment="1">
      <alignment horizontal="center"/>
    </xf>
  </cellXfs>
  <cellStyles count="12">
    <cellStyle name="パーセント" xfId="2" builtinId="5"/>
    <cellStyle name="パーセント 2" xfId="10"/>
    <cellStyle name="パーセント 3" xfId="4"/>
    <cellStyle name="ハイパーリンク" xfId="11" builtinId="8"/>
    <cellStyle name="桁区切り" xfId="1" builtinId="6"/>
    <cellStyle name="桁区切り 2" xfId="6"/>
    <cellStyle name="桁区切り 5" xfId="3"/>
    <cellStyle name="標準" xfId="0" builtinId="0"/>
    <cellStyle name="標準 2" xfId="5"/>
    <cellStyle name="標準 3" xfId="7"/>
    <cellStyle name="標準 3 2" xfId="9"/>
    <cellStyle name="標準 4" xfId="8"/>
  </cellStyles>
  <dxfs count="7">
    <dxf>
      <fill>
        <patternFill>
          <bgColor rgb="FFFF0000"/>
        </patternFill>
      </fill>
    </dxf>
    <dxf>
      <fill>
        <patternFill>
          <bgColor rgb="FFFF0000"/>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12035995500564E-2"/>
          <c:y val="0.27093438114129864"/>
          <c:w val="0.91280359277325773"/>
          <c:h val="0.64219146288252338"/>
        </c:manualLayout>
      </c:layout>
      <c:barChart>
        <c:barDir val="bar"/>
        <c:grouping val="stacked"/>
        <c:varyColors val="0"/>
        <c:ser>
          <c:idx val="0"/>
          <c:order val="0"/>
          <c:tx>
            <c:strRef>
              <c:f>入門編_計算シート!$B$72</c:f>
              <c:strCache>
                <c:ptCount val="1"/>
                <c:pt idx="0">
                  <c:v>売電収入</c:v>
                </c:pt>
              </c:strCache>
            </c:strRef>
          </c:tx>
          <c:spPr>
            <a:solidFill>
              <a:schemeClr val="accent1"/>
            </a:solidFill>
            <a:ln>
              <a:noFill/>
            </a:ln>
            <a:effectLst/>
          </c:spPr>
          <c:invertIfNegative val="0"/>
          <c:cat>
            <c:strRef>
              <c:f>入門編_計算シート!$C$71:$D$71</c:f>
              <c:strCache>
                <c:ptCount val="2"/>
                <c:pt idx="0">
                  <c:v>収益</c:v>
                </c:pt>
                <c:pt idx="1">
                  <c:v>支出</c:v>
                </c:pt>
              </c:strCache>
            </c:strRef>
          </c:cat>
          <c:val>
            <c:numRef>
              <c:f>入門編_計算シート!$C$72:$D$72</c:f>
              <c:numCache>
                <c:formatCode>#,##0.0;[Red]\-#,##0.0</c:formatCode>
                <c:ptCount val="2"/>
                <c:pt idx="0">
                  <c:v>1222.404665625</c:v>
                </c:pt>
              </c:numCache>
            </c:numRef>
          </c:val>
          <c:extLst>
            <c:ext xmlns:c16="http://schemas.microsoft.com/office/drawing/2014/chart" uri="{C3380CC4-5D6E-409C-BE32-E72D297353CC}">
              <c16:uniqueId val="{00000000-8A62-4139-BF71-04C4DC0E1AB7}"/>
            </c:ext>
          </c:extLst>
        </c:ser>
        <c:ser>
          <c:idx val="1"/>
          <c:order val="1"/>
          <c:tx>
            <c:strRef>
              <c:f>入門編_計算シート!$B$73</c:f>
              <c:strCache>
                <c:ptCount val="1"/>
                <c:pt idx="0">
                  <c:v>売熱収入</c:v>
                </c:pt>
              </c:strCache>
            </c:strRef>
          </c:tx>
          <c:spPr>
            <a:solidFill>
              <a:schemeClr val="accent2"/>
            </a:solidFill>
            <a:ln>
              <a:noFill/>
            </a:ln>
            <a:effectLst/>
          </c:spPr>
          <c:invertIfNegative val="0"/>
          <c:cat>
            <c:strRef>
              <c:f>入門編_計算シート!$C$71:$D$71</c:f>
              <c:strCache>
                <c:ptCount val="2"/>
                <c:pt idx="0">
                  <c:v>収益</c:v>
                </c:pt>
                <c:pt idx="1">
                  <c:v>支出</c:v>
                </c:pt>
              </c:strCache>
            </c:strRef>
          </c:cat>
          <c:val>
            <c:numRef>
              <c:f>入門編_計算シート!$C$73:$D$73</c:f>
              <c:numCache>
                <c:formatCode>#,##0.0;[Red]\-#,##0.0</c:formatCode>
                <c:ptCount val="2"/>
                <c:pt idx="0">
                  <c:v>261.19757812500001</c:v>
                </c:pt>
              </c:numCache>
            </c:numRef>
          </c:val>
          <c:extLst>
            <c:ext xmlns:c16="http://schemas.microsoft.com/office/drawing/2014/chart" uri="{C3380CC4-5D6E-409C-BE32-E72D297353CC}">
              <c16:uniqueId val="{00000001-8A62-4139-BF71-04C4DC0E1AB7}"/>
            </c:ext>
          </c:extLst>
        </c:ser>
        <c:ser>
          <c:idx val="2"/>
          <c:order val="2"/>
          <c:tx>
            <c:strRef>
              <c:f>入門編_計算シート!$B$74</c:f>
              <c:strCache>
                <c:ptCount val="1"/>
                <c:pt idx="0">
                  <c:v>補助金</c:v>
                </c:pt>
              </c:strCache>
            </c:strRef>
          </c:tx>
          <c:spPr>
            <a:solidFill>
              <a:schemeClr val="accent3"/>
            </a:solidFill>
            <a:ln>
              <a:noFill/>
            </a:ln>
            <a:effectLst/>
          </c:spPr>
          <c:invertIfNegative val="0"/>
          <c:cat>
            <c:strRef>
              <c:f>入門編_計算シート!$C$71:$D$71</c:f>
              <c:strCache>
                <c:ptCount val="2"/>
                <c:pt idx="0">
                  <c:v>収益</c:v>
                </c:pt>
                <c:pt idx="1">
                  <c:v>支出</c:v>
                </c:pt>
              </c:strCache>
            </c:strRef>
          </c:cat>
          <c:val>
            <c:numRef>
              <c:f>入門編_計算シート!$C$74:$D$74</c:f>
              <c:numCache>
                <c:formatCode>#,##0.0;[Red]\-#,##0.0</c:formatCode>
                <c:ptCount val="2"/>
                <c:pt idx="0">
                  <c:v>0</c:v>
                </c:pt>
              </c:numCache>
            </c:numRef>
          </c:val>
          <c:extLst xmlns:c15="http://schemas.microsoft.com/office/drawing/2012/chart">
            <c:ext xmlns:c16="http://schemas.microsoft.com/office/drawing/2014/chart" uri="{C3380CC4-5D6E-409C-BE32-E72D297353CC}">
              <c16:uniqueId val="{00000002-8A62-4139-BF71-04C4DC0E1AB7}"/>
            </c:ext>
          </c:extLst>
        </c:ser>
        <c:ser>
          <c:idx val="4"/>
          <c:order val="3"/>
          <c:tx>
            <c:strRef>
              <c:f>入門編_計算シート!$B$75</c:f>
              <c:strCache>
                <c:ptCount val="1"/>
                <c:pt idx="0">
                  <c:v>燃料調達費</c:v>
                </c:pt>
              </c:strCache>
            </c:strRef>
          </c:tx>
          <c:spPr>
            <a:solidFill>
              <a:schemeClr val="accent5"/>
            </a:solidFill>
            <a:ln>
              <a:noFill/>
            </a:ln>
            <a:effectLst/>
          </c:spPr>
          <c:invertIfNegative val="0"/>
          <c:cat>
            <c:strRef>
              <c:f>入門編_計算シート!$C$71:$D$71</c:f>
              <c:strCache>
                <c:ptCount val="2"/>
                <c:pt idx="0">
                  <c:v>収益</c:v>
                </c:pt>
                <c:pt idx="1">
                  <c:v>支出</c:v>
                </c:pt>
              </c:strCache>
            </c:strRef>
          </c:cat>
          <c:val>
            <c:numRef>
              <c:f>入門編_計算シート!$C$75:$D$75</c:f>
              <c:numCache>
                <c:formatCode>#,##0.0;[Red]\-#,##0.0</c:formatCode>
                <c:ptCount val="2"/>
                <c:pt idx="1">
                  <c:v>495</c:v>
                </c:pt>
              </c:numCache>
            </c:numRef>
          </c:val>
          <c:extLst xmlns:c15="http://schemas.microsoft.com/office/drawing/2012/chart">
            <c:ext xmlns:c16="http://schemas.microsoft.com/office/drawing/2014/chart" uri="{C3380CC4-5D6E-409C-BE32-E72D297353CC}">
              <c16:uniqueId val="{00000004-8A62-4139-BF71-04C4DC0E1AB7}"/>
            </c:ext>
          </c:extLst>
        </c:ser>
        <c:ser>
          <c:idx val="6"/>
          <c:order val="4"/>
          <c:tx>
            <c:strRef>
              <c:f>入門編_計算シート!$B$76</c:f>
              <c:strCache>
                <c:ptCount val="1"/>
                <c:pt idx="0">
                  <c:v>設備費</c:v>
                </c:pt>
              </c:strCache>
            </c:strRef>
          </c:tx>
          <c:spPr>
            <a:solidFill>
              <a:schemeClr val="accent1">
                <a:lumMod val="60000"/>
              </a:schemeClr>
            </a:solidFill>
            <a:ln>
              <a:noFill/>
            </a:ln>
            <a:effectLst/>
          </c:spPr>
          <c:invertIfNegative val="0"/>
          <c:cat>
            <c:strRef>
              <c:f>入門編_計算シート!$C$71:$D$71</c:f>
              <c:strCache>
                <c:ptCount val="2"/>
                <c:pt idx="0">
                  <c:v>収益</c:v>
                </c:pt>
                <c:pt idx="1">
                  <c:v>支出</c:v>
                </c:pt>
              </c:strCache>
            </c:strRef>
          </c:cat>
          <c:val>
            <c:numRef>
              <c:f>入門編_計算シート!$C$76:$D$76</c:f>
              <c:numCache>
                <c:formatCode>#,##0.0;[Red]\-#,##0.0</c:formatCode>
                <c:ptCount val="2"/>
                <c:pt idx="1">
                  <c:v>180.75717156111364</c:v>
                </c:pt>
              </c:numCache>
            </c:numRef>
          </c:val>
          <c:extLst>
            <c:ext xmlns:c16="http://schemas.microsoft.com/office/drawing/2014/chart" uri="{C3380CC4-5D6E-409C-BE32-E72D297353CC}">
              <c16:uniqueId val="{00000005-8A62-4139-BF71-04C4DC0E1AB7}"/>
            </c:ext>
          </c:extLst>
        </c:ser>
        <c:ser>
          <c:idx val="8"/>
          <c:order val="5"/>
          <c:tx>
            <c:strRef>
              <c:f>入門編_計算シート!$B$77</c:f>
              <c:strCache>
                <c:ptCount val="1"/>
                <c:pt idx="0">
                  <c:v>工事費</c:v>
                </c:pt>
              </c:strCache>
            </c:strRef>
          </c:tx>
          <c:spPr>
            <a:solidFill>
              <a:schemeClr val="accent3">
                <a:lumMod val="60000"/>
              </a:schemeClr>
            </a:solidFill>
            <a:ln>
              <a:noFill/>
            </a:ln>
            <a:effectLst/>
          </c:spPr>
          <c:invertIfNegative val="0"/>
          <c:cat>
            <c:strRef>
              <c:f>入門編_計算シート!$C$71:$D$71</c:f>
              <c:strCache>
                <c:ptCount val="2"/>
                <c:pt idx="0">
                  <c:v>収益</c:v>
                </c:pt>
                <c:pt idx="1">
                  <c:v>支出</c:v>
                </c:pt>
              </c:strCache>
            </c:strRef>
          </c:cat>
          <c:val>
            <c:numRef>
              <c:f>入門編_計算シート!$C$77:$D$77</c:f>
              <c:numCache>
                <c:formatCode>#,##0.0;[Red]\-#,##0.0</c:formatCode>
                <c:ptCount val="2"/>
                <c:pt idx="1">
                  <c:v>60.252390520371215</c:v>
                </c:pt>
              </c:numCache>
            </c:numRef>
          </c:val>
          <c:extLst>
            <c:ext xmlns:c16="http://schemas.microsoft.com/office/drawing/2014/chart" uri="{C3380CC4-5D6E-409C-BE32-E72D297353CC}">
              <c16:uniqueId val="{00000006-8A62-4139-BF71-04C4DC0E1AB7}"/>
            </c:ext>
          </c:extLst>
        </c:ser>
        <c:ser>
          <c:idx val="9"/>
          <c:order val="6"/>
          <c:tx>
            <c:strRef>
              <c:f>入門編_計算シート!$B$78</c:f>
              <c:strCache>
                <c:ptCount val="1"/>
                <c:pt idx="0">
                  <c:v>ユーティリティー費用</c:v>
                </c:pt>
              </c:strCache>
            </c:strRef>
          </c:tx>
          <c:spPr>
            <a:solidFill>
              <a:schemeClr val="accent4">
                <a:lumMod val="60000"/>
              </a:schemeClr>
            </a:solidFill>
            <a:ln>
              <a:noFill/>
            </a:ln>
            <a:effectLst/>
          </c:spPr>
          <c:invertIfNegative val="0"/>
          <c:cat>
            <c:strRef>
              <c:f>入門編_計算シート!$C$71:$D$71</c:f>
              <c:strCache>
                <c:ptCount val="2"/>
                <c:pt idx="0">
                  <c:v>収益</c:v>
                </c:pt>
                <c:pt idx="1">
                  <c:v>支出</c:v>
                </c:pt>
              </c:strCache>
            </c:strRef>
          </c:cat>
          <c:val>
            <c:numRef>
              <c:f>入門編_計算シート!$C$78:$D$78</c:f>
              <c:numCache>
                <c:formatCode>#,##0.0;[Red]\-#,##0.0</c:formatCode>
                <c:ptCount val="2"/>
                <c:pt idx="1">
                  <c:v>84.281810798385678</c:v>
                </c:pt>
              </c:numCache>
            </c:numRef>
          </c:val>
          <c:extLst>
            <c:ext xmlns:c16="http://schemas.microsoft.com/office/drawing/2014/chart" uri="{C3380CC4-5D6E-409C-BE32-E72D297353CC}">
              <c16:uniqueId val="{00000007-8A62-4139-BF71-04C4DC0E1AB7}"/>
            </c:ext>
          </c:extLst>
        </c:ser>
        <c:ser>
          <c:idx val="21"/>
          <c:order val="7"/>
          <c:tx>
            <c:strRef>
              <c:f>入門編_計算シート!$B$79</c:f>
              <c:strCache>
                <c:ptCount val="1"/>
                <c:pt idx="0">
                  <c:v>灰処置費用</c:v>
                </c:pt>
              </c:strCache>
            </c:strRef>
          </c:tx>
          <c:spPr>
            <a:solidFill>
              <a:schemeClr val="accent4">
                <a:lumMod val="80000"/>
              </a:schemeClr>
            </a:solidFill>
            <a:ln>
              <a:noFill/>
            </a:ln>
            <a:effectLst/>
          </c:spPr>
          <c:invertIfNegative val="0"/>
          <c:cat>
            <c:strRef>
              <c:f>入門編_計算シート!$C$71:$D$71</c:f>
              <c:strCache>
                <c:ptCount val="2"/>
                <c:pt idx="0">
                  <c:v>収益</c:v>
                </c:pt>
                <c:pt idx="1">
                  <c:v>支出</c:v>
                </c:pt>
              </c:strCache>
            </c:strRef>
          </c:cat>
          <c:val>
            <c:numRef>
              <c:f>入門編_計算シート!$C$79:$D$79</c:f>
              <c:numCache>
                <c:formatCode>#,##0.0;[Red]\-#,##0.0</c:formatCode>
                <c:ptCount val="2"/>
                <c:pt idx="1">
                  <c:v>60.201293427418378</c:v>
                </c:pt>
              </c:numCache>
            </c:numRef>
          </c:val>
          <c:extLst>
            <c:ext xmlns:c16="http://schemas.microsoft.com/office/drawing/2014/chart" uri="{C3380CC4-5D6E-409C-BE32-E72D297353CC}">
              <c16:uniqueId val="{00000008-8A62-4139-BF71-04C4DC0E1AB7}"/>
            </c:ext>
          </c:extLst>
        </c:ser>
        <c:ser>
          <c:idx val="22"/>
          <c:order val="8"/>
          <c:tx>
            <c:strRef>
              <c:f>入門編_計算シート!$B$80</c:f>
              <c:strCache>
                <c:ptCount val="1"/>
                <c:pt idx="0">
                  <c:v>メンテナンス・修繕費用</c:v>
                </c:pt>
              </c:strCache>
            </c:strRef>
          </c:tx>
          <c:spPr>
            <a:solidFill>
              <a:schemeClr val="accent5">
                <a:lumMod val="80000"/>
              </a:schemeClr>
            </a:solidFill>
            <a:ln>
              <a:noFill/>
            </a:ln>
            <a:effectLst/>
          </c:spPr>
          <c:invertIfNegative val="0"/>
          <c:cat>
            <c:strRef>
              <c:f>入門編_計算シート!$C$71:$D$71</c:f>
              <c:strCache>
                <c:ptCount val="2"/>
                <c:pt idx="0">
                  <c:v>収益</c:v>
                </c:pt>
                <c:pt idx="1">
                  <c:v>支出</c:v>
                </c:pt>
              </c:strCache>
            </c:strRef>
          </c:cat>
          <c:val>
            <c:numRef>
              <c:f>入門編_計算シート!$C$80:$D$80</c:f>
              <c:numCache>
                <c:formatCode>#,##0.0;[Red]\-#,##0.0</c:formatCode>
                <c:ptCount val="2"/>
                <c:pt idx="1">
                  <c:v>258.88089086578475</c:v>
                </c:pt>
              </c:numCache>
            </c:numRef>
          </c:val>
          <c:extLst>
            <c:ext xmlns:c16="http://schemas.microsoft.com/office/drawing/2014/chart" uri="{C3380CC4-5D6E-409C-BE32-E72D297353CC}">
              <c16:uniqueId val="{00000009-8A62-4139-BF71-04C4DC0E1AB7}"/>
            </c:ext>
          </c:extLst>
        </c:ser>
        <c:ser>
          <c:idx val="7"/>
          <c:order val="9"/>
          <c:tx>
            <c:strRef>
              <c:f>入門編_計算シート!$B$81</c:f>
              <c:strCache>
                <c:ptCount val="1"/>
                <c:pt idx="0">
                  <c:v>人件費</c:v>
                </c:pt>
              </c:strCache>
            </c:strRef>
          </c:tx>
          <c:spPr>
            <a:solidFill>
              <a:schemeClr val="accent2">
                <a:lumMod val="60000"/>
              </a:schemeClr>
            </a:solidFill>
            <a:ln>
              <a:noFill/>
            </a:ln>
            <a:effectLst/>
          </c:spPr>
          <c:invertIfNegative val="0"/>
          <c:cat>
            <c:strRef>
              <c:f>入門編_計算シート!$C$71:$D$71</c:f>
              <c:strCache>
                <c:ptCount val="2"/>
                <c:pt idx="0">
                  <c:v>収益</c:v>
                </c:pt>
                <c:pt idx="1">
                  <c:v>支出</c:v>
                </c:pt>
              </c:strCache>
            </c:strRef>
          </c:cat>
          <c:val>
            <c:numRef>
              <c:f>入門編_計算シート!$C$81:$D$81</c:f>
              <c:numCache>
                <c:formatCode>#,##0.0;[Red]\-#,##0.0</c:formatCode>
                <c:ptCount val="2"/>
                <c:pt idx="1">
                  <c:v>72.241552112902014</c:v>
                </c:pt>
              </c:numCache>
            </c:numRef>
          </c:val>
          <c:extLst>
            <c:ext xmlns:c16="http://schemas.microsoft.com/office/drawing/2014/chart" uri="{C3380CC4-5D6E-409C-BE32-E72D297353CC}">
              <c16:uniqueId val="{0000000A-8A62-4139-BF71-04C4DC0E1AB7}"/>
            </c:ext>
          </c:extLst>
        </c:ser>
        <c:ser>
          <c:idx val="10"/>
          <c:order val="10"/>
          <c:tx>
            <c:strRef>
              <c:f>入門編_計算シート!$B$82</c:f>
              <c:strCache>
                <c:ptCount val="1"/>
                <c:pt idx="0">
                  <c:v>一般管理費</c:v>
                </c:pt>
              </c:strCache>
            </c:strRef>
          </c:tx>
          <c:spPr>
            <a:solidFill>
              <a:schemeClr val="accent5">
                <a:lumMod val="60000"/>
              </a:schemeClr>
            </a:solidFill>
            <a:ln>
              <a:noFill/>
            </a:ln>
            <a:effectLst/>
          </c:spPr>
          <c:invertIfNegative val="0"/>
          <c:cat>
            <c:strRef>
              <c:f>入門編_計算シート!$C$71:$D$71</c:f>
              <c:strCache>
                <c:ptCount val="2"/>
                <c:pt idx="0">
                  <c:v>収益</c:v>
                </c:pt>
                <c:pt idx="1">
                  <c:v>支出</c:v>
                </c:pt>
              </c:strCache>
            </c:strRef>
          </c:cat>
          <c:val>
            <c:numRef>
              <c:f>入門編_計算シート!$C$82:$D$82</c:f>
              <c:numCache>
                <c:formatCode>#,##0.0;[Red]\-#,##0.0</c:formatCode>
                <c:ptCount val="2"/>
                <c:pt idx="1">
                  <c:v>24.080517370967332</c:v>
                </c:pt>
              </c:numCache>
            </c:numRef>
          </c:val>
          <c:extLst>
            <c:ext xmlns:c16="http://schemas.microsoft.com/office/drawing/2014/chart" uri="{C3380CC4-5D6E-409C-BE32-E72D297353CC}">
              <c16:uniqueId val="{0000000B-8A62-4139-BF71-04C4DC0E1AB7}"/>
            </c:ext>
          </c:extLst>
        </c:ser>
        <c:ser>
          <c:idx val="11"/>
          <c:order val="11"/>
          <c:tx>
            <c:strRef>
              <c:f>入門編_計算シート!$B$83</c:f>
              <c:strCache>
                <c:ptCount val="1"/>
                <c:pt idx="0">
                  <c:v>固定資産税等</c:v>
                </c:pt>
              </c:strCache>
            </c:strRef>
          </c:tx>
          <c:spPr>
            <a:solidFill>
              <a:schemeClr val="accent6">
                <a:lumMod val="60000"/>
              </a:schemeClr>
            </a:solidFill>
            <a:ln>
              <a:noFill/>
            </a:ln>
            <a:effectLst/>
          </c:spPr>
          <c:invertIfNegative val="0"/>
          <c:cat>
            <c:strRef>
              <c:f>入門編_計算シート!$C$71:$D$71</c:f>
              <c:strCache>
                <c:ptCount val="2"/>
                <c:pt idx="0">
                  <c:v>収益</c:v>
                </c:pt>
                <c:pt idx="1">
                  <c:v>支出</c:v>
                </c:pt>
              </c:strCache>
            </c:strRef>
          </c:cat>
          <c:val>
            <c:numRef>
              <c:f>入門編_計算シート!$C$83:$D$83</c:f>
              <c:numCache>
                <c:formatCode>#,##0.0;[Red]\-#,##0.0</c:formatCode>
                <c:ptCount val="2"/>
                <c:pt idx="1">
                  <c:v>105.96263059559253</c:v>
                </c:pt>
              </c:numCache>
            </c:numRef>
          </c:val>
          <c:extLst xmlns:c15="http://schemas.microsoft.com/office/drawing/2012/chart">
            <c:ext xmlns:c16="http://schemas.microsoft.com/office/drawing/2014/chart" uri="{C3380CC4-5D6E-409C-BE32-E72D297353CC}">
              <c16:uniqueId val="{0000000D-8A62-4139-BF71-04C4DC0E1AB7}"/>
            </c:ext>
          </c:extLst>
        </c:ser>
        <c:ser>
          <c:idx val="3"/>
          <c:order val="12"/>
          <c:tx>
            <c:strRef>
              <c:f>入門編_計算シート!$B$84</c:f>
              <c:strCache>
                <c:ptCount val="1"/>
                <c:pt idx="0">
                  <c:v>金利</c:v>
                </c:pt>
              </c:strCache>
            </c:strRef>
          </c:tx>
          <c:spPr>
            <a:solidFill>
              <a:schemeClr val="accent4"/>
            </a:solidFill>
            <a:ln>
              <a:noFill/>
            </a:ln>
            <a:effectLst/>
          </c:spPr>
          <c:invertIfNegative val="0"/>
          <c:cat>
            <c:strRef>
              <c:f>入門編_計算シート!$C$71:$D$71</c:f>
              <c:strCache>
                <c:ptCount val="2"/>
                <c:pt idx="0">
                  <c:v>収益</c:v>
                </c:pt>
                <c:pt idx="1">
                  <c:v>支出</c:v>
                </c:pt>
              </c:strCache>
            </c:strRef>
          </c:cat>
          <c:val>
            <c:numRef>
              <c:f>入門編_計算シート!$C$84:$D$84</c:f>
              <c:numCache>
                <c:formatCode>#,##0.0;[Red]\-#,##0.0</c:formatCode>
                <c:ptCount val="2"/>
                <c:pt idx="1">
                  <c:v>0</c:v>
                </c:pt>
              </c:numCache>
            </c:numRef>
          </c:val>
          <c:extLst>
            <c:ext xmlns:c16="http://schemas.microsoft.com/office/drawing/2014/chart" uri="{C3380CC4-5D6E-409C-BE32-E72D297353CC}">
              <c16:uniqueId val="{00000000-1689-4DC1-B1E1-B699497A34F1}"/>
            </c:ext>
          </c:extLst>
        </c:ser>
        <c:dLbls>
          <c:showLegendKey val="0"/>
          <c:showVal val="0"/>
          <c:showCatName val="0"/>
          <c:showSerName val="0"/>
          <c:showPercent val="0"/>
          <c:showBubbleSize val="0"/>
        </c:dLbls>
        <c:gapWidth val="150"/>
        <c:overlap val="100"/>
        <c:axId val="270475488"/>
        <c:axId val="270476272"/>
        <c:extLst/>
      </c:barChart>
      <c:valAx>
        <c:axId val="270476272"/>
        <c:scaling>
          <c:orientation val="minMax"/>
          <c:min val="0"/>
        </c:scaling>
        <c:delete val="0"/>
        <c:axPos val="t"/>
        <c:majorGridlines>
          <c:spPr>
            <a:ln w="9525" cap="flat" cmpd="sng" algn="ctr">
              <a:solidFill>
                <a:schemeClr val="tx1">
                  <a:lumMod val="15000"/>
                  <a:lumOff val="85000"/>
                </a:schemeClr>
              </a:solidFill>
              <a:round/>
            </a:ln>
            <a:effectLst/>
          </c:spPr>
        </c:majorGridlines>
        <c:numFmt formatCode="#,##0_);[Red]\(#,##0\)" sourceLinked="0"/>
        <c:majorTickMark val="out"/>
        <c:minorTickMark val="none"/>
        <c:tickLblPos val="low"/>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270475488"/>
        <c:crosses val="max"/>
        <c:crossBetween val="between"/>
      </c:valAx>
      <c:catAx>
        <c:axId val="27047548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270476272"/>
        <c:crossesAt val="0"/>
        <c:auto val="1"/>
        <c:lblAlgn val="ctr"/>
        <c:lblOffset val="0"/>
        <c:noMultiLvlLbl val="0"/>
      </c:catAx>
      <c:spPr>
        <a:noFill/>
        <a:ln>
          <a:noFill/>
        </a:ln>
        <a:effectLst/>
      </c:spPr>
    </c:plotArea>
    <c:legend>
      <c:legendPos val="t"/>
      <c:layout>
        <c:manualLayout>
          <c:xMode val="edge"/>
          <c:yMode val="edge"/>
          <c:x val="0"/>
          <c:y val="1.7259976470257798E-2"/>
          <c:w val="0.99830575268705457"/>
          <c:h val="0.2334920379455317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平均LHV</c:v>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trendlineLbl>
          </c:trendline>
          <c:xVal>
            <c:numRef>
              <c:f>入門シート換算!$A$54:$A$67</c:f>
              <c:numCache>
                <c:formatCode>0%</c:formatCode>
                <c:ptCount val="14"/>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numCache>
            </c:numRef>
          </c:xVal>
          <c:yVal>
            <c:numRef>
              <c:f>入門シート換算!$M$54:$M$68</c:f>
              <c:numCache>
                <c:formatCode>#,##0.0;[Red]\-#,##0.0</c:formatCode>
                <c:ptCount val="15"/>
                <c:pt idx="0">
                  <c:v>18.828451882845187</c:v>
                </c:pt>
                <c:pt idx="1">
                  <c:v>17.761506276150627</c:v>
                </c:pt>
                <c:pt idx="2">
                  <c:v>16.673640167364017</c:v>
                </c:pt>
                <c:pt idx="3">
                  <c:v>15.606694560669457</c:v>
                </c:pt>
                <c:pt idx="4">
                  <c:v>14.539748953974895</c:v>
                </c:pt>
                <c:pt idx="5">
                  <c:v>13.472803347280335</c:v>
                </c:pt>
                <c:pt idx="6">
                  <c:v>12.405857740585773</c:v>
                </c:pt>
                <c:pt idx="7">
                  <c:v>11.338912133891213</c:v>
                </c:pt>
                <c:pt idx="8">
                  <c:v>10.292887029288703</c:v>
                </c:pt>
                <c:pt idx="9">
                  <c:v>9.2259414225941416</c:v>
                </c:pt>
                <c:pt idx="10">
                  <c:v>8.1589958158995817</c:v>
                </c:pt>
                <c:pt idx="11">
                  <c:v>7.0920502092050208</c:v>
                </c:pt>
                <c:pt idx="12">
                  <c:v>6.02510460251046</c:v>
                </c:pt>
                <c:pt idx="13">
                  <c:v>4.9581589958158991</c:v>
                </c:pt>
                <c:pt idx="14" formatCode="General">
                  <c:v>0</c:v>
                </c:pt>
              </c:numCache>
            </c:numRef>
          </c:yVal>
          <c:smooth val="0"/>
          <c:extLst>
            <c:ext xmlns:c16="http://schemas.microsoft.com/office/drawing/2014/chart" uri="{C3380CC4-5D6E-409C-BE32-E72D297353CC}">
              <c16:uniqueId val="{00000000-6B06-4692-850A-633CB4A06815}"/>
            </c:ext>
          </c:extLst>
        </c:ser>
        <c:dLbls>
          <c:showLegendKey val="0"/>
          <c:showVal val="0"/>
          <c:showCatName val="0"/>
          <c:showSerName val="0"/>
          <c:showPercent val="0"/>
          <c:showBubbleSize val="0"/>
        </c:dLbls>
        <c:axId val="272963872"/>
        <c:axId val="272968184"/>
      </c:scatterChart>
      <c:valAx>
        <c:axId val="2729638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72968184"/>
        <c:crosses val="autoZero"/>
        <c:crossBetween val="midCat"/>
      </c:valAx>
      <c:valAx>
        <c:axId val="272968184"/>
        <c:scaling>
          <c:orientation val="minMax"/>
        </c:scaling>
        <c:delete val="0"/>
        <c:axPos val="l"/>
        <c:majorGridlines>
          <c:spPr>
            <a:ln w="9525" cap="flat" cmpd="sng" algn="ctr">
              <a:solidFill>
                <a:schemeClr val="tx1">
                  <a:lumMod val="15000"/>
                  <a:lumOff val="85000"/>
                </a:schemeClr>
              </a:solidFill>
              <a:round/>
            </a:ln>
            <a:effectLst/>
          </c:spPr>
        </c:majorGridlines>
        <c:numFmt formatCode="#,##0.0;[Red]\-#,##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7296387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2">
                <a:lumMod val="50000"/>
              </a:schemeClr>
            </a:solidFill>
            <a:ln>
              <a:noFill/>
            </a:ln>
            <a:effectLst/>
          </c:spPr>
          <c:invertIfNegative val="0"/>
          <c:cat>
            <c:strRef>
              <c:f>入門編_計算シート!$Y$3:$Y$5</c:f>
              <c:strCache>
                <c:ptCount val="3"/>
                <c:pt idx="0">
                  <c:v>投資額</c:v>
                </c:pt>
                <c:pt idx="1">
                  <c:v>事業収入</c:v>
                </c:pt>
                <c:pt idx="2">
                  <c:v>地域経済効果
＋事業収入</c:v>
                </c:pt>
              </c:strCache>
            </c:strRef>
          </c:cat>
          <c:val>
            <c:numRef>
              <c:f>入門編_計算シート!$Z$3:$Z$5</c:f>
              <c:numCache>
                <c:formatCode>General</c:formatCode>
                <c:ptCount val="3"/>
                <c:pt idx="0" formatCode="#,##0_);[Red]\(#,##0\)">
                  <c:v>26833.165145050705</c:v>
                </c:pt>
              </c:numCache>
            </c:numRef>
          </c:val>
          <c:extLst>
            <c:ext xmlns:c16="http://schemas.microsoft.com/office/drawing/2014/chart" uri="{C3380CC4-5D6E-409C-BE32-E72D297353CC}">
              <c16:uniqueId val="{00000000-6F61-43B7-943A-00F24AB96809}"/>
            </c:ext>
          </c:extLst>
        </c:ser>
        <c:ser>
          <c:idx val="1"/>
          <c:order val="1"/>
          <c:spPr>
            <a:solidFill>
              <a:schemeClr val="accent1"/>
            </a:solidFill>
            <a:ln>
              <a:noFill/>
            </a:ln>
            <a:effectLst/>
          </c:spPr>
          <c:invertIfNegative val="0"/>
          <c:cat>
            <c:strRef>
              <c:f>入門編_計算シート!$Y$3:$Y$5</c:f>
              <c:strCache>
                <c:ptCount val="3"/>
                <c:pt idx="0">
                  <c:v>投資額</c:v>
                </c:pt>
                <c:pt idx="1">
                  <c:v>事業収入</c:v>
                </c:pt>
                <c:pt idx="2">
                  <c:v>地域経済効果
＋事業収入</c:v>
                </c:pt>
              </c:strCache>
            </c:strRef>
          </c:cat>
          <c:val>
            <c:numRef>
              <c:f>入門編_計算シート!$AA$3:$AA$5</c:f>
              <c:numCache>
                <c:formatCode>#,##0_);[Red]\(#,##0\)</c:formatCode>
                <c:ptCount val="3"/>
                <c:pt idx="1">
                  <c:v>29672.044875</c:v>
                </c:pt>
                <c:pt idx="2">
                  <c:v>29672.044875</c:v>
                </c:pt>
              </c:numCache>
            </c:numRef>
          </c:val>
          <c:extLst>
            <c:ext xmlns:c16="http://schemas.microsoft.com/office/drawing/2014/chart" uri="{C3380CC4-5D6E-409C-BE32-E72D297353CC}">
              <c16:uniqueId val="{00000001-6F61-43B7-943A-00F24AB96809}"/>
            </c:ext>
          </c:extLst>
        </c:ser>
        <c:ser>
          <c:idx val="2"/>
          <c:order val="2"/>
          <c:spPr>
            <a:solidFill>
              <a:schemeClr val="accent2"/>
            </a:solidFill>
            <a:ln>
              <a:noFill/>
            </a:ln>
            <a:effectLst/>
          </c:spPr>
          <c:invertIfNegative val="0"/>
          <c:cat>
            <c:strRef>
              <c:f>入門編_計算シート!$Y$3:$Y$5</c:f>
              <c:strCache>
                <c:ptCount val="3"/>
                <c:pt idx="0">
                  <c:v>投資額</c:v>
                </c:pt>
                <c:pt idx="1">
                  <c:v>事業収入</c:v>
                </c:pt>
                <c:pt idx="2">
                  <c:v>地域経済効果
＋事業収入</c:v>
                </c:pt>
              </c:strCache>
            </c:strRef>
          </c:cat>
          <c:val>
            <c:numRef>
              <c:f>入門編_計算シート!$AB$3:$AB$5</c:f>
              <c:numCache>
                <c:formatCode>General</c:formatCode>
                <c:ptCount val="3"/>
                <c:pt idx="2" formatCode="#,##0_);[Red]\(#,##0\)">
                  <c:v>3780.2074293099095</c:v>
                </c:pt>
              </c:numCache>
            </c:numRef>
          </c:val>
          <c:extLst>
            <c:ext xmlns:c16="http://schemas.microsoft.com/office/drawing/2014/chart" uri="{C3380CC4-5D6E-409C-BE32-E72D297353CC}">
              <c16:uniqueId val="{00000002-6F61-43B7-943A-00F24AB96809}"/>
            </c:ext>
          </c:extLst>
        </c:ser>
        <c:dLbls>
          <c:showLegendKey val="0"/>
          <c:showVal val="0"/>
          <c:showCatName val="0"/>
          <c:showSerName val="0"/>
          <c:showPercent val="0"/>
          <c:showBubbleSize val="0"/>
        </c:dLbls>
        <c:gapWidth val="150"/>
        <c:overlap val="100"/>
        <c:axId val="270476664"/>
        <c:axId val="270477056"/>
      </c:barChart>
      <c:catAx>
        <c:axId val="270476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270477056"/>
        <c:crosses val="autoZero"/>
        <c:auto val="1"/>
        <c:lblAlgn val="ctr"/>
        <c:lblOffset val="100"/>
        <c:noMultiLvlLbl val="0"/>
      </c:catAx>
      <c:valAx>
        <c:axId val="27047705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270476664"/>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482939632546E-2"/>
          <c:y val="0.11189507485344906"/>
          <c:w val="0.86979615048118986"/>
          <c:h val="0.67066333304751535"/>
        </c:manualLayout>
      </c:layout>
      <c:barChart>
        <c:barDir val="col"/>
        <c:grouping val="clustered"/>
        <c:varyColors val="0"/>
        <c:ser>
          <c:idx val="0"/>
          <c:order val="0"/>
          <c:spPr>
            <a:solidFill>
              <a:schemeClr val="accent1"/>
            </a:solidFill>
            <a:ln>
              <a:noFill/>
            </a:ln>
            <a:effectLst/>
          </c:spPr>
          <c:invertIfNegative val="0"/>
          <c:cat>
            <c:strRef>
              <c:f>入門編_計算シート!$Y$6</c:f>
              <c:strCache>
                <c:ptCount val="1"/>
                <c:pt idx="0">
                  <c:v>CO2削減効果
（化石燃料代替分）</c:v>
                </c:pt>
              </c:strCache>
            </c:strRef>
          </c:cat>
          <c:val>
            <c:numRef>
              <c:f>入門編_計算シート!$Z$6</c:f>
              <c:numCache>
                <c:formatCode>#,##0_);[Red]\(#,##0\)</c:formatCode>
                <c:ptCount val="1"/>
                <c:pt idx="0">
                  <c:v>977296.85831250006</c:v>
                </c:pt>
              </c:numCache>
            </c:numRef>
          </c:val>
          <c:extLst>
            <c:ext xmlns:c16="http://schemas.microsoft.com/office/drawing/2014/chart" uri="{C3380CC4-5D6E-409C-BE32-E72D297353CC}">
              <c16:uniqueId val="{00000000-4C76-401D-87C1-02FE1D0BDB2E}"/>
            </c:ext>
          </c:extLst>
        </c:ser>
        <c:dLbls>
          <c:showLegendKey val="0"/>
          <c:showVal val="0"/>
          <c:showCatName val="0"/>
          <c:showSerName val="0"/>
          <c:showPercent val="0"/>
          <c:showBubbleSize val="0"/>
        </c:dLbls>
        <c:gapWidth val="219"/>
        <c:overlap val="-27"/>
        <c:axId val="180099744"/>
        <c:axId val="180097784"/>
      </c:barChart>
      <c:catAx>
        <c:axId val="180099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097784"/>
        <c:crosses val="autoZero"/>
        <c:auto val="1"/>
        <c:lblAlgn val="ctr"/>
        <c:lblOffset val="100"/>
        <c:noMultiLvlLbl val="0"/>
      </c:catAx>
      <c:valAx>
        <c:axId val="18009778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099744"/>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2">
                <a:lumMod val="50000"/>
              </a:schemeClr>
            </a:solidFill>
            <a:ln>
              <a:noFill/>
            </a:ln>
            <a:effectLst/>
          </c:spPr>
          <c:invertIfNegative val="0"/>
          <c:cat>
            <c:strRef>
              <c:f>入門編_計算シート!$Y$3:$Y$5</c:f>
              <c:strCache>
                <c:ptCount val="3"/>
                <c:pt idx="0">
                  <c:v>投資額</c:v>
                </c:pt>
                <c:pt idx="1">
                  <c:v>事業収入</c:v>
                </c:pt>
                <c:pt idx="2">
                  <c:v>地域経済効果
＋事業収入</c:v>
                </c:pt>
              </c:strCache>
            </c:strRef>
          </c:cat>
          <c:val>
            <c:numRef>
              <c:f>入門編_計算シート!$Z$3:$Z$5</c:f>
              <c:numCache>
                <c:formatCode>General</c:formatCode>
                <c:ptCount val="3"/>
                <c:pt idx="0" formatCode="#,##0_);[Red]\(#,##0\)">
                  <c:v>26833.165145050705</c:v>
                </c:pt>
              </c:numCache>
            </c:numRef>
          </c:val>
          <c:extLst>
            <c:ext xmlns:c16="http://schemas.microsoft.com/office/drawing/2014/chart" uri="{C3380CC4-5D6E-409C-BE32-E72D297353CC}">
              <c16:uniqueId val="{00000000-DB05-428F-9737-59B179105AC4}"/>
            </c:ext>
          </c:extLst>
        </c:ser>
        <c:ser>
          <c:idx val="1"/>
          <c:order val="1"/>
          <c:spPr>
            <a:solidFill>
              <a:schemeClr val="accent1"/>
            </a:solidFill>
            <a:ln>
              <a:noFill/>
            </a:ln>
            <a:effectLst/>
          </c:spPr>
          <c:invertIfNegative val="0"/>
          <c:cat>
            <c:strRef>
              <c:f>入門編_計算シート!$Y$3:$Y$5</c:f>
              <c:strCache>
                <c:ptCount val="3"/>
                <c:pt idx="0">
                  <c:v>投資額</c:v>
                </c:pt>
                <c:pt idx="1">
                  <c:v>事業収入</c:v>
                </c:pt>
                <c:pt idx="2">
                  <c:v>地域経済効果
＋事業収入</c:v>
                </c:pt>
              </c:strCache>
            </c:strRef>
          </c:cat>
          <c:val>
            <c:numRef>
              <c:f>入門編_計算シート!$AA$3:$AA$5</c:f>
              <c:numCache>
                <c:formatCode>#,##0_);[Red]\(#,##0\)</c:formatCode>
                <c:ptCount val="3"/>
                <c:pt idx="1">
                  <c:v>29672.044875</c:v>
                </c:pt>
                <c:pt idx="2">
                  <c:v>29672.044875</c:v>
                </c:pt>
              </c:numCache>
            </c:numRef>
          </c:val>
          <c:extLst>
            <c:ext xmlns:c16="http://schemas.microsoft.com/office/drawing/2014/chart" uri="{C3380CC4-5D6E-409C-BE32-E72D297353CC}">
              <c16:uniqueId val="{00000001-DB05-428F-9737-59B179105AC4}"/>
            </c:ext>
          </c:extLst>
        </c:ser>
        <c:ser>
          <c:idx val="2"/>
          <c:order val="2"/>
          <c:spPr>
            <a:solidFill>
              <a:schemeClr val="accent2"/>
            </a:solidFill>
            <a:ln>
              <a:noFill/>
            </a:ln>
            <a:effectLst/>
          </c:spPr>
          <c:invertIfNegative val="0"/>
          <c:cat>
            <c:strRef>
              <c:f>入門編_計算シート!$Y$3:$Y$5</c:f>
              <c:strCache>
                <c:ptCount val="3"/>
                <c:pt idx="0">
                  <c:v>投資額</c:v>
                </c:pt>
                <c:pt idx="1">
                  <c:v>事業収入</c:v>
                </c:pt>
                <c:pt idx="2">
                  <c:v>地域経済効果
＋事業収入</c:v>
                </c:pt>
              </c:strCache>
            </c:strRef>
          </c:cat>
          <c:val>
            <c:numRef>
              <c:f>入門編_計算シート!$AB$3:$AB$5</c:f>
              <c:numCache>
                <c:formatCode>General</c:formatCode>
                <c:ptCount val="3"/>
                <c:pt idx="2" formatCode="#,##0_);[Red]\(#,##0\)">
                  <c:v>3780.2074293099095</c:v>
                </c:pt>
              </c:numCache>
            </c:numRef>
          </c:val>
          <c:extLst>
            <c:ext xmlns:c16="http://schemas.microsoft.com/office/drawing/2014/chart" uri="{C3380CC4-5D6E-409C-BE32-E72D297353CC}">
              <c16:uniqueId val="{00000002-DB05-428F-9737-59B179105AC4}"/>
            </c:ext>
          </c:extLst>
        </c:ser>
        <c:dLbls>
          <c:showLegendKey val="0"/>
          <c:showVal val="0"/>
          <c:showCatName val="0"/>
          <c:showSerName val="0"/>
          <c:showPercent val="0"/>
          <c:showBubbleSize val="0"/>
        </c:dLbls>
        <c:gapWidth val="150"/>
        <c:overlap val="100"/>
        <c:axId val="180102488"/>
        <c:axId val="180098176"/>
      </c:barChart>
      <c:catAx>
        <c:axId val="180102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098176"/>
        <c:crosses val="autoZero"/>
        <c:auto val="1"/>
        <c:lblAlgn val="ctr"/>
        <c:lblOffset val="100"/>
        <c:noMultiLvlLbl val="0"/>
      </c:catAx>
      <c:valAx>
        <c:axId val="18009817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102488"/>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062744697579549E-2"/>
          <c:y val="0.10931071401977077"/>
          <c:w val="0.95397751770038441"/>
          <c:h val="0.83055333817591936"/>
        </c:manualLayout>
      </c:layout>
      <c:barChart>
        <c:barDir val="col"/>
        <c:grouping val="stacked"/>
        <c:varyColors val="0"/>
        <c:ser>
          <c:idx val="0"/>
          <c:order val="0"/>
          <c:spPr>
            <a:solidFill>
              <a:schemeClr val="accent1"/>
            </a:solidFill>
            <a:ln>
              <a:noFill/>
            </a:ln>
            <a:effectLst/>
          </c:spPr>
          <c:invertIfNegative val="0"/>
          <c:cat>
            <c:strRef>
              <c:f>入門編_計算シート!$Y$205:$Y$212</c:f>
              <c:strCache>
                <c:ptCount val="8"/>
                <c:pt idx="0">
                  <c:v>①バイオマス事業利益
の地域内配当分</c:v>
                </c:pt>
                <c:pt idx="1">
                  <c:v>②建設関連の
地域内事業者利益</c:v>
                </c:pt>
                <c:pt idx="2">
                  <c:v>③運転・維持関連の
地域内事業者利益</c:v>
                </c:pt>
                <c:pt idx="3">
                  <c:v>④雇用効果
（従業員可処分所得）</c:v>
                </c:pt>
                <c:pt idx="4">
                  <c:v>⑤自治体地方税</c:v>
                </c:pt>
                <c:pt idx="5">
                  <c:v>⑥地域内金融機関
利息収入</c:v>
                </c:pt>
                <c:pt idx="6">
                  <c:v>⑦バイオマス原料
提供者経済効果</c:v>
                </c:pt>
                <c:pt idx="7">
                  <c:v>⑧需要家のエネルギー
費用低減効果</c:v>
                </c:pt>
              </c:strCache>
            </c:strRef>
          </c:cat>
          <c:val>
            <c:numRef>
              <c:f>入門編_計算シート!$Z$205:$Z$212</c:f>
              <c:numCache>
                <c:formatCode>#,##0_);[Red]\(#,##0\)</c:formatCode>
                <c:ptCount val="8"/>
                <c:pt idx="0">
                  <c:v>1419.4398649746454</c:v>
                </c:pt>
                <c:pt idx="1">
                  <c:v>66.533804045784834</c:v>
                </c:pt>
                <c:pt idx="2">
                  <c:v>194.47009618431991</c:v>
                </c:pt>
                <c:pt idx="3">
                  <c:v>1750.03103313003</c:v>
                </c:pt>
                <c:pt idx="4">
                  <c:v>1769.1724959497744</c:v>
                </c:pt>
                <c:pt idx="5">
                  <c:v>0</c:v>
                </c:pt>
                <c:pt idx="6">
                  <c:v>0</c:v>
                </c:pt>
                <c:pt idx="7">
                  <c:v>0</c:v>
                </c:pt>
              </c:numCache>
            </c:numRef>
          </c:val>
          <c:extLst>
            <c:ext xmlns:c16="http://schemas.microsoft.com/office/drawing/2014/chart" uri="{C3380CC4-5D6E-409C-BE32-E72D297353CC}">
              <c16:uniqueId val="{00000000-D9EB-4798-B749-A3FF81603F05}"/>
            </c:ext>
          </c:extLst>
        </c:ser>
        <c:dLbls>
          <c:showLegendKey val="0"/>
          <c:showVal val="0"/>
          <c:showCatName val="0"/>
          <c:showSerName val="0"/>
          <c:showPercent val="0"/>
          <c:showBubbleSize val="0"/>
        </c:dLbls>
        <c:gapWidth val="150"/>
        <c:overlap val="100"/>
        <c:axId val="180102880"/>
        <c:axId val="180101704"/>
      </c:barChart>
      <c:catAx>
        <c:axId val="18010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0101704"/>
        <c:crosses val="autoZero"/>
        <c:auto val="1"/>
        <c:lblAlgn val="ctr"/>
        <c:lblOffset val="100"/>
        <c:noMultiLvlLbl val="0"/>
      </c:catAx>
      <c:valAx>
        <c:axId val="1801017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80102880"/>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205853480271929E-2"/>
          <c:y val="8.017779129284075E-2"/>
          <c:w val="0.67716657998373064"/>
          <c:h val="0.78057322679349506"/>
        </c:manualLayout>
      </c:layout>
      <c:barChart>
        <c:barDir val="col"/>
        <c:grouping val="stacked"/>
        <c:varyColors val="0"/>
        <c:ser>
          <c:idx val="7"/>
          <c:order val="0"/>
          <c:tx>
            <c:strRef>
              <c:f>地域経済性計算シート!$C$551</c:f>
              <c:strCache>
                <c:ptCount val="1"/>
                <c:pt idx="0">
                  <c:v>⑧需要家のエネルギー
費用低減効果</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地域経済性計算シート!$D$551:$AH$551</c15:sqref>
                  </c15:fullRef>
                </c:ext>
              </c:extLst>
              <c:f>地域経済性計算シート!$D$551:$X$551</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0-AD71-420A-926F-B836374D7410}"/>
            </c:ext>
          </c:extLst>
        </c:ser>
        <c:ser>
          <c:idx val="6"/>
          <c:order val="1"/>
          <c:tx>
            <c:strRef>
              <c:f>地域経済性計算シート!$C$550</c:f>
              <c:strCache>
                <c:ptCount val="1"/>
                <c:pt idx="0">
                  <c:v>⑦バイオマス原料
提供者経済効果</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地域経済性計算シート!$D$550:$AH$550</c15:sqref>
                  </c15:fullRef>
                </c:ext>
              </c:extLst>
              <c:f>地域経済性計算シート!$D$550:$X$550</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1-AD71-420A-926F-B836374D7410}"/>
            </c:ext>
          </c:extLst>
        </c:ser>
        <c:ser>
          <c:idx val="9"/>
          <c:order val="2"/>
          <c:tx>
            <c:strRef>
              <c:f>地域経済性計算シート!$C$549</c:f>
              <c:strCache>
                <c:ptCount val="1"/>
                <c:pt idx="0">
                  <c:v>⑥地域内金融機関
利息収入</c:v>
                </c:pt>
              </c:strCache>
            </c:strRef>
          </c:tx>
          <c:spPr>
            <a:solidFill>
              <a:schemeClr val="accent4">
                <a:lumMod val="60000"/>
              </a:schemeClr>
            </a:solidFill>
            <a:ln>
              <a:noFill/>
            </a:ln>
            <a:effectLst/>
          </c:spPr>
          <c:invertIfNegative val="0"/>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地域経済性計算シート!$D$549:$AH$549</c15:sqref>
                  </c15:fullRef>
                </c:ext>
              </c:extLst>
              <c:f>地域経済性計算シート!$D$549:$X$549</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7-AD71-420A-926F-B836374D7410}"/>
            </c:ext>
          </c:extLst>
        </c:ser>
        <c:ser>
          <c:idx val="5"/>
          <c:order val="3"/>
          <c:tx>
            <c:strRef>
              <c:f>地域経済性計算シート!$C$548</c:f>
              <c:strCache>
                <c:ptCount val="1"/>
                <c:pt idx="0">
                  <c:v>⑤自治体地方税</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地域経済性計算シート!$D$548:$AH$548</c15:sqref>
                  </c15:fullRef>
                </c:ext>
              </c:extLst>
              <c:f>地域経済性計算シート!$D$548:$X$548</c:f>
              <c:numCache>
                <c:formatCode>#,##0_);[Red]\(#,##0\)</c:formatCode>
                <c:ptCount val="21"/>
                <c:pt idx="0">
                  <c:v>67.687853137946092</c:v>
                </c:pt>
                <c:pt idx="1">
                  <c:v>124.32238868715257</c:v>
                </c:pt>
                <c:pt idx="2">
                  <c:v>120.66376290028721</c:v>
                </c:pt>
                <c:pt idx="3">
                  <c:v>117.00513711342187</c:v>
                </c:pt>
                <c:pt idx="4">
                  <c:v>113.34651132655655</c:v>
                </c:pt>
                <c:pt idx="5">
                  <c:v>109.68788553969119</c:v>
                </c:pt>
                <c:pt idx="6">
                  <c:v>106.02925975282587</c:v>
                </c:pt>
                <c:pt idx="7">
                  <c:v>102.37063396596054</c:v>
                </c:pt>
                <c:pt idx="8">
                  <c:v>98.712008179095193</c:v>
                </c:pt>
                <c:pt idx="9">
                  <c:v>95.05338239222985</c:v>
                </c:pt>
                <c:pt idx="10">
                  <c:v>91.394756605364535</c:v>
                </c:pt>
                <c:pt idx="11">
                  <c:v>87.736130818499177</c:v>
                </c:pt>
                <c:pt idx="12">
                  <c:v>84.077505031633848</c:v>
                </c:pt>
                <c:pt idx="13">
                  <c:v>80.418879244768519</c:v>
                </c:pt>
                <c:pt idx="14">
                  <c:v>76.760253457903175</c:v>
                </c:pt>
                <c:pt idx="15">
                  <c:v>73.101627671037832</c:v>
                </c:pt>
                <c:pt idx="16">
                  <c:v>79.509407984124451</c:v>
                </c:pt>
                <c:pt idx="17">
                  <c:v>79.083986381000585</c:v>
                </c:pt>
                <c:pt idx="18">
                  <c:v>78.658564777876705</c:v>
                </c:pt>
                <c:pt idx="19">
                  <c:v>78.233143174752826</c:v>
                </c:pt>
                <c:pt idx="20">
                  <c:v>77.80772157162896</c:v>
                </c:pt>
              </c:numCache>
            </c:numRef>
          </c:val>
          <c:extLst xmlns:c15="http://schemas.microsoft.com/office/drawing/2012/chart">
            <c:ext xmlns:c16="http://schemas.microsoft.com/office/drawing/2014/chart" uri="{C3380CC4-5D6E-409C-BE32-E72D297353CC}">
              <c16:uniqueId val="{00000002-AD71-420A-926F-B836374D7410}"/>
            </c:ext>
          </c:extLst>
        </c:ser>
        <c:ser>
          <c:idx val="4"/>
          <c:order val="4"/>
          <c:tx>
            <c:strRef>
              <c:f>地域経済性計算シート!$C$547</c:f>
              <c:strCache>
                <c:ptCount val="1"/>
                <c:pt idx="0">
                  <c:v>④雇用効果
（従業員可処分所得）</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地域経済性計算シート!$D$547:$AH$547</c15:sqref>
                  </c15:fullRef>
                </c:ext>
              </c:extLst>
              <c:f>地域経済性計算シート!$D$547:$X$547</c:f>
              <c:numCache>
                <c:formatCode>#,##0_);[Red]\(#,##0\)</c:formatCode>
                <c:ptCount val="21"/>
                <c:pt idx="0">
                  <c:v>168.54500714272015</c:v>
                </c:pt>
                <c:pt idx="1">
                  <c:v>79.074301299365473</c:v>
                </c:pt>
                <c:pt idx="2">
                  <c:v>79.074301299365473</c:v>
                </c:pt>
                <c:pt idx="3">
                  <c:v>79.074301299365473</c:v>
                </c:pt>
                <c:pt idx="4">
                  <c:v>79.074301299365473</c:v>
                </c:pt>
                <c:pt idx="5">
                  <c:v>79.074301299365473</c:v>
                </c:pt>
                <c:pt idx="6">
                  <c:v>79.074301299365473</c:v>
                </c:pt>
                <c:pt idx="7">
                  <c:v>79.074301299365473</c:v>
                </c:pt>
                <c:pt idx="8">
                  <c:v>79.074301299365473</c:v>
                </c:pt>
                <c:pt idx="9">
                  <c:v>79.074301299365473</c:v>
                </c:pt>
                <c:pt idx="10">
                  <c:v>79.074301299365473</c:v>
                </c:pt>
                <c:pt idx="11">
                  <c:v>79.074301299365473</c:v>
                </c:pt>
                <c:pt idx="12">
                  <c:v>79.074301299365473</c:v>
                </c:pt>
                <c:pt idx="13">
                  <c:v>79.074301299365473</c:v>
                </c:pt>
                <c:pt idx="14">
                  <c:v>79.074301299365473</c:v>
                </c:pt>
                <c:pt idx="15">
                  <c:v>79.074301299365473</c:v>
                </c:pt>
                <c:pt idx="16">
                  <c:v>79.074301299365473</c:v>
                </c:pt>
                <c:pt idx="17">
                  <c:v>79.074301299365473</c:v>
                </c:pt>
                <c:pt idx="18">
                  <c:v>79.074301299365473</c:v>
                </c:pt>
                <c:pt idx="19">
                  <c:v>79.074301299365473</c:v>
                </c:pt>
                <c:pt idx="20">
                  <c:v>79.074301299365473</c:v>
                </c:pt>
              </c:numCache>
            </c:numRef>
          </c:val>
          <c:extLst xmlns:c15="http://schemas.microsoft.com/office/drawing/2012/chart">
            <c:ext xmlns:c16="http://schemas.microsoft.com/office/drawing/2014/chart" uri="{C3380CC4-5D6E-409C-BE32-E72D297353CC}">
              <c16:uniqueId val="{00000003-AD71-420A-926F-B836374D7410}"/>
            </c:ext>
          </c:extLst>
        </c:ser>
        <c:ser>
          <c:idx val="3"/>
          <c:order val="5"/>
          <c:tx>
            <c:strRef>
              <c:f>地域経済性計算シート!$C$546</c:f>
              <c:strCache>
                <c:ptCount val="1"/>
                <c:pt idx="0">
                  <c:v>③運転・維持関連の
地域内事業者利益</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地域経済性計算シート!$D$546:$AH$546</c15:sqref>
                  </c15:fullRef>
                </c:ext>
              </c:extLst>
              <c:f>地域経済性計算シート!$D$546:$X$546</c:f>
              <c:numCache>
                <c:formatCode>#,##0_);[Red]\(#,##0\)</c:formatCode>
                <c:ptCount val="21"/>
                <c:pt idx="0">
                  <c:v>0</c:v>
                </c:pt>
                <c:pt idx="1">
                  <c:v>9.723504809216001</c:v>
                </c:pt>
                <c:pt idx="2">
                  <c:v>9.723504809216001</c:v>
                </c:pt>
                <c:pt idx="3">
                  <c:v>9.723504809216001</c:v>
                </c:pt>
                <c:pt idx="4">
                  <c:v>9.723504809216001</c:v>
                </c:pt>
                <c:pt idx="5">
                  <c:v>9.723504809216001</c:v>
                </c:pt>
                <c:pt idx="6">
                  <c:v>9.723504809216001</c:v>
                </c:pt>
                <c:pt idx="7">
                  <c:v>9.723504809216001</c:v>
                </c:pt>
                <c:pt idx="8">
                  <c:v>9.723504809216001</c:v>
                </c:pt>
                <c:pt idx="9">
                  <c:v>9.723504809216001</c:v>
                </c:pt>
                <c:pt idx="10">
                  <c:v>9.723504809216001</c:v>
                </c:pt>
                <c:pt idx="11">
                  <c:v>9.723504809216001</c:v>
                </c:pt>
                <c:pt idx="12">
                  <c:v>9.723504809216001</c:v>
                </c:pt>
                <c:pt idx="13">
                  <c:v>9.723504809216001</c:v>
                </c:pt>
                <c:pt idx="14">
                  <c:v>9.723504809216001</c:v>
                </c:pt>
                <c:pt idx="15">
                  <c:v>9.723504809216001</c:v>
                </c:pt>
                <c:pt idx="16">
                  <c:v>9.723504809216001</c:v>
                </c:pt>
                <c:pt idx="17">
                  <c:v>9.723504809216001</c:v>
                </c:pt>
                <c:pt idx="18">
                  <c:v>9.723504809216001</c:v>
                </c:pt>
                <c:pt idx="19">
                  <c:v>9.723504809216001</c:v>
                </c:pt>
                <c:pt idx="20">
                  <c:v>9.723504809216001</c:v>
                </c:pt>
              </c:numCache>
            </c:numRef>
          </c:val>
          <c:extLst xmlns:c15="http://schemas.microsoft.com/office/drawing/2012/chart">
            <c:ext xmlns:c16="http://schemas.microsoft.com/office/drawing/2014/chart" uri="{C3380CC4-5D6E-409C-BE32-E72D297353CC}">
              <c16:uniqueId val="{00000004-AD71-420A-926F-B836374D7410}"/>
            </c:ext>
          </c:extLst>
        </c:ser>
        <c:ser>
          <c:idx val="2"/>
          <c:order val="6"/>
          <c:tx>
            <c:strRef>
              <c:f>地域経済性計算シート!$C$545</c:f>
              <c:strCache>
                <c:ptCount val="1"/>
                <c:pt idx="0">
                  <c:v>②建設関連の
地域内事業者利益</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地域経済性計算シート!$D$545:$AH$545</c15:sqref>
                  </c15:fullRef>
                </c:ext>
              </c:extLst>
              <c:f>地域経済性計算シート!$D$545:$X$545</c:f>
              <c:numCache>
                <c:formatCode>#,##0_);[Red]\(#,##0\)</c:formatCode>
                <c:ptCount val="21"/>
                <c:pt idx="0">
                  <c:v>66.533804045784834</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AD71-420A-926F-B836374D7410}"/>
            </c:ext>
          </c:extLst>
        </c:ser>
        <c:ser>
          <c:idx val="1"/>
          <c:order val="7"/>
          <c:tx>
            <c:strRef>
              <c:f>地域経済性計算シート!$C$543</c:f>
              <c:strCache>
                <c:ptCount val="1"/>
                <c:pt idx="0">
                  <c:v>バイオマス事業における
キャッシュフロー</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地域経済性計算シート!$D$543:$AH$543</c15:sqref>
                  </c15:fullRef>
                </c:ext>
              </c:extLst>
              <c:f>地域経済性計算シート!$D$543:$X$543</c:f>
              <c:numCache>
                <c:formatCode>#,##0_);[Red]\(#,##0\)</c:formatCode>
                <c:ptCount val="21"/>
                <c:pt idx="0">
                  <c:v>-4820.1912416296973</c:v>
                </c:pt>
                <c:pt idx="1">
                  <c:v>376.81985522397559</c:v>
                </c:pt>
                <c:pt idx="2">
                  <c:v>379.49252442032133</c:v>
                </c:pt>
                <c:pt idx="3">
                  <c:v>382.16519361666707</c:v>
                </c:pt>
                <c:pt idx="4">
                  <c:v>384.83786281301275</c:v>
                </c:pt>
                <c:pt idx="5">
                  <c:v>387.51053200935854</c:v>
                </c:pt>
                <c:pt idx="6">
                  <c:v>390.18320120570422</c:v>
                </c:pt>
                <c:pt idx="7">
                  <c:v>392.85587040204996</c:v>
                </c:pt>
                <c:pt idx="8">
                  <c:v>395.5285395983957</c:v>
                </c:pt>
                <c:pt idx="9">
                  <c:v>398.20120879474143</c:v>
                </c:pt>
                <c:pt idx="10">
                  <c:v>400.87387799108717</c:v>
                </c:pt>
                <c:pt idx="11">
                  <c:v>403.54654718743291</c:v>
                </c:pt>
                <c:pt idx="12">
                  <c:v>406.21921638377864</c:v>
                </c:pt>
                <c:pt idx="13">
                  <c:v>408.89188558012432</c:v>
                </c:pt>
                <c:pt idx="14">
                  <c:v>411.56455477647006</c:v>
                </c:pt>
                <c:pt idx="15">
                  <c:v>414.2372239728158</c:v>
                </c:pt>
                <c:pt idx="16">
                  <c:v>344.60702454471607</c:v>
                </c:pt>
                <c:pt idx="17">
                  <c:v>344.91780003266331</c:v>
                </c:pt>
                <c:pt idx="18">
                  <c:v>345.22857552061043</c:v>
                </c:pt>
                <c:pt idx="19">
                  <c:v>345.53935100855762</c:v>
                </c:pt>
                <c:pt idx="20">
                  <c:v>345.8501264965048</c:v>
                </c:pt>
              </c:numCache>
            </c:numRef>
          </c:val>
          <c:extLst>
            <c:ext xmlns:c16="http://schemas.microsoft.com/office/drawing/2014/chart" uri="{C3380CC4-5D6E-409C-BE32-E72D297353CC}">
              <c16:uniqueId val="{00000006-AD71-420A-926F-B836374D7410}"/>
            </c:ext>
          </c:extLst>
        </c:ser>
        <c:dLbls>
          <c:showLegendKey val="0"/>
          <c:showVal val="0"/>
          <c:showCatName val="0"/>
          <c:showSerName val="0"/>
          <c:showPercent val="0"/>
          <c:showBubbleSize val="0"/>
        </c:dLbls>
        <c:gapWidth val="150"/>
        <c:overlap val="100"/>
        <c:axId val="180104056"/>
        <c:axId val="180104448"/>
      </c:barChart>
      <c:lineChart>
        <c:grouping val="standard"/>
        <c:varyColors val="0"/>
        <c:ser>
          <c:idx val="8"/>
          <c:order val="8"/>
          <c:tx>
            <c:strRef>
              <c:f>地域経済性計算シート!$C$552</c:f>
              <c:strCache>
                <c:ptCount val="1"/>
                <c:pt idx="0">
                  <c:v>地域経済効果を踏まえた
キャッシュフロー</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地域経済性計算シート!$D$552:$AH$552</c15:sqref>
                  </c15:fullRef>
                </c:ext>
              </c:extLst>
              <c:f>地域経済性計算シート!$D$552:$X$552</c:f>
              <c:numCache>
                <c:formatCode>#,##0_);[Red]\(#,##0\)</c:formatCode>
                <c:ptCount val="21"/>
                <c:pt idx="0">
                  <c:v>-4517.4245773032462</c:v>
                </c:pt>
                <c:pt idx="1">
                  <c:v>589.94005001970959</c:v>
                </c:pt>
                <c:pt idx="2">
                  <c:v>588.95409342919004</c:v>
                </c:pt>
                <c:pt idx="3">
                  <c:v>587.96813683867038</c:v>
                </c:pt>
                <c:pt idx="4">
                  <c:v>586.98218024815083</c:v>
                </c:pt>
                <c:pt idx="5">
                  <c:v>585.99622365763116</c:v>
                </c:pt>
                <c:pt idx="6">
                  <c:v>585.01026706711161</c:v>
                </c:pt>
                <c:pt idx="7">
                  <c:v>584.02431047659195</c:v>
                </c:pt>
                <c:pt idx="8">
                  <c:v>583.0383538860724</c:v>
                </c:pt>
                <c:pt idx="9">
                  <c:v>582.05239729555274</c:v>
                </c:pt>
                <c:pt idx="10">
                  <c:v>581.06644070503319</c:v>
                </c:pt>
                <c:pt idx="11">
                  <c:v>580.08048411451352</c:v>
                </c:pt>
                <c:pt idx="12">
                  <c:v>579.09452752399397</c:v>
                </c:pt>
                <c:pt idx="13">
                  <c:v>578.10857093347431</c:v>
                </c:pt>
                <c:pt idx="14">
                  <c:v>577.12261434295476</c:v>
                </c:pt>
                <c:pt idx="15">
                  <c:v>576.1366577524351</c:v>
                </c:pt>
                <c:pt idx="16">
                  <c:v>512.91423863742205</c:v>
                </c:pt>
                <c:pt idx="17">
                  <c:v>512.79959252224535</c:v>
                </c:pt>
                <c:pt idx="18">
                  <c:v>512.68494640706865</c:v>
                </c:pt>
                <c:pt idx="19">
                  <c:v>512.57030029189195</c:v>
                </c:pt>
                <c:pt idx="20">
                  <c:v>512.45565417671526</c:v>
                </c:pt>
              </c:numCache>
            </c:numRef>
          </c:val>
          <c:smooth val="0"/>
          <c:extLst>
            <c:ext xmlns:c16="http://schemas.microsoft.com/office/drawing/2014/chart" uri="{C3380CC4-5D6E-409C-BE32-E72D297353CC}">
              <c16:uniqueId val="{00000008-AD71-420A-926F-B836374D7410}"/>
            </c:ext>
          </c:extLst>
        </c:ser>
        <c:ser>
          <c:idx val="0"/>
          <c:order val="9"/>
          <c:tx>
            <c:strRef>
              <c:f>地域経済性計算シート!$C$553</c:f>
              <c:strCache>
                <c:ptCount val="1"/>
                <c:pt idx="0">
                  <c:v>初期投資支出ー地域内経済効果を踏まえた累積収支</c:v>
                </c:pt>
              </c:strCache>
            </c:strRef>
          </c:tx>
          <c:spPr>
            <a:ln w="28575" cap="rnd">
              <a:solidFill>
                <a:schemeClr val="accent2"/>
              </a:solidFill>
              <a:round/>
            </a:ln>
            <a:effectLst/>
          </c:spPr>
          <c:marker>
            <c:symbol val="none"/>
          </c:marker>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地域経済性計算シート!$D$553:$AH$553</c15:sqref>
                  </c15:fullRef>
                </c:ext>
              </c:extLst>
              <c:f>地域経済性計算シート!$D$553:$X$553</c:f>
              <c:numCache>
                <c:formatCode>#,##0_);[Red]\(#,##0\)</c:formatCode>
                <c:ptCount val="21"/>
                <c:pt idx="0">
                  <c:v>-4517.4245773032462</c:v>
                </c:pt>
                <c:pt idx="1">
                  <c:v>-3927.4845272835364</c:v>
                </c:pt>
                <c:pt idx="2">
                  <c:v>-3338.5304338543465</c:v>
                </c:pt>
                <c:pt idx="3">
                  <c:v>-2750.562297015676</c:v>
                </c:pt>
                <c:pt idx="4">
                  <c:v>-2163.5801167675254</c:v>
                </c:pt>
                <c:pt idx="5">
                  <c:v>-1577.5838931098942</c:v>
                </c:pt>
                <c:pt idx="6">
                  <c:v>-992.57362604278262</c:v>
                </c:pt>
                <c:pt idx="7">
                  <c:v>-408.54931556619067</c:v>
                </c:pt>
                <c:pt idx="8">
                  <c:v>174.48903831988173</c:v>
                </c:pt>
                <c:pt idx="9">
                  <c:v>756.54143561543447</c:v>
                </c:pt>
                <c:pt idx="10">
                  <c:v>1337.6078763204678</c:v>
                </c:pt>
                <c:pt idx="11">
                  <c:v>1917.6883604349814</c:v>
                </c:pt>
                <c:pt idx="12">
                  <c:v>2496.7828879589752</c:v>
                </c:pt>
                <c:pt idx="13">
                  <c:v>3074.8914588924495</c:v>
                </c:pt>
                <c:pt idx="14">
                  <c:v>3652.0140732354043</c:v>
                </c:pt>
                <c:pt idx="15">
                  <c:v>4228.1507309878398</c:v>
                </c:pt>
                <c:pt idx="16">
                  <c:v>4741.0649696252622</c:v>
                </c:pt>
                <c:pt idx="17">
                  <c:v>5253.864562147508</c:v>
                </c:pt>
                <c:pt idx="18">
                  <c:v>5766.5495085545763</c:v>
                </c:pt>
                <c:pt idx="19">
                  <c:v>6279.119808846468</c:v>
                </c:pt>
                <c:pt idx="20">
                  <c:v>6791.5754630231831</c:v>
                </c:pt>
              </c:numCache>
            </c:numRef>
          </c:val>
          <c:smooth val="0"/>
          <c:extLst>
            <c:ext xmlns:c16="http://schemas.microsoft.com/office/drawing/2014/chart" uri="{C3380CC4-5D6E-409C-BE32-E72D297353CC}">
              <c16:uniqueId val="{00000009-AD71-420A-926F-B836374D7410}"/>
            </c:ext>
          </c:extLst>
        </c:ser>
        <c:dLbls>
          <c:showLegendKey val="0"/>
          <c:showVal val="0"/>
          <c:showCatName val="0"/>
          <c:showSerName val="0"/>
          <c:showPercent val="0"/>
          <c:showBubbleSize val="0"/>
        </c:dLbls>
        <c:marker val="1"/>
        <c:smooth val="0"/>
        <c:axId val="180104056"/>
        <c:axId val="180104448"/>
      </c:lineChart>
      <c:catAx>
        <c:axId val="180104056"/>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104448"/>
        <c:crosses val="autoZero"/>
        <c:auto val="1"/>
        <c:lblAlgn val="ctr"/>
        <c:lblOffset val="100"/>
        <c:noMultiLvlLbl val="0"/>
      </c:catAx>
      <c:valAx>
        <c:axId val="18010444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104056"/>
        <c:crosses val="autoZero"/>
        <c:crossBetween val="between"/>
      </c:valAx>
      <c:spPr>
        <a:noFill/>
        <a:ln>
          <a:noFill/>
        </a:ln>
        <a:effectLst/>
      </c:spPr>
    </c:plotArea>
    <c:legend>
      <c:legendPos val="r"/>
      <c:layout>
        <c:manualLayout>
          <c:xMode val="edge"/>
          <c:yMode val="edge"/>
          <c:x val="0.78412242157963763"/>
          <c:y val="3.7843721798930557E-2"/>
          <c:w val="0.20703941241391766"/>
          <c:h val="0.9621562782010694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48084848533921E-2"/>
          <c:y val="2.9741239037630526E-2"/>
          <c:w val="0.67716657998373064"/>
          <c:h val="0.84694815882487151"/>
        </c:manualLayout>
      </c:layout>
      <c:barChart>
        <c:barDir val="col"/>
        <c:grouping val="stacked"/>
        <c:varyColors val="0"/>
        <c:ser>
          <c:idx val="1"/>
          <c:order val="0"/>
          <c:tx>
            <c:strRef>
              <c:f>地域経済性計算シート!$C$565</c:f>
              <c:strCache>
                <c:ptCount val="1"/>
                <c:pt idx="0">
                  <c:v>⑧需要家のエネルギー
費用低減効果</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地域経済性計算シート!$D$565:$AH$565</c15:sqref>
                  </c15:fullRef>
                </c:ext>
              </c:extLst>
              <c:f>地域経済性計算シート!$D$565:$X$565</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6-628E-47BF-BA75-611E3864FA81}"/>
            </c:ext>
          </c:extLst>
        </c:ser>
        <c:ser>
          <c:idx val="2"/>
          <c:order val="1"/>
          <c:tx>
            <c:strRef>
              <c:f>地域経済性計算シート!$C$564</c:f>
              <c:strCache>
                <c:ptCount val="1"/>
                <c:pt idx="0">
                  <c:v>⑦バイオマス原料
提供者経済効果</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地域経済性計算シート!$D$564:$AH$564</c15:sqref>
                  </c15:fullRef>
                </c:ext>
              </c:extLst>
              <c:f>地域経済性計算シート!$D$564:$X$564</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628E-47BF-BA75-611E3864FA81}"/>
            </c:ext>
          </c:extLst>
        </c:ser>
        <c:ser>
          <c:idx val="3"/>
          <c:order val="2"/>
          <c:tx>
            <c:strRef>
              <c:f>地域経済性計算シート!$C$563</c:f>
              <c:strCache>
                <c:ptCount val="1"/>
                <c:pt idx="0">
                  <c:v>⑥地域内金融機関
利息収入</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地域経済性計算シート!$D$563:$AH$563</c15:sqref>
                  </c15:fullRef>
                </c:ext>
              </c:extLst>
              <c:f>地域経済性計算シート!$D$563:$X$563</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4-628E-47BF-BA75-611E3864FA81}"/>
            </c:ext>
          </c:extLst>
        </c:ser>
        <c:ser>
          <c:idx val="4"/>
          <c:order val="3"/>
          <c:tx>
            <c:strRef>
              <c:f>地域経済性計算シート!$C$562</c:f>
              <c:strCache>
                <c:ptCount val="1"/>
                <c:pt idx="0">
                  <c:v>⑤自治体地方税</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地域経済性計算シート!$D$562:$AH$562</c15:sqref>
                  </c15:fullRef>
                </c:ext>
              </c:extLst>
              <c:f>地域経済性計算シート!$D$562:$X$562</c:f>
              <c:numCache>
                <c:formatCode>#,##0_);[Red]\(#,##0\)</c:formatCode>
                <c:ptCount val="21"/>
                <c:pt idx="0">
                  <c:v>67.687853137946092</c:v>
                </c:pt>
                <c:pt idx="1">
                  <c:v>192.01024182509866</c:v>
                </c:pt>
                <c:pt idx="2">
                  <c:v>312.67400472538588</c:v>
                </c:pt>
                <c:pt idx="3">
                  <c:v>429.67914183880777</c:v>
                </c:pt>
                <c:pt idx="4">
                  <c:v>543.02565316536436</c:v>
                </c:pt>
                <c:pt idx="5">
                  <c:v>652.7135387050555</c:v>
                </c:pt>
                <c:pt idx="6">
                  <c:v>758.74279845788135</c:v>
                </c:pt>
                <c:pt idx="7">
                  <c:v>861.11343242384191</c:v>
                </c:pt>
                <c:pt idx="8">
                  <c:v>959.82544060293708</c:v>
                </c:pt>
                <c:pt idx="9">
                  <c:v>1054.878822995167</c:v>
                </c:pt>
                <c:pt idx="10">
                  <c:v>1146.2735796005315</c:v>
                </c:pt>
                <c:pt idx="11">
                  <c:v>1234.0097104190306</c:v>
                </c:pt>
                <c:pt idx="12">
                  <c:v>1318.0872154506644</c:v>
                </c:pt>
                <c:pt idx="13">
                  <c:v>1398.5060946954329</c:v>
                </c:pt>
                <c:pt idx="14">
                  <c:v>1475.2663481533361</c:v>
                </c:pt>
                <c:pt idx="15">
                  <c:v>1548.3679758243741</c:v>
                </c:pt>
                <c:pt idx="16">
                  <c:v>1627.8773838084985</c:v>
                </c:pt>
                <c:pt idx="17">
                  <c:v>1706.9613701894991</c:v>
                </c:pt>
                <c:pt idx="18">
                  <c:v>1785.6199349673759</c:v>
                </c:pt>
                <c:pt idx="19">
                  <c:v>1863.8530781421287</c:v>
                </c:pt>
                <c:pt idx="20">
                  <c:v>1941.6607997137576</c:v>
                </c:pt>
              </c:numCache>
            </c:numRef>
          </c:val>
          <c:extLst xmlns:c15="http://schemas.microsoft.com/office/drawing/2012/chart">
            <c:ext xmlns:c16="http://schemas.microsoft.com/office/drawing/2014/chart" uri="{C3380CC4-5D6E-409C-BE32-E72D297353CC}">
              <c16:uniqueId val="{00000003-628E-47BF-BA75-611E3864FA81}"/>
            </c:ext>
          </c:extLst>
        </c:ser>
        <c:ser>
          <c:idx val="5"/>
          <c:order val="4"/>
          <c:tx>
            <c:strRef>
              <c:f>地域経済性計算シート!$C$561</c:f>
              <c:strCache>
                <c:ptCount val="1"/>
                <c:pt idx="0">
                  <c:v>④雇用効果
（従業員可処分所得）</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地域経済性計算シート!$D$561:$AH$561</c15:sqref>
                  </c15:fullRef>
                </c:ext>
              </c:extLst>
              <c:f>地域経済性計算シート!$D$561:$X$561</c:f>
              <c:numCache>
                <c:formatCode>#,##0_);[Red]\(#,##0\)</c:formatCode>
                <c:ptCount val="21"/>
                <c:pt idx="0">
                  <c:v>168.54500714272015</c:v>
                </c:pt>
                <c:pt idx="1">
                  <c:v>247.61930844208564</c:v>
                </c:pt>
                <c:pt idx="2">
                  <c:v>326.6936097414511</c:v>
                </c:pt>
                <c:pt idx="3">
                  <c:v>405.76791104081656</c:v>
                </c:pt>
                <c:pt idx="4">
                  <c:v>484.84221234018202</c:v>
                </c:pt>
                <c:pt idx="5">
                  <c:v>563.91651363954747</c:v>
                </c:pt>
                <c:pt idx="6">
                  <c:v>642.99081493891299</c:v>
                </c:pt>
                <c:pt idx="7">
                  <c:v>722.06511623827851</c:v>
                </c:pt>
                <c:pt idx="8">
                  <c:v>801.13941753764402</c:v>
                </c:pt>
                <c:pt idx="9">
                  <c:v>880.21371883700954</c:v>
                </c:pt>
                <c:pt idx="10">
                  <c:v>959.28802013637505</c:v>
                </c:pt>
                <c:pt idx="11">
                  <c:v>1038.3623214357406</c:v>
                </c:pt>
                <c:pt idx="12">
                  <c:v>1117.4366227351061</c:v>
                </c:pt>
                <c:pt idx="13">
                  <c:v>1196.5109240344716</c:v>
                </c:pt>
                <c:pt idx="14">
                  <c:v>1275.5852253338371</c:v>
                </c:pt>
                <c:pt idx="15">
                  <c:v>1354.6595266332026</c:v>
                </c:pt>
                <c:pt idx="16">
                  <c:v>1433.7338279325681</c:v>
                </c:pt>
                <c:pt idx="17">
                  <c:v>1512.8081292319337</c:v>
                </c:pt>
                <c:pt idx="18">
                  <c:v>1591.8824305312992</c:v>
                </c:pt>
                <c:pt idx="19">
                  <c:v>1670.9567318306647</c:v>
                </c:pt>
                <c:pt idx="20">
                  <c:v>1750.0310331300302</c:v>
                </c:pt>
              </c:numCache>
            </c:numRef>
          </c:val>
          <c:extLst xmlns:c15="http://schemas.microsoft.com/office/drawing/2012/chart">
            <c:ext xmlns:c16="http://schemas.microsoft.com/office/drawing/2014/chart" uri="{C3380CC4-5D6E-409C-BE32-E72D297353CC}">
              <c16:uniqueId val="{00000002-628E-47BF-BA75-611E3864FA81}"/>
            </c:ext>
          </c:extLst>
        </c:ser>
        <c:ser>
          <c:idx val="9"/>
          <c:order val="5"/>
          <c:tx>
            <c:strRef>
              <c:f>地域経済性計算シート!$C$560</c:f>
              <c:strCache>
                <c:ptCount val="1"/>
                <c:pt idx="0">
                  <c:v>③運転・維持関連の
地域内事業者利益</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地域経済性計算シート!$D$560:$AH$560</c15:sqref>
                  </c15:fullRef>
                </c:ext>
              </c:extLst>
              <c:f>地域経済性計算シート!$D$560:$X$560</c:f>
              <c:numCache>
                <c:formatCode>#,##0_);[Red]\(#,##0\)</c:formatCode>
                <c:ptCount val="21"/>
                <c:pt idx="0">
                  <c:v>0</c:v>
                </c:pt>
                <c:pt idx="1">
                  <c:v>9.723504809216001</c:v>
                </c:pt>
                <c:pt idx="2">
                  <c:v>19.447009618432002</c:v>
                </c:pt>
                <c:pt idx="3">
                  <c:v>29.170514427648001</c:v>
                </c:pt>
                <c:pt idx="4">
                  <c:v>38.894019236864004</c:v>
                </c:pt>
                <c:pt idx="5">
                  <c:v>48.617524046080007</c:v>
                </c:pt>
                <c:pt idx="6">
                  <c:v>58.34102885529601</c:v>
                </c:pt>
                <c:pt idx="7">
                  <c:v>68.064533664512012</c:v>
                </c:pt>
                <c:pt idx="8">
                  <c:v>77.788038473728008</c:v>
                </c:pt>
                <c:pt idx="9">
                  <c:v>87.511543282944004</c:v>
                </c:pt>
                <c:pt idx="10">
                  <c:v>97.23504809216</c:v>
                </c:pt>
                <c:pt idx="11">
                  <c:v>106.958552901376</c:v>
                </c:pt>
                <c:pt idx="12">
                  <c:v>116.68205771059199</c:v>
                </c:pt>
                <c:pt idx="13">
                  <c:v>126.40556251980799</c:v>
                </c:pt>
                <c:pt idx="14">
                  <c:v>136.129067329024</c:v>
                </c:pt>
                <c:pt idx="15">
                  <c:v>145.85257213823999</c:v>
                </c:pt>
                <c:pt idx="16">
                  <c:v>155.57607694745599</c:v>
                </c:pt>
                <c:pt idx="17">
                  <c:v>165.29958175667198</c:v>
                </c:pt>
                <c:pt idx="18">
                  <c:v>175.02308656588798</c:v>
                </c:pt>
                <c:pt idx="19">
                  <c:v>184.74659137510397</c:v>
                </c:pt>
                <c:pt idx="20">
                  <c:v>194.47009618431997</c:v>
                </c:pt>
              </c:numCache>
            </c:numRef>
          </c:val>
          <c:extLst>
            <c:ext xmlns:c16="http://schemas.microsoft.com/office/drawing/2014/chart" uri="{C3380CC4-5D6E-409C-BE32-E72D297353CC}">
              <c16:uniqueId val="{00000007-628E-47BF-BA75-611E3864FA81}"/>
            </c:ext>
          </c:extLst>
        </c:ser>
        <c:ser>
          <c:idx val="6"/>
          <c:order val="6"/>
          <c:tx>
            <c:strRef>
              <c:f>地域経済性計算シート!$C$559</c:f>
              <c:strCache>
                <c:ptCount val="1"/>
                <c:pt idx="0">
                  <c:v>②建設関連の
地域内事業者利益</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地域経済性計算シート!$D$559:$AH$559</c15:sqref>
                  </c15:fullRef>
                </c:ext>
              </c:extLst>
              <c:f>地域経済性計算シート!$D$559:$X$559</c:f>
              <c:numCache>
                <c:formatCode>#,##0_);[Red]\(#,##0\)</c:formatCode>
                <c:ptCount val="21"/>
                <c:pt idx="0">
                  <c:v>66.533804045784834</c:v>
                </c:pt>
                <c:pt idx="1">
                  <c:v>66.533804045784834</c:v>
                </c:pt>
                <c:pt idx="2">
                  <c:v>66.533804045784834</c:v>
                </c:pt>
                <c:pt idx="3">
                  <c:v>66.533804045784834</c:v>
                </c:pt>
                <c:pt idx="4">
                  <c:v>66.533804045784834</c:v>
                </c:pt>
                <c:pt idx="5">
                  <c:v>66.533804045784834</c:v>
                </c:pt>
                <c:pt idx="6">
                  <c:v>66.533804045784834</c:v>
                </c:pt>
                <c:pt idx="7">
                  <c:v>66.533804045784834</c:v>
                </c:pt>
                <c:pt idx="8">
                  <c:v>66.533804045784834</c:v>
                </c:pt>
                <c:pt idx="9">
                  <c:v>66.533804045784834</c:v>
                </c:pt>
                <c:pt idx="10">
                  <c:v>66.533804045784834</c:v>
                </c:pt>
                <c:pt idx="11">
                  <c:v>66.533804045784834</c:v>
                </c:pt>
                <c:pt idx="12">
                  <c:v>66.533804045784834</c:v>
                </c:pt>
                <c:pt idx="13">
                  <c:v>66.533804045784834</c:v>
                </c:pt>
                <c:pt idx="14">
                  <c:v>66.533804045784834</c:v>
                </c:pt>
                <c:pt idx="15">
                  <c:v>66.533804045784834</c:v>
                </c:pt>
                <c:pt idx="16">
                  <c:v>66.533804045784834</c:v>
                </c:pt>
                <c:pt idx="17">
                  <c:v>66.533804045784834</c:v>
                </c:pt>
                <c:pt idx="18">
                  <c:v>66.533804045784834</c:v>
                </c:pt>
                <c:pt idx="19">
                  <c:v>66.533804045784834</c:v>
                </c:pt>
                <c:pt idx="20">
                  <c:v>66.533804045784834</c:v>
                </c:pt>
              </c:numCache>
            </c:numRef>
          </c:val>
          <c:extLst xmlns:c15="http://schemas.microsoft.com/office/drawing/2012/chart">
            <c:ext xmlns:c16="http://schemas.microsoft.com/office/drawing/2014/chart" uri="{C3380CC4-5D6E-409C-BE32-E72D297353CC}">
              <c16:uniqueId val="{00000001-628E-47BF-BA75-611E3864FA81}"/>
            </c:ext>
          </c:extLst>
        </c:ser>
        <c:ser>
          <c:idx val="7"/>
          <c:order val="7"/>
          <c:tx>
            <c:strRef>
              <c:f>地域経済性計算シート!$C$558</c:f>
              <c:strCache>
                <c:ptCount val="1"/>
                <c:pt idx="0">
                  <c:v>①バイオマス事業利益
の地域内配当分</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地域経済性計算シート!$D$558:$AH$558</c15:sqref>
                  </c15:fullRef>
                </c:ext>
              </c:extLst>
              <c:f>地域経済性計算シート!$D$558:$X$558</c:f>
              <c:numCache>
                <c:formatCode>#,##0_);[Red]\(#,##0\)</c:formatCode>
                <c:ptCount val="21"/>
                <c:pt idx="0">
                  <c:v>-2410.0956208148486</c:v>
                </c:pt>
                <c:pt idx="1">
                  <c:v>-2221.6856932028609</c:v>
                </c:pt>
                <c:pt idx="2">
                  <c:v>-2031.9394309927002</c:v>
                </c:pt>
                <c:pt idx="3">
                  <c:v>-1840.8568341843666</c:v>
                </c:pt>
                <c:pt idx="4">
                  <c:v>-1648.4379027778602</c:v>
                </c:pt>
                <c:pt idx="5">
                  <c:v>-1454.682636773181</c:v>
                </c:pt>
                <c:pt idx="6">
                  <c:v>-1259.5910361703288</c:v>
                </c:pt>
                <c:pt idx="7">
                  <c:v>-1063.1631009693037</c:v>
                </c:pt>
                <c:pt idx="8">
                  <c:v>-865.39883117010595</c:v>
                </c:pt>
                <c:pt idx="9">
                  <c:v>-666.29822677273523</c:v>
                </c:pt>
                <c:pt idx="10">
                  <c:v>-465.86128777719165</c:v>
                </c:pt>
                <c:pt idx="11">
                  <c:v>-264.0880141834752</c:v>
                </c:pt>
                <c:pt idx="12">
                  <c:v>-60.978405991585873</c:v>
                </c:pt>
                <c:pt idx="13">
                  <c:v>143.46753679847629</c:v>
                </c:pt>
                <c:pt idx="14">
                  <c:v>349.24981418671132</c:v>
                </c:pt>
                <c:pt idx="15">
                  <c:v>556.36842617311925</c:v>
                </c:pt>
                <c:pt idx="16">
                  <c:v>728.67193844547728</c:v>
                </c:pt>
                <c:pt idx="17">
                  <c:v>901.13083846180893</c:v>
                </c:pt>
                <c:pt idx="18">
                  <c:v>1073.7451262221141</c:v>
                </c:pt>
                <c:pt idx="19">
                  <c:v>1246.514801726393</c:v>
                </c:pt>
                <c:pt idx="20">
                  <c:v>1419.4398649746454</c:v>
                </c:pt>
              </c:numCache>
            </c:numRef>
          </c:val>
          <c:extLst xmlns:c15="http://schemas.microsoft.com/office/drawing/2012/chart">
            <c:ext xmlns:c16="http://schemas.microsoft.com/office/drawing/2014/chart" uri="{C3380CC4-5D6E-409C-BE32-E72D297353CC}">
              <c16:uniqueId val="{00000000-628E-47BF-BA75-611E3864FA81}"/>
            </c:ext>
          </c:extLst>
        </c:ser>
        <c:ser>
          <c:idx val="8"/>
          <c:order val="8"/>
          <c:tx>
            <c:strRef>
              <c:f>地域経済性計算シート!$C$566</c:f>
              <c:strCache>
                <c:ptCount val="1"/>
                <c:pt idx="0">
                  <c:v>地域経済効果を踏まえた
キャッシュフロー</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地域経済性計算シート!$D$566:$AH$566</c15:sqref>
                  </c15:fullRef>
                </c:ext>
              </c:extLst>
              <c:f>地域経済性計算シート!$D$566:$X$566</c:f>
              <c:numCache>
                <c:formatCode>#,##0_);[Red]\(#,##0\)</c:formatCode>
                <c:ptCount val="21"/>
                <c:pt idx="0">
                  <c:v>-2107.3289564883971</c:v>
                </c:pt>
                <c:pt idx="1">
                  <c:v>-1705.7988340806755</c:v>
                </c:pt>
                <c:pt idx="2">
                  <c:v>-1306.5910028616463</c:v>
                </c:pt>
                <c:pt idx="3">
                  <c:v>-909.70546283130966</c:v>
                </c:pt>
                <c:pt idx="4">
                  <c:v>-515.14221398966504</c:v>
                </c:pt>
                <c:pt idx="5">
                  <c:v>-122.90125633671323</c:v>
                </c:pt>
                <c:pt idx="6">
                  <c:v>267.01741012754621</c:v>
                </c:pt>
                <c:pt idx="7">
                  <c:v>654.61378540311352</c:v>
                </c:pt>
                <c:pt idx="8">
                  <c:v>1039.8878694899879</c:v>
                </c:pt>
                <c:pt idx="9">
                  <c:v>1422.8396623881699</c:v>
                </c:pt>
                <c:pt idx="10">
                  <c:v>1803.4691640976598</c:v>
                </c:pt>
                <c:pt idx="11">
                  <c:v>2181.7763746184569</c:v>
                </c:pt>
                <c:pt idx="12">
                  <c:v>2557.7612939505616</c:v>
                </c:pt>
                <c:pt idx="13">
                  <c:v>2931.4239220939735</c:v>
                </c:pt>
                <c:pt idx="14">
                  <c:v>3302.7642590486935</c:v>
                </c:pt>
                <c:pt idx="15">
                  <c:v>3671.7823048147211</c:v>
                </c:pt>
                <c:pt idx="16">
                  <c:v>4012.3930311797844</c:v>
                </c:pt>
                <c:pt idx="17">
                  <c:v>4352.7337236856984</c:v>
                </c:pt>
                <c:pt idx="18">
                  <c:v>4692.8043823324624</c:v>
                </c:pt>
                <c:pt idx="19">
                  <c:v>5032.6050071200752</c:v>
                </c:pt>
                <c:pt idx="20">
                  <c:v>5372.1355980485387</c:v>
                </c:pt>
              </c:numCache>
            </c:numRef>
          </c:val>
          <c:extLst>
            <c:ext xmlns:c16="http://schemas.microsoft.com/office/drawing/2014/chart" uri="{C3380CC4-5D6E-409C-BE32-E72D297353CC}">
              <c16:uniqueId val="{00000008-628E-47BF-BA75-611E3864FA81}"/>
            </c:ext>
          </c:extLst>
        </c:ser>
        <c:dLbls>
          <c:showLegendKey val="0"/>
          <c:showVal val="0"/>
          <c:showCatName val="0"/>
          <c:showSerName val="0"/>
          <c:showPercent val="0"/>
          <c:showBubbleSize val="0"/>
        </c:dLbls>
        <c:gapWidth val="150"/>
        <c:overlap val="100"/>
        <c:axId val="180100920"/>
        <c:axId val="180101312"/>
      </c:barChart>
      <c:catAx>
        <c:axId val="18010092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101312"/>
        <c:crosses val="autoZero"/>
        <c:auto val="1"/>
        <c:lblAlgn val="ctr"/>
        <c:lblOffset val="100"/>
        <c:noMultiLvlLbl val="0"/>
      </c:catAx>
      <c:valAx>
        <c:axId val="18010131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0100920"/>
        <c:crosses val="autoZero"/>
        <c:crossBetween val="between"/>
      </c:valAx>
      <c:spPr>
        <a:noFill/>
        <a:ln>
          <a:noFill/>
        </a:ln>
        <a:effectLst/>
      </c:spPr>
    </c:plotArea>
    <c:legend>
      <c:legendPos val="r"/>
      <c:legendEntry>
        <c:idx val="0"/>
        <c:delete val="1"/>
      </c:legendEntry>
      <c:layout>
        <c:manualLayout>
          <c:xMode val="edge"/>
          <c:yMode val="edge"/>
          <c:x val="0.77786467875649046"/>
          <c:y val="3.7843803981180528E-2"/>
          <c:w val="0.21767793834422947"/>
          <c:h val="0.9621562782010694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70602373910401E-2"/>
          <c:y val="0.19645232580471861"/>
          <c:w val="0.90152532717354827"/>
          <c:h val="0.67521907445743612"/>
        </c:manualLayout>
      </c:layout>
      <c:barChart>
        <c:barDir val="col"/>
        <c:grouping val="stacked"/>
        <c:varyColors val="0"/>
        <c:ser>
          <c:idx val="1"/>
          <c:order val="0"/>
          <c:tx>
            <c:strRef>
              <c:f>計算シート!$B$236</c:f>
              <c:strCache>
                <c:ptCount val="1"/>
                <c:pt idx="0">
                  <c:v>売電収益</c:v>
                </c:pt>
              </c:strCache>
            </c:strRef>
          </c:tx>
          <c:spPr>
            <a:solidFill>
              <a:schemeClr val="accent2"/>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計算シート!$C$236:$W$236</c:f>
              <c:numCache>
                <c:formatCode>#,##0_);[Red]\(#,##0\)</c:formatCode>
                <c:ptCount val="21"/>
                <c:pt idx="0" formatCode="#,##0_ ;[Red]\-#,##0\ ">
                  <c:v>0</c:v>
                </c:pt>
                <c:pt idx="1">
                  <c:v>1222.404665625</c:v>
                </c:pt>
                <c:pt idx="2">
                  <c:v>1222.404665625</c:v>
                </c:pt>
                <c:pt idx="3">
                  <c:v>1222.404665625</c:v>
                </c:pt>
                <c:pt idx="4">
                  <c:v>1222.404665625</c:v>
                </c:pt>
                <c:pt idx="5">
                  <c:v>1222.404665625</c:v>
                </c:pt>
                <c:pt idx="6">
                  <c:v>1222.404665625</c:v>
                </c:pt>
                <c:pt idx="7">
                  <c:v>1222.404665625</c:v>
                </c:pt>
                <c:pt idx="8">
                  <c:v>1222.404665625</c:v>
                </c:pt>
                <c:pt idx="9">
                  <c:v>1222.404665625</c:v>
                </c:pt>
                <c:pt idx="10">
                  <c:v>1222.404665625</c:v>
                </c:pt>
                <c:pt idx="11">
                  <c:v>1222.404665625</c:v>
                </c:pt>
                <c:pt idx="12">
                  <c:v>1222.404665625</c:v>
                </c:pt>
                <c:pt idx="13">
                  <c:v>1222.404665625</c:v>
                </c:pt>
                <c:pt idx="14">
                  <c:v>1222.404665625</c:v>
                </c:pt>
                <c:pt idx="15">
                  <c:v>1222.404665625</c:v>
                </c:pt>
                <c:pt idx="16">
                  <c:v>1222.404665625</c:v>
                </c:pt>
                <c:pt idx="17">
                  <c:v>1222.404665625</c:v>
                </c:pt>
                <c:pt idx="18">
                  <c:v>1222.404665625</c:v>
                </c:pt>
                <c:pt idx="19">
                  <c:v>1222.404665625</c:v>
                </c:pt>
                <c:pt idx="20">
                  <c:v>1222.404665625</c:v>
                </c:pt>
              </c:numCache>
            </c:numRef>
          </c:val>
          <c:extLst>
            <c:ext xmlns:c16="http://schemas.microsoft.com/office/drawing/2014/chart" uri="{C3380CC4-5D6E-409C-BE32-E72D297353CC}">
              <c16:uniqueId val="{00000000-EBDF-4BBE-8F3C-E8A26D8A2068}"/>
            </c:ext>
          </c:extLst>
        </c:ser>
        <c:ser>
          <c:idx val="2"/>
          <c:order val="1"/>
          <c:tx>
            <c:strRef>
              <c:f>計算シート!$B$237</c:f>
              <c:strCache>
                <c:ptCount val="1"/>
                <c:pt idx="0">
                  <c:v>熱販売収益</c:v>
                </c:pt>
              </c:strCache>
            </c:strRef>
          </c:tx>
          <c:spPr>
            <a:solidFill>
              <a:schemeClr val="accent3"/>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計算シート!$C$237:$W$237</c:f>
              <c:numCache>
                <c:formatCode>#,##0_);[Red]\(#,##0\)</c:formatCode>
                <c:ptCount val="21"/>
                <c:pt idx="0" formatCode="#,##0_ ;[Red]\-#,##0\ ">
                  <c:v>0</c:v>
                </c:pt>
                <c:pt idx="1">
                  <c:v>261.19757812500001</c:v>
                </c:pt>
                <c:pt idx="2">
                  <c:v>261.19757812500001</c:v>
                </c:pt>
                <c:pt idx="3">
                  <c:v>261.19757812500001</c:v>
                </c:pt>
                <c:pt idx="4">
                  <c:v>261.19757812500001</c:v>
                </c:pt>
                <c:pt idx="5">
                  <c:v>261.19757812500001</c:v>
                </c:pt>
                <c:pt idx="6">
                  <c:v>261.19757812500001</c:v>
                </c:pt>
                <c:pt idx="7">
                  <c:v>261.19757812500001</c:v>
                </c:pt>
                <c:pt idx="8">
                  <c:v>261.19757812500001</c:v>
                </c:pt>
                <c:pt idx="9">
                  <c:v>261.19757812500001</c:v>
                </c:pt>
                <c:pt idx="10">
                  <c:v>261.19757812500001</c:v>
                </c:pt>
                <c:pt idx="11">
                  <c:v>261.19757812500001</c:v>
                </c:pt>
                <c:pt idx="12">
                  <c:v>261.19757812500001</c:v>
                </c:pt>
                <c:pt idx="13">
                  <c:v>261.19757812500001</c:v>
                </c:pt>
                <c:pt idx="14">
                  <c:v>261.19757812500001</c:v>
                </c:pt>
                <c:pt idx="15">
                  <c:v>261.19757812500001</c:v>
                </c:pt>
                <c:pt idx="16">
                  <c:v>261.19757812500001</c:v>
                </c:pt>
                <c:pt idx="17">
                  <c:v>261.19757812500001</c:v>
                </c:pt>
                <c:pt idx="18">
                  <c:v>261.19757812500001</c:v>
                </c:pt>
                <c:pt idx="19">
                  <c:v>261.19757812500001</c:v>
                </c:pt>
                <c:pt idx="20">
                  <c:v>261.19757812500001</c:v>
                </c:pt>
              </c:numCache>
            </c:numRef>
          </c:val>
          <c:extLst>
            <c:ext xmlns:c16="http://schemas.microsoft.com/office/drawing/2014/chart" uri="{C3380CC4-5D6E-409C-BE32-E72D297353CC}">
              <c16:uniqueId val="{00000001-EBDF-4BBE-8F3C-E8A26D8A2068}"/>
            </c:ext>
          </c:extLst>
        </c:ser>
        <c:ser>
          <c:idx val="12"/>
          <c:order val="2"/>
          <c:tx>
            <c:strRef>
              <c:f>計算シート!$B$243</c:f>
              <c:strCache>
                <c:ptCount val="1"/>
                <c:pt idx="0">
                  <c:v>補助金</c:v>
                </c:pt>
              </c:strCache>
            </c:strRef>
          </c:tx>
          <c:spPr>
            <a:solidFill>
              <a:schemeClr val="accent1">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計算シート!$C$243:$W$243</c:f>
              <c:numCache>
                <c:formatCode>#,##0_ ;[Red]\-#,##0\ </c:formatCode>
                <c:ptCount val="21"/>
                <c:pt idx="0">
                  <c:v>0</c:v>
                </c:pt>
                <c:pt idx="1">
                  <c:v>0</c:v>
                </c:pt>
                <c:pt idx="2" formatCode="#,##0_);[Red]\(#,##0\)">
                  <c:v>0</c:v>
                </c:pt>
                <c:pt idx="3" formatCode="#,##0_);[Red]\(#,##0\)">
                  <c:v>0</c:v>
                </c:pt>
                <c:pt idx="4" formatCode="#,##0_);[Red]\(#,##0\)">
                  <c:v>0</c:v>
                </c:pt>
                <c:pt idx="5" formatCode="#,##0_);[Red]\(#,##0\)">
                  <c:v>0</c:v>
                </c:pt>
                <c:pt idx="6" formatCode="#,##0_);[Red]\(#,##0\)">
                  <c:v>0</c:v>
                </c:pt>
                <c:pt idx="7" formatCode="#,##0_);[Red]\(#,##0\)">
                  <c:v>0</c:v>
                </c:pt>
                <c:pt idx="8" formatCode="#,##0_);[Red]\(#,##0\)">
                  <c:v>0</c:v>
                </c:pt>
                <c:pt idx="9" formatCode="#,##0_);[Red]\(#,##0\)">
                  <c:v>0</c:v>
                </c:pt>
                <c:pt idx="10" formatCode="#,##0_);[Red]\(#,##0\)">
                  <c:v>0</c:v>
                </c:pt>
                <c:pt idx="11" formatCode="#,##0_);[Red]\(#,##0\)">
                  <c:v>0</c:v>
                </c:pt>
                <c:pt idx="12" formatCode="#,##0_);[Red]\(#,##0\)">
                  <c:v>0</c:v>
                </c:pt>
                <c:pt idx="13" formatCode="#,##0_);[Red]\(#,##0\)">
                  <c:v>0</c:v>
                </c:pt>
                <c:pt idx="14" formatCode="#,##0_);[Red]\(#,##0\)">
                  <c:v>0</c:v>
                </c:pt>
                <c:pt idx="15" formatCode="#,##0_);[Red]\(#,##0\)">
                  <c:v>0</c:v>
                </c:pt>
                <c:pt idx="16" formatCode="#,##0_);[Red]\(#,##0\)">
                  <c:v>0</c:v>
                </c:pt>
                <c:pt idx="17" formatCode="#,##0_);[Red]\(#,##0\)">
                  <c:v>0</c:v>
                </c:pt>
                <c:pt idx="18" formatCode="#,##0_);[Red]\(#,##0\)">
                  <c:v>0</c:v>
                </c:pt>
                <c:pt idx="19" formatCode="#,##0_);[Red]\(#,##0\)">
                  <c:v>0</c:v>
                </c:pt>
                <c:pt idx="20" formatCode="#,##0_);[Red]\(#,##0\)">
                  <c:v>0</c:v>
                </c:pt>
              </c:numCache>
            </c:numRef>
          </c:val>
          <c:extLst>
            <c:ext xmlns:c16="http://schemas.microsoft.com/office/drawing/2014/chart" uri="{C3380CC4-5D6E-409C-BE32-E72D297353CC}">
              <c16:uniqueId val="{00000003-EBDF-4BBE-8F3C-E8A26D8A2068}"/>
            </c:ext>
          </c:extLst>
        </c:ser>
        <c:ser>
          <c:idx val="17"/>
          <c:order val="3"/>
          <c:tx>
            <c:strRef>
              <c:f>計算シート!$B$244</c:f>
              <c:strCache>
                <c:ptCount val="1"/>
                <c:pt idx="0">
                  <c:v>燃料費</c:v>
                </c:pt>
              </c:strCache>
            </c:strRef>
          </c:tx>
          <c:spPr>
            <a:solidFill>
              <a:schemeClr val="accent6">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計算シート!$C$244:$W$244</c:f>
              <c:numCache>
                <c:formatCode>#,##0_);[Red]\(#,##0\)</c:formatCode>
                <c:ptCount val="21"/>
                <c:pt idx="0" formatCode="General">
                  <c:v>0</c:v>
                </c:pt>
                <c:pt idx="1">
                  <c:v>-495</c:v>
                </c:pt>
                <c:pt idx="2">
                  <c:v>-495</c:v>
                </c:pt>
                <c:pt idx="3">
                  <c:v>-495</c:v>
                </c:pt>
                <c:pt idx="4">
                  <c:v>-495</c:v>
                </c:pt>
                <c:pt idx="5">
                  <c:v>-495</c:v>
                </c:pt>
                <c:pt idx="6">
                  <c:v>-495</c:v>
                </c:pt>
                <c:pt idx="7">
                  <c:v>-495</c:v>
                </c:pt>
                <c:pt idx="8">
                  <c:v>-495</c:v>
                </c:pt>
                <c:pt idx="9">
                  <c:v>-495</c:v>
                </c:pt>
                <c:pt idx="10">
                  <c:v>-495</c:v>
                </c:pt>
                <c:pt idx="11">
                  <c:v>-495</c:v>
                </c:pt>
                <c:pt idx="12">
                  <c:v>-495</c:v>
                </c:pt>
                <c:pt idx="13">
                  <c:v>-495</c:v>
                </c:pt>
                <c:pt idx="14">
                  <c:v>-495</c:v>
                </c:pt>
                <c:pt idx="15">
                  <c:v>-495</c:v>
                </c:pt>
                <c:pt idx="16">
                  <c:v>-495</c:v>
                </c:pt>
                <c:pt idx="17">
                  <c:v>-495</c:v>
                </c:pt>
                <c:pt idx="18">
                  <c:v>-495</c:v>
                </c:pt>
                <c:pt idx="19">
                  <c:v>-495</c:v>
                </c:pt>
                <c:pt idx="20">
                  <c:v>-495</c:v>
                </c:pt>
              </c:numCache>
            </c:numRef>
          </c:val>
          <c:extLst>
            <c:ext xmlns:c16="http://schemas.microsoft.com/office/drawing/2014/chart" uri="{C3380CC4-5D6E-409C-BE32-E72D297353CC}">
              <c16:uniqueId val="{00000004-EBDF-4BBE-8F3C-E8A26D8A2068}"/>
            </c:ext>
          </c:extLst>
        </c:ser>
        <c:ser>
          <c:idx val="22"/>
          <c:order val="4"/>
          <c:tx>
            <c:strRef>
              <c:f>計算シート!$B$245</c:f>
              <c:strCache>
                <c:ptCount val="1"/>
                <c:pt idx="0">
                  <c:v>設備費用</c:v>
                </c:pt>
              </c:strCache>
            </c:strRef>
          </c:tx>
          <c:spPr>
            <a:solidFill>
              <a:schemeClr val="accent5">
                <a:lumMod val="8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計算シート!$C$245:$W$245</c:f>
              <c:numCache>
                <c:formatCode>#,##0_);[Red]\(#,##0\)</c:formatCode>
                <c:ptCount val="21"/>
                <c:pt idx="0" formatCode="#,##0_ ;[Red]\-#,##0\ ">
                  <c:v>-3615.1434312222727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EBDF-4BBE-8F3C-E8A26D8A2068}"/>
            </c:ext>
          </c:extLst>
        </c:ser>
        <c:ser>
          <c:idx val="26"/>
          <c:order val="5"/>
          <c:tx>
            <c:strRef>
              <c:f>計算シート!$B$246</c:f>
              <c:strCache>
                <c:ptCount val="1"/>
                <c:pt idx="0">
                  <c:v>工事費</c:v>
                </c:pt>
              </c:strCache>
            </c:strRef>
          </c:tx>
          <c:spPr>
            <a:solidFill>
              <a:schemeClr val="accent3">
                <a:lumMod val="60000"/>
                <a:lumOff val="4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計算シート!$C$246:$W$246</c:f>
              <c:numCache>
                <c:formatCode>#,##0_);[Red]\(#,##0\)</c:formatCode>
                <c:ptCount val="21"/>
                <c:pt idx="0" formatCode="#,##0_ ;[Red]\-#,##0\ ">
                  <c:v>-1205.0478104074243</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6-EBDF-4BBE-8F3C-E8A26D8A2068}"/>
            </c:ext>
          </c:extLst>
        </c:ser>
        <c:ser>
          <c:idx val="27"/>
          <c:order val="6"/>
          <c:tx>
            <c:strRef>
              <c:f>計算シート!$B$247</c:f>
              <c:strCache>
                <c:ptCount val="1"/>
                <c:pt idx="0">
                  <c:v>ユーティリティー費用</c:v>
                </c:pt>
              </c:strCache>
            </c:strRef>
          </c:tx>
          <c:spPr>
            <a:solidFill>
              <a:schemeClr val="accent4">
                <a:lumMod val="60000"/>
                <a:lumOff val="4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計算シート!$C$247:$W$247</c:f>
              <c:numCache>
                <c:formatCode>#,##0_);[Red]\(#,##0\)</c:formatCode>
                <c:ptCount val="21"/>
                <c:pt idx="0" formatCode="#,##0_ ;[Red]\-#,##0\ ">
                  <c:v>0</c:v>
                </c:pt>
                <c:pt idx="1">
                  <c:v>-84.281810798385692</c:v>
                </c:pt>
                <c:pt idx="2">
                  <c:v>-84.281810798385692</c:v>
                </c:pt>
                <c:pt idx="3">
                  <c:v>-84.281810798385692</c:v>
                </c:pt>
                <c:pt idx="4">
                  <c:v>-84.281810798385692</c:v>
                </c:pt>
                <c:pt idx="5">
                  <c:v>-84.281810798385692</c:v>
                </c:pt>
                <c:pt idx="6">
                  <c:v>-84.281810798385692</c:v>
                </c:pt>
                <c:pt idx="7">
                  <c:v>-84.281810798385692</c:v>
                </c:pt>
                <c:pt idx="8">
                  <c:v>-84.281810798385692</c:v>
                </c:pt>
                <c:pt idx="9">
                  <c:v>-84.281810798385692</c:v>
                </c:pt>
                <c:pt idx="10">
                  <c:v>-84.281810798385692</c:v>
                </c:pt>
                <c:pt idx="11">
                  <c:v>-84.281810798385692</c:v>
                </c:pt>
                <c:pt idx="12">
                  <c:v>-84.281810798385692</c:v>
                </c:pt>
                <c:pt idx="13">
                  <c:v>-84.281810798385692</c:v>
                </c:pt>
                <c:pt idx="14">
                  <c:v>-84.281810798385692</c:v>
                </c:pt>
                <c:pt idx="15">
                  <c:v>-84.281810798385692</c:v>
                </c:pt>
                <c:pt idx="16">
                  <c:v>-84.281810798385692</c:v>
                </c:pt>
                <c:pt idx="17">
                  <c:v>-84.281810798385692</c:v>
                </c:pt>
                <c:pt idx="18">
                  <c:v>-84.281810798385692</c:v>
                </c:pt>
                <c:pt idx="19">
                  <c:v>-84.281810798385692</c:v>
                </c:pt>
                <c:pt idx="20">
                  <c:v>-84.281810798385692</c:v>
                </c:pt>
              </c:numCache>
            </c:numRef>
          </c:val>
          <c:extLst>
            <c:ext xmlns:c16="http://schemas.microsoft.com/office/drawing/2014/chart" uri="{C3380CC4-5D6E-409C-BE32-E72D297353CC}">
              <c16:uniqueId val="{00000007-EBDF-4BBE-8F3C-E8A26D8A2068}"/>
            </c:ext>
          </c:extLst>
        </c:ser>
        <c:ser>
          <c:idx val="0"/>
          <c:order val="7"/>
          <c:tx>
            <c:strRef>
              <c:f>計算シート!$B$248</c:f>
              <c:strCache>
                <c:ptCount val="1"/>
                <c:pt idx="0">
                  <c:v>灰処理費用</c:v>
                </c:pt>
              </c:strCache>
            </c:strRef>
          </c:tx>
          <c:spPr>
            <a:solidFill>
              <a:schemeClr val="accent1"/>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計算シート!$C$248:$W$248</c:f>
              <c:numCache>
                <c:formatCode>#,##0_);[Red]\(#,##0\)</c:formatCode>
                <c:ptCount val="21"/>
                <c:pt idx="0" formatCode="#,##0_ ;[Red]\-#,##0\ ">
                  <c:v>0</c:v>
                </c:pt>
                <c:pt idx="1">
                  <c:v>-60.201293427418356</c:v>
                </c:pt>
                <c:pt idx="2">
                  <c:v>-60.201293427418356</c:v>
                </c:pt>
                <c:pt idx="3">
                  <c:v>-60.201293427418356</c:v>
                </c:pt>
                <c:pt idx="4">
                  <c:v>-60.201293427418356</c:v>
                </c:pt>
                <c:pt idx="5">
                  <c:v>-60.201293427418356</c:v>
                </c:pt>
                <c:pt idx="6">
                  <c:v>-60.201293427418356</c:v>
                </c:pt>
                <c:pt idx="7">
                  <c:v>-60.201293427418356</c:v>
                </c:pt>
                <c:pt idx="8">
                  <c:v>-60.201293427418356</c:v>
                </c:pt>
                <c:pt idx="9">
                  <c:v>-60.201293427418356</c:v>
                </c:pt>
                <c:pt idx="10">
                  <c:v>-60.201293427418356</c:v>
                </c:pt>
                <c:pt idx="11">
                  <c:v>-60.201293427418356</c:v>
                </c:pt>
                <c:pt idx="12">
                  <c:v>-60.201293427418356</c:v>
                </c:pt>
                <c:pt idx="13">
                  <c:v>-60.201293427418356</c:v>
                </c:pt>
                <c:pt idx="14">
                  <c:v>-60.201293427418356</c:v>
                </c:pt>
                <c:pt idx="15">
                  <c:v>-60.201293427418356</c:v>
                </c:pt>
                <c:pt idx="16">
                  <c:v>-60.201293427418356</c:v>
                </c:pt>
                <c:pt idx="17">
                  <c:v>-60.201293427418356</c:v>
                </c:pt>
                <c:pt idx="18">
                  <c:v>-60.201293427418356</c:v>
                </c:pt>
                <c:pt idx="19">
                  <c:v>-60.201293427418356</c:v>
                </c:pt>
                <c:pt idx="20">
                  <c:v>-60.201293427418356</c:v>
                </c:pt>
              </c:numCache>
            </c:numRef>
          </c:val>
          <c:extLst>
            <c:ext xmlns:c16="http://schemas.microsoft.com/office/drawing/2014/chart" uri="{C3380CC4-5D6E-409C-BE32-E72D297353CC}">
              <c16:uniqueId val="{00000008-EBDF-4BBE-8F3C-E8A26D8A2068}"/>
            </c:ext>
          </c:extLst>
        </c:ser>
        <c:ser>
          <c:idx val="13"/>
          <c:order val="8"/>
          <c:tx>
            <c:strRef>
              <c:f>計算シート!$B$253</c:f>
              <c:strCache>
                <c:ptCount val="1"/>
                <c:pt idx="0">
                  <c:v>メンテナンス費</c:v>
                </c:pt>
              </c:strCache>
            </c:strRef>
          </c:tx>
          <c:spPr>
            <a:solidFill>
              <a:schemeClr val="accent2">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計算シート!$C$253:$W$253</c:f>
              <c:numCache>
                <c:formatCode>#,##0_);[Red]\(#,##0\)</c:formatCode>
                <c:ptCount val="21"/>
                <c:pt idx="0" formatCode="#,##0_ ;[Red]\-#,##0\ ">
                  <c:v>0</c:v>
                </c:pt>
                <c:pt idx="1">
                  <c:v>-72.241552112902028</c:v>
                </c:pt>
                <c:pt idx="2">
                  <c:v>-72.241552112902028</c:v>
                </c:pt>
                <c:pt idx="3">
                  <c:v>-72.241552112902028</c:v>
                </c:pt>
                <c:pt idx="4">
                  <c:v>-72.241552112902028</c:v>
                </c:pt>
                <c:pt idx="5">
                  <c:v>-72.241552112902028</c:v>
                </c:pt>
                <c:pt idx="6">
                  <c:v>-72.241552112902028</c:v>
                </c:pt>
                <c:pt idx="7">
                  <c:v>-72.241552112902028</c:v>
                </c:pt>
                <c:pt idx="8">
                  <c:v>-72.241552112902028</c:v>
                </c:pt>
                <c:pt idx="9">
                  <c:v>-72.241552112902028</c:v>
                </c:pt>
                <c:pt idx="10">
                  <c:v>-72.241552112902028</c:v>
                </c:pt>
                <c:pt idx="11">
                  <c:v>-72.241552112902028</c:v>
                </c:pt>
                <c:pt idx="12">
                  <c:v>-72.241552112902028</c:v>
                </c:pt>
                <c:pt idx="13">
                  <c:v>-72.241552112902028</c:v>
                </c:pt>
                <c:pt idx="14">
                  <c:v>-72.241552112902028</c:v>
                </c:pt>
                <c:pt idx="15">
                  <c:v>-72.241552112902028</c:v>
                </c:pt>
                <c:pt idx="16">
                  <c:v>-72.241552112902028</c:v>
                </c:pt>
                <c:pt idx="17">
                  <c:v>-72.241552112902028</c:v>
                </c:pt>
                <c:pt idx="18">
                  <c:v>-72.241552112902028</c:v>
                </c:pt>
                <c:pt idx="19">
                  <c:v>-72.241552112902028</c:v>
                </c:pt>
                <c:pt idx="20">
                  <c:v>-72.241552112902028</c:v>
                </c:pt>
              </c:numCache>
            </c:numRef>
          </c:val>
          <c:extLst>
            <c:ext xmlns:c16="http://schemas.microsoft.com/office/drawing/2014/chart" uri="{C3380CC4-5D6E-409C-BE32-E72D297353CC}">
              <c16:uniqueId val="{0000000A-EBDF-4BBE-8F3C-E8A26D8A2068}"/>
            </c:ext>
          </c:extLst>
        </c:ser>
        <c:ser>
          <c:idx val="14"/>
          <c:order val="9"/>
          <c:tx>
            <c:strRef>
              <c:f>計算シート!$B$254</c:f>
              <c:strCache>
                <c:ptCount val="1"/>
                <c:pt idx="0">
                  <c:v>人件費</c:v>
                </c:pt>
              </c:strCache>
            </c:strRef>
          </c:tx>
          <c:spPr>
            <a:solidFill>
              <a:schemeClr val="accent3">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計算シート!$C$254:$W$254</c:f>
              <c:numCache>
                <c:formatCode>#,##0_);[Red]\(#,##0\)</c:formatCode>
                <c:ptCount val="21"/>
                <c:pt idx="0" formatCode="#,##0_ ;[Red]\-#,##0\ ">
                  <c:v>0</c:v>
                </c:pt>
                <c:pt idx="1">
                  <c:v>-24.080517370967339</c:v>
                </c:pt>
                <c:pt idx="2">
                  <c:v>-24.080517370967339</c:v>
                </c:pt>
                <c:pt idx="3">
                  <c:v>-24.080517370967339</c:v>
                </c:pt>
                <c:pt idx="4">
                  <c:v>-24.080517370967339</c:v>
                </c:pt>
                <c:pt idx="5">
                  <c:v>-24.080517370967339</c:v>
                </c:pt>
                <c:pt idx="6">
                  <c:v>-24.080517370967339</c:v>
                </c:pt>
                <c:pt idx="7">
                  <c:v>-24.080517370967339</c:v>
                </c:pt>
                <c:pt idx="8">
                  <c:v>-24.080517370967339</c:v>
                </c:pt>
                <c:pt idx="9">
                  <c:v>-24.080517370967339</c:v>
                </c:pt>
                <c:pt idx="10">
                  <c:v>-24.080517370967339</c:v>
                </c:pt>
                <c:pt idx="11">
                  <c:v>-24.080517370967339</c:v>
                </c:pt>
                <c:pt idx="12">
                  <c:v>-24.080517370967339</c:v>
                </c:pt>
                <c:pt idx="13">
                  <c:v>-24.080517370967339</c:v>
                </c:pt>
                <c:pt idx="14">
                  <c:v>-24.080517370967339</c:v>
                </c:pt>
                <c:pt idx="15">
                  <c:v>-24.080517370967339</c:v>
                </c:pt>
                <c:pt idx="16">
                  <c:v>-24.080517370967339</c:v>
                </c:pt>
                <c:pt idx="17">
                  <c:v>-24.080517370967339</c:v>
                </c:pt>
                <c:pt idx="18">
                  <c:v>-24.080517370967339</c:v>
                </c:pt>
                <c:pt idx="19">
                  <c:v>-24.080517370967339</c:v>
                </c:pt>
                <c:pt idx="20">
                  <c:v>-24.080517370967339</c:v>
                </c:pt>
              </c:numCache>
            </c:numRef>
          </c:val>
          <c:extLst xmlns:c15="http://schemas.microsoft.com/office/drawing/2012/chart">
            <c:ext xmlns:c16="http://schemas.microsoft.com/office/drawing/2014/chart" uri="{C3380CC4-5D6E-409C-BE32-E72D297353CC}">
              <c16:uniqueId val="{00000015-EBDF-4BBE-8F3C-E8A26D8A2068}"/>
            </c:ext>
          </c:extLst>
        </c:ser>
        <c:ser>
          <c:idx val="15"/>
          <c:order val="10"/>
          <c:tx>
            <c:strRef>
              <c:f>計算シート!$B$255</c:f>
              <c:strCache>
                <c:ptCount val="1"/>
                <c:pt idx="0">
                  <c:v>一般管理費</c:v>
                </c:pt>
              </c:strCache>
            </c:strRef>
          </c:tx>
          <c:spPr>
            <a:solidFill>
              <a:schemeClr val="accent4">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計算シート!$C$255:$W$255</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6-EBDF-4BBE-8F3C-E8A26D8A2068}"/>
            </c:ext>
          </c:extLst>
        </c:ser>
        <c:ser>
          <c:idx val="19"/>
          <c:order val="11"/>
          <c:tx>
            <c:strRef>
              <c:f>計算シート!$B$258</c:f>
              <c:strCache>
                <c:ptCount val="1"/>
                <c:pt idx="0">
                  <c:v>固定資産税等</c:v>
                </c:pt>
              </c:strCache>
            </c:strRef>
          </c:tx>
          <c:spPr>
            <a:solidFill>
              <a:schemeClr val="accent2">
                <a:lumMod val="8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計算シート!$C$258:$W$258</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B-EBDF-4BBE-8F3C-E8A26D8A2068}"/>
            </c:ext>
          </c:extLst>
        </c:ser>
        <c:ser>
          <c:idx val="20"/>
          <c:order val="12"/>
          <c:tx>
            <c:strRef>
              <c:f>計算シート!$B$259</c:f>
              <c:strCache>
                <c:ptCount val="1"/>
                <c:pt idx="0">
                  <c:v>金利</c:v>
                </c:pt>
              </c:strCache>
            </c:strRef>
          </c:tx>
          <c:spPr>
            <a:solidFill>
              <a:schemeClr val="accent3">
                <a:lumMod val="8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計算シート!$C$259:$W$259</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9-EBDF-4BBE-8F3C-E8A26D8A2068}"/>
            </c:ext>
          </c:extLst>
        </c:ser>
        <c:dLbls>
          <c:showLegendKey val="0"/>
          <c:showVal val="0"/>
          <c:showCatName val="0"/>
          <c:showSerName val="0"/>
          <c:showPercent val="0"/>
          <c:showBubbleSize val="0"/>
        </c:dLbls>
        <c:gapWidth val="150"/>
        <c:overlap val="100"/>
        <c:axId val="272965440"/>
        <c:axId val="272965832"/>
        <c:extLst/>
      </c:barChart>
      <c:lineChart>
        <c:grouping val="standard"/>
        <c:varyColors val="0"/>
        <c:ser>
          <c:idx val="23"/>
          <c:order val="13"/>
          <c:tx>
            <c:strRef>
              <c:f>計算シート!$B$261</c:f>
              <c:strCache>
                <c:ptCount val="1"/>
                <c:pt idx="0">
                  <c:v>キャッシュフロー</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計算シート!$C$261:$W$261</c:f>
              <c:numCache>
                <c:formatCode>#,##0_ ;[Red]\-#,##0\ </c:formatCode>
                <c:ptCount val="21"/>
                <c:pt idx="0">
                  <c:v>-4820.1912416296973</c:v>
                </c:pt>
                <c:pt idx="1">
                  <c:v>376.81985522397559</c:v>
                </c:pt>
                <c:pt idx="2">
                  <c:v>379.49252442032133</c:v>
                </c:pt>
                <c:pt idx="3">
                  <c:v>382.16519361666707</c:v>
                </c:pt>
                <c:pt idx="4">
                  <c:v>384.83786281301275</c:v>
                </c:pt>
                <c:pt idx="5">
                  <c:v>387.51053200935854</c:v>
                </c:pt>
                <c:pt idx="6">
                  <c:v>390.18320120570422</c:v>
                </c:pt>
                <c:pt idx="7">
                  <c:v>392.85587040204996</c:v>
                </c:pt>
                <c:pt idx="8">
                  <c:v>395.5285395983957</c:v>
                </c:pt>
                <c:pt idx="9">
                  <c:v>398.20120879474143</c:v>
                </c:pt>
                <c:pt idx="10">
                  <c:v>400.87387799108717</c:v>
                </c:pt>
                <c:pt idx="11">
                  <c:v>403.54654718743291</c:v>
                </c:pt>
                <c:pt idx="12">
                  <c:v>406.21921638377864</c:v>
                </c:pt>
                <c:pt idx="13">
                  <c:v>408.89188558012432</c:v>
                </c:pt>
                <c:pt idx="14">
                  <c:v>411.56455477647006</c:v>
                </c:pt>
                <c:pt idx="15">
                  <c:v>414.2372239728158</c:v>
                </c:pt>
                <c:pt idx="16">
                  <c:v>344.60702454471607</c:v>
                </c:pt>
                <c:pt idx="17">
                  <c:v>344.91780003266331</c:v>
                </c:pt>
                <c:pt idx="18">
                  <c:v>345.22857552061043</c:v>
                </c:pt>
                <c:pt idx="19">
                  <c:v>345.53935100855762</c:v>
                </c:pt>
                <c:pt idx="20">
                  <c:v>345.8501264965048</c:v>
                </c:pt>
              </c:numCache>
            </c:numRef>
          </c:val>
          <c:smooth val="0"/>
          <c:extLst>
            <c:ext xmlns:c16="http://schemas.microsoft.com/office/drawing/2014/chart" uri="{C3380CC4-5D6E-409C-BE32-E72D297353CC}">
              <c16:uniqueId val="{0000000C-EBDF-4BBE-8F3C-E8A26D8A2068}"/>
            </c:ext>
          </c:extLst>
        </c:ser>
        <c:ser>
          <c:idx val="24"/>
          <c:order val="14"/>
          <c:tx>
            <c:v>初期投資支出ー累計収益</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計算シート!$C$262:$W$262</c:f>
              <c:numCache>
                <c:formatCode>#,##0_);[Red]\(#,##0\)</c:formatCode>
                <c:ptCount val="21"/>
                <c:pt idx="0" formatCode="#,##0_ ;[Red]\-#,##0\ ">
                  <c:v>-4820.1912416296973</c:v>
                </c:pt>
                <c:pt idx="1">
                  <c:v>-4443.3713864057218</c:v>
                </c:pt>
                <c:pt idx="2">
                  <c:v>-4063.8788619854004</c:v>
                </c:pt>
                <c:pt idx="3">
                  <c:v>-3681.7136683687331</c:v>
                </c:pt>
                <c:pt idx="4">
                  <c:v>-3296.8758055557205</c:v>
                </c:pt>
                <c:pt idx="5">
                  <c:v>-2909.365273546362</c:v>
                </c:pt>
                <c:pt idx="6">
                  <c:v>-2519.1820723406577</c:v>
                </c:pt>
                <c:pt idx="7">
                  <c:v>-2126.3262019386075</c:v>
                </c:pt>
                <c:pt idx="8">
                  <c:v>-1730.7976623402119</c:v>
                </c:pt>
                <c:pt idx="9">
                  <c:v>-1332.5964535454705</c:v>
                </c:pt>
                <c:pt idx="10">
                  <c:v>-931.7225755543833</c:v>
                </c:pt>
                <c:pt idx="11">
                  <c:v>-528.17602836695039</c:v>
                </c:pt>
                <c:pt idx="12">
                  <c:v>-121.95681198317175</c:v>
                </c:pt>
                <c:pt idx="13">
                  <c:v>286.93507359695258</c:v>
                </c:pt>
                <c:pt idx="14">
                  <c:v>698.49962837342264</c:v>
                </c:pt>
                <c:pt idx="15">
                  <c:v>1112.7368523462385</c:v>
                </c:pt>
                <c:pt idx="16">
                  <c:v>1457.3438768909546</c:v>
                </c:pt>
                <c:pt idx="17">
                  <c:v>1802.2616769236179</c:v>
                </c:pt>
                <c:pt idx="18">
                  <c:v>2147.4902524442282</c:v>
                </c:pt>
                <c:pt idx="19">
                  <c:v>2493.029603452786</c:v>
                </c:pt>
                <c:pt idx="20">
                  <c:v>2838.8797299492908</c:v>
                </c:pt>
              </c:numCache>
            </c:numRef>
          </c:val>
          <c:smooth val="0"/>
          <c:extLst>
            <c:ext xmlns:c16="http://schemas.microsoft.com/office/drawing/2014/chart" uri="{C3380CC4-5D6E-409C-BE32-E72D297353CC}">
              <c16:uniqueId val="{0000000D-EBDF-4BBE-8F3C-E8A26D8A2068}"/>
            </c:ext>
          </c:extLst>
        </c:ser>
        <c:dLbls>
          <c:showLegendKey val="0"/>
          <c:showVal val="0"/>
          <c:showCatName val="0"/>
          <c:showSerName val="0"/>
          <c:showPercent val="0"/>
          <c:showBubbleSize val="0"/>
        </c:dLbls>
        <c:marker val="1"/>
        <c:smooth val="0"/>
        <c:axId val="272965440"/>
        <c:axId val="272965832"/>
        <c:extLst/>
      </c:lineChart>
      <c:catAx>
        <c:axId val="27296544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272965832"/>
        <c:crosses val="autoZero"/>
        <c:auto val="1"/>
        <c:lblAlgn val="ctr"/>
        <c:lblOffset val="100"/>
        <c:noMultiLvlLbl val="0"/>
      </c:catAx>
      <c:valAx>
        <c:axId val="27296583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272965440"/>
        <c:crosses val="autoZero"/>
        <c:crossBetween val="between"/>
      </c:valAx>
      <c:spPr>
        <a:noFill/>
        <a:ln>
          <a:noFill/>
        </a:ln>
        <a:effectLst/>
      </c:spPr>
    </c:plotArea>
    <c:legend>
      <c:legendPos val="t"/>
      <c:layout>
        <c:manualLayout>
          <c:xMode val="edge"/>
          <c:yMode val="edge"/>
          <c:x val="7.079073180813765E-2"/>
          <c:y val="1.7972609460149513E-2"/>
          <c:w val="0.90431117366653668"/>
          <c:h val="0.1797579358387276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7407407407E-2"/>
          <c:y val="0.12960873983739837"/>
          <c:w val="0.87911809941871599"/>
          <c:h val="0.63334905387394713"/>
        </c:manualLayout>
      </c:layout>
      <c:barChart>
        <c:barDir val="col"/>
        <c:grouping val="clustered"/>
        <c:varyColors val="0"/>
        <c:ser>
          <c:idx val="0"/>
          <c:order val="0"/>
          <c:tx>
            <c:strRef>
              <c:f>入門編_計算シート!$D$121</c:f>
              <c:strCache>
                <c:ptCount val="1"/>
                <c:pt idx="0">
                  <c:v>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入門編_計算シート!$B$122:$B$132</c:f>
              <c:strCache>
                <c:ptCount val="11"/>
                <c:pt idx="0">
                  <c:v>熱利用率0%</c:v>
                </c:pt>
                <c:pt idx="1">
                  <c:v>熱利用率3%</c:v>
                </c:pt>
                <c:pt idx="2">
                  <c:v>熱利用率5%</c:v>
                </c:pt>
                <c:pt idx="3">
                  <c:v>熱利用率8%</c:v>
                </c:pt>
                <c:pt idx="4">
                  <c:v>熱利用率10%</c:v>
                </c:pt>
                <c:pt idx="5">
                  <c:v>熱利用率13%</c:v>
                </c:pt>
                <c:pt idx="6">
                  <c:v>熱利用率15%</c:v>
                </c:pt>
                <c:pt idx="7">
                  <c:v>熱利用率18%</c:v>
                </c:pt>
                <c:pt idx="8">
                  <c:v>熱利用率20%</c:v>
                </c:pt>
                <c:pt idx="9">
                  <c:v>熱利用率23%</c:v>
                </c:pt>
                <c:pt idx="10">
                  <c:v>熱利用率25%</c:v>
                </c:pt>
              </c:strCache>
            </c:strRef>
          </c:cat>
          <c:val>
            <c:numRef>
              <c:f>入門編_計算シート!$D$122:$D$132</c:f>
              <c:numCache>
                <c:formatCode>0.0%</c:formatCode>
                <c:ptCount val="11"/>
                <c:pt idx="0">
                  <c:v>-2.4967025049085989E-2</c:v>
                </c:pt>
                <c:pt idx="1">
                  <c:v>-1.4978078489464641E-2</c:v>
                </c:pt>
                <c:pt idx="2">
                  <c:v>-4.8073065327574049E-3</c:v>
                </c:pt>
                <c:pt idx="3">
                  <c:v>4.5129692730623283E-3</c:v>
                </c:pt>
                <c:pt idx="4">
                  <c:v>1.2433115799482364E-2</c:v>
                </c:pt>
                <c:pt idx="5">
                  <c:v>1.92019243140511E-2</c:v>
                </c:pt>
                <c:pt idx="6">
                  <c:v>2.5645967147614135E-2</c:v>
                </c:pt>
                <c:pt idx="7">
                  <c:v>3.1873356401832975E-2</c:v>
                </c:pt>
                <c:pt idx="8">
                  <c:v>3.7908748284006588E-2</c:v>
                </c:pt>
                <c:pt idx="9">
                  <c:v>4.3772933470501707E-2</c:v>
                </c:pt>
                <c:pt idx="10">
                  <c:v>4.9483612815025779E-2</c:v>
                </c:pt>
              </c:numCache>
            </c:numRef>
          </c:val>
          <c:extLst>
            <c:ext xmlns:c16="http://schemas.microsoft.com/office/drawing/2014/chart" uri="{C3380CC4-5D6E-409C-BE32-E72D297353CC}">
              <c16:uniqueId val="{00000000-B380-41E6-B7E9-3A1C68141934}"/>
            </c:ext>
          </c:extLst>
        </c:ser>
        <c:dLbls>
          <c:showLegendKey val="0"/>
          <c:showVal val="0"/>
          <c:showCatName val="0"/>
          <c:showSerName val="0"/>
          <c:showPercent val="0"/>
          <c:showBubbleSize val="0"/>
        </c:dLbls>
        <c:gapWidth val="219"/>
        <c:overlap val="-27"/>
        <c:axId val="272963088"/>
        <c:axId val="272966616"/>
      </c:barChart>
      <c:lineChart>
        <c:grouping val="standard"/>
        <c:varyColors val="0"/>
        <c:ser>
          <c:idx val="1"/>
          <c:order val="1"/>
          <c:tx>
            <c:strRef>
              <c:f>入門編_計算シート!$E$121</c:f>
              <c:strCache>
                <c:ptCount val="1"/>
                <c:pt idx="0">
                  <c:v>投資回収年</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solidFill>
                <a:schemeClr val="bg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Lit>
          </c:cat>
          <c:val>
            <c:numRef>
              <c:f>入門編_計算シート!$E$122:$E$132</c:f>
              <c:numCache>
                <c:formatCode>#,##0_);[Red]\(#,##0\)</c:formatCode>
                <c:ptCount val="11"/>
                <c:pt idx="0">
                  <c:v>17</c:v>
                </c:pt>
                <c:pt idx="1">
                  <c:v>15</c:v>
                </c:pt>
                <c:pt idx="2">
                  <c:v>15</c:v>
                </c:pt>
                <c:pt idx="3">
                  <c:v>14</c:v>
                </c:pt>
                <c:pt idx="4">
                  <c:v>13</c:v>
                </c:pt>
                <c:pt idx="5">
                  <c:v>13</c:v>
                </c:pt>
                <c:pt idx="6">
                  <c:v>12</c:v>
                </c:pt>
                <c:pt idx="7">
                  <c:v>12</c:v>
                </c:pt>
                <c:pt idx="8">
                  <c:v>11</c:v>
                </c:pt>
                <c:pt idx="9">
                  <c:v>11</c:v>
                </c:pt>
                <c:pt idx="10">
                  <c:v>11</c:v>
                </c:pt>
              </c:numCache>
            </c:numRef>
          </c:val>
          <c:smooth val="0"/>
          <c:extLst>
            <c:ext xmlns:c16="http://schemas.microsoft.com/office/drawing/2014/chart" uri="{C3380CC4-5D6E-409C-BE32-E72D297353CC}">
              <c16:uniqueId val="{00000001-B380-41E6-B7E9-3A1C68141934}"/>
            </c:ext>
          </c:extLst>
        </c:ser>
        <c:dLbls>
          <c:showLegendKey val="0"/>
          <c:showVal val="0"/>
          <c:showCatName val="0"/>
          <c:showSerName val="0"/>
          <c:showPercent val="0"/>
          <c:showBubbleSize val="0"/>
        </c:dLbls>
        <c:marker val="1"/>
        <c:smooth val="0"/>
        <c:axId val="272964264"/>
        <c:axId val="272963480"/>
      </c:lineChart>
      <c:catAx>
        <c:axId val="2729630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272966616"/>
        <c:crosses val="autoZero"/>
        <c:auto val="1"/>
        <c:lblAlgn val="ctr"/>
        <c:lblOffset val="5"/>
        <c:noMultiLvlLbl val="0"/>
      </c:catAx>
      <c:valAx>
        <c:axId val="272966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72963088"/>
        <c:crosses val="autoZero"/>
        <c:crossBetween val="between"/>
      </c:valAx>
      <c:valAx>
        <c:axId val="272963480"/>
        <c:scaling>
          <c:orientation val="minMax"/>
          <c:max val="30"/>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72964264"/>
        <c:crosses val="max"/>
        <c:crossBetween val="between"/>
      </c:valAx>
      <c:catAx>
        <c:axId val="272964264"/>
        <c:scaling>
          <c:orientation val="minMax"/>
        </c:scaling>
        <c:delete val="1"/>
        <c:axPos val="b"/>
        <c:numFmt formatCode="General" sourceLinked="1"/>
        <c:majorTickMark val="out"/>
        <c:minorTickMark val="none"/>
        <c:tickLblPos val="nextTo"/>
        <c:crossAx val="27296348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9.xml"/><Relationship Id="rId5" Type="http://schemas.openxmlformats.org/officeDocument/2006/relationships/chart" Target="../charts/chart5.xml"/><Relationship Id="rId10" Type="http://schemas.openxmlformats.org/officeDocument/2006/relationships/chart" Target="../charts/chart8.xml"/><Relationship Id="rId4" Type="http://schemas.openxmlformats.org/officeDocument/2006/relationships/chart" Target="../charts/chart4.xm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7</xdr:col>
      <xdr:colOff>237067</xdr:colOff>
      <xdr:row>46</xdr:row>
      <xdr:rowOff>15472</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784600"/>
          <a:ext cx="4732867" cy="3152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27</xdr:row>
      <xdr:rowOff>0</xdr:rowOff>
    </xdr:from>
    <xdr:to>
      <xdr:col>19</xdr:col>
      <xdr:colOff>258764</xdr:colOff>
      <xdr:row>46</xdr:row>
      <xdr:rowOff>40748</xdr:rowOff>
    </xdr:to>
    <xdr:pic>
      <xdr:nvPicPr>
        <xdr:cNvPr id="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0" y="3784600"/>
          <a:ext cx="6964364" cy="317764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0.06875</cdr:x>
      <cdr:y>0.0352</cdr:y>
    </cdr:from>
    <cdr:to>
      <cdr:x>0.20687</cdr:x>
      <cdr:y>0.10121</cdr:y>
    </cdr:to>
    <cdr:sp macro="" textlink="">
      <cdr:nvSpPr>
        <cdr:cNvPr id="2" name="テキスト ボックス 1"/>
        <cdr:cNvSpPr txBox="1"/>
      </cdr:nvSpPr>
      <cdr:spPr>
        <a:xfrm xmlns:a="http://schemas.openxmlformats.org/drawingml/2006/main">
          <a:off x="695495" y="146778"/>
          <a:ext cx="1397244"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a:t>（百万円）</a:t>
          </a:r>
        </a:p>
      </cdr:txBody>
    </cdr:sp>
  </cdr:relSizeAnchor>
</c:userShapes>
</file>

<file path=xl/drawings/drawing11.xml><?xml version="1.0" encoding="utf-8"?>
<c:userShapes xmlns:c="http://schemas.openxmlformats.org/drawingml/2006/chart">
  <cdr:relSizeAnchor xmlns:cdr="http://schemas.openxmlformats.org/drawingml/2006/chartDrawing">
    <cdr:from>
      <cdr:x>0.00361</cdr:x>
      <cdr:y>0.11546</cdr:y>
    </cdr:from>
    <cdr:to>
      <cdr:x>0.16972</cdr:x>
      <cdr:y>0.20604</cdr:y>
    </cdr:to>
    <cdr:sp macro="" textlink="">
      <cdr:nvSpPr>
        <cdr:cNvPr id="2" name="テキスト ボックス 1"/>
        <cdr:cNvSpPr txBox="1"/>
      </cdr:nvSpPr>
      <cdr:spPr>
        <a:xfrm xmlns:a="http://schemas.openxmlformats.org/drawingml/2006/main">
          <a:off x="34636" y="521827"/>
          <a:ext cx="1595622" cy="4093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50"/>
            <a:t>（百万円）</a:t>
          </a:r>
        </a:p>
      </cdr:txBody>
    </cdr:sp>
  </cdr:relSizeAnchor>
</c:userShapes>
</file>

<file path=xl/drawings/drawing12.xml><?xml version="1.0" encoding="utf-8"?>
<xdr:wsDr xmlns:xdr="http://schemas.openxmlformats.org/drawingml/2006/spreadsheetDrawing" xmlns:a="http://schemas.openxmlformats.org/drawingml/2006/main">
  <xdr:twoCellAnchor>
    <xdr:from>
      <xdr:col>13</xdr:col>
      <xdr:colOff>511175</xdr:colOff>
      <xdr:row>52</xdr:row>
      <xdr:rowOff>22225</xdr:rowOff>
    </xdr:from>
    <xdr:to>
      <xdr:col>20</xdr:col>
      <xdr:colOff>250825</xdr:colOff>
      <xdr:row>68</xdr:row>
      <xdr:rowOff>123825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129540</xdr:colOff>
      <xdr:row>8</xdr:row>
      <xdr:rowOff>97971</xdr:rowOff>
    </xdr:from>
    <xdr:to>
      <xdr:col>2</xdr:col>
      <xdr:colOff>598629</xdr:colOff>
      <xdr:row>10</xdr:row>
      <xdr:rowOff>86692</xdr:rowOff>
    </xdr:to>
    <xdr:grpSp>
      <xdr:nvGrpSpPr>
        <xdr:cNvPr id="7" name="グループ化 6"/>
        <xdr:cNvGrpSpPr/>
      </xdr:nvGrpSpPr>
      <xdr:grpSpPr>
        <a:xfrm>
          <a:off x="3460750" y="1399721"/>
          <a:ext cx="0" cy="280821"/>
          <a:chOff x="3322320" y="1271451"/>
          <a:chExt cx="469089" cy="659281"/>
        </a:xfrm>
      </xdr:grpSpPr>
      <xdr:cxnSp macro="">
        <xdr:nvCxnSpPr>
          <xdr:cNvPr id="3" name="直線矢印コネクタ 2"/>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カギ線コネクタ 4"/>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カギ線コネクタ 8"/>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カギ線コネクタ 9"/>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カギ線コネクタ 10"/>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12</xdr:row>
      <xdr:rowOff>75111</xdr:rowOff>
    </xdr:from>
    <xdr:to>
      <xdr:col>2</xdr:col>
      <xdr:colOff>598629</xdr:colOff>
      <xdr:row>15</xdr:row>
      <xdr:rowOff>63832</xdr:rowOff>
    </xdr:to>
    <xdr:grpSp>
      <xdr:nvGrpSpPr>
        <xdr:cNvPr id="13" name="グループ化 12"/>
        <xdr:cNvGrpSpPr/>
      </xdr:nvGrpSpPr>
      <xdr:grpSpPr>
        <a:xfrm>
          <a:off x="3460750" y="1961061"/>
          <a:ext cx="0" cy="426871"/>
          <a:chOff x="3322320" y="1271451"/>
          <a:chExt cx="469089" cy="659281"/>
        </a:xfrm>
      </xdr:grpSpPr>
      <xdr:cxnSp macro="">
        <xdr:nvCxnSpPr>
          <xdr:cNvPr id="14" name="直線矢印コネクタ 13"/>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カギ線コネクタ 14"/>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カギ線コネクタ 15"/>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カギ線コネクタ 16"/>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カギ線コネクタ 17"/>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463550</xdr:colOff>
      <xdr:row>11</xdr:row>
      <xdr:rowOff>88900</xdr:rowOff>
    </xdr:from>
    <xdr:to>
      <xdr:col>25</xdr:col>
      <xdr:colOff>346071</xdr:colOff>
      <xdr:row>52</xdr:row>
      <xdr:rowOff>51800</xdr:rowOff>
    </xdr:to>
    <xdr:pic>
      <xdr:nvPicPr>
        <xdr:cNvPr id="31" name="図 30"/>
        <xdr:cNvPicPr>
          <a:picLocks noChangeAspect="1"/>
        </xdr:cNvPicPr>
      </xdr:nvPicPr>
      <xdr:blipFill>
        <a:blip xmlns:r="http://schemas.openxmlformats.org/officeDocument/2006/relationships" r:embed="rId1"/>
        <a:stretch>
          <a:fillRect/>
        </a:stretch>
      </xdr:blipFill>
      <xdr:spPr>
        <a:xfrm>
          <a:off x="10388600" y="2095500"/>
          <a:ext cx="4759321" cy="6732000"/>
        </a:xfrm>
        <a:prstGeom prst="rect">
          <a:avLst/>
        </a:prstGeom>
      </xdr:spPr>
    </xdr:pic>
    <xdr:clientData/>
  </xdr:twoCellAnchor>
  <xdr:twoCellAnchor editAs="oneCell">
    <xdr:from>
      <xdr:col>4</xdr:col>
      <xdr:colOff>584200</xdr:colOff>
      <xdr:row>11</xdr:row>
      <xdr:rowOff>133350</xdr:rowOff>
    </xdr:from>
    <xdr:to>
      <xdr:col>13</xdr:col>
      <xdr:colOff>182540</xdr:colOff>
      <xdr:row>51</xdr:row>
      <xdr:rowOff>20150</xdr:rowOff>
    </xdr:to>
    <xdr:pic>
      <xdr:nvPicPr>
        <xdr:cNvPr id="30" name="図 29"/>
        <xdr:cNvPicPr>
          <a:picLocks noChangeAspect="1"/>
        </xdr:cNvPicPr>
      </xdr:nvPicPr>
      <xdr:blipFill>
        <a:blip xmlns:r="http://schemas.openxmlformats.org/officeDocument/2006/relationships" r:embed="rId2"/>
        <a:stretch>
          <a:fillRect/>
        </a:stretch>
      </xdr:blipFill>
      <xdr:spPr>
        <a:xfrm>
          <a:off x="2584450" y="2139950"/>
          <a:ext cx="5084740" cy="6490800"/>
        </a:xfrm>
        <a:prstGeom prst="rect">
          <a:avLst/>
        </a:prstGeom>
      </xdr:spPr>
    </xdr:pic>
    <xdr:clientData/>
  </xdr:twoCellAnchor>
  <xdr:twoCellAnchor>
    <xdr:from>
      <xdr:col>4</xdr:col>
      <xdr:colOff>205187</xdr:colOff>
      <xdr:row>12</xdr:row>
      <xdr:rowOff>152400</xdr:rowOff>
    </xdr:from>
    <xdr:to>
      <xdr:col>4</xdr:col>
      <xdr:colOff>395687</xdr:colOff>
      <xdr:row>16</xdr:row>
      <xdr:rowOff>130968</xdr:rowOff>
    </xdr:to>
    <xdr:sp macro="" textlink="">
      <xdr:nvSpPr>
        <xdr:cNvPr id="3" name="左中かっこ 2"/>
        <xdr:cNvSpPr/>
      </xdr:nvSpPr>
      <xdr:spPr>
        <a:xfrm>
          <a:off x="2395937" y="2069306"/>
          <a:ext cx="190500" cy="669131"/>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114000</xdr:colOff>
      <xdr:row>13</xdr:row>
      <xdr:rowOff>26275</xdr:rowOff>
    </xdr:from>
    <xdr:to>
      <xdr:col>4</xdr:col>
      <xdr:colOff>164224</xdr:colOff>
      <xdr:row>18</xdr:row>
      <xdr:rowOff>0</xdr:rowOff>
    </xdr:to>
    <xdr:sp macro="" textlink="">
      <xdr:nvSpPr>
        <xdr:cNvPr id="4" name="テキスト ボックス 3"/>
        <xdr:cNvSpPr txBox="1"/>
      </xdr:nvSpPr>
      <xdr:spPr>
        <a:xfrm>
          <a:off x="114000" y="2095499"/>
          <a:ext cx="2250827" cy="827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＜最低限の入力情報＞</a:t>
          </a:r>
          <a:endParaRPr kumimoji="1" lang="en-US" altLang="ja-JP" sz="900"/>
        </a:p>
        <a:p>
          <a:r>
            <a:rPr kumimoji="1" lang="ja-JP" altLang="en-US" sz="900"/>
            <a:t>想定する変換技術を設定のうえ、受入量・受入価格のバイオマス原料情報を入力することで結果が出力されます</a:t>
          </a:r>
        </a:p>
      </xdr:txBody>
    </xdr:sp>
    <xdr:clientData/>
  </xdr:twoCellAnchor>
  <xdr:twoCellAnchor>
    <xdr:from>
      <xdr:col>4</xdr:col>
      <xdr:colOff>216217</xdr:colOff>
      <xdr:row>18</xdr:row>
      <xdr:rowOff>77075</xdr:rowOff>
    </xdr:from>
    <xdr:to>
      <xdr:col>4</xdr:col>
      <xdr:colOff>406717</xdr:colOff>
      <xdr:row>22</xdr:row>
      <xdr:rowOff>113109</xdr:rowOff>
    </xdr:to>
    <xdr:sp macro="" textlink="">
      <xdr:nvSpPr>
        <xdr:cNvPr id="5" name="左中かっこ 4"/>
        <xdr:cNvSpPr/>
      </xdr:nvSpPr>
      <xdr:spPr>
        <a:xfrm>
          <a:off x="2406967" y="3029825"/>
          <a:ext cx="190500" cy="726597"/>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117763</xdr:colOff>
      <xdr:row>18</xdr:row>
      <xdr:rowOff>38537</xdr:rowOff>
    </xdr:from>
    <xdr:to>
      <xdr:col>4</xdr:col>
      <xdr:colOff>167160</xdr:colOff>
      <xdr:row>22</xdr:row>
      <xdr:rowOff>148897</xdr:rowOff>
    </xdr:to>
    <xdr:sp macro="" textlink="">
      <xdr:nvSpPr>
        <xdr:cNvPr id="6" name="テキスト ボックス 5"/>
        <xdr:cNvSpPr txBox="1"/>
      </xdr:nvSpPr>
      <xdr:spPr>
        <a:xfrm>
          <a:off x="117763" y="2961727"/>
          <a:ext cx="2250000" cy="7935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＜入力情報の逆算＞</a:t>
          </a:r>
          <a:endParaRPr kumimoji="1" lang="en-US" altLang="ja-JP" sz="900"/>
        </a:p>
        <a:p>
          <a:r>
            <a:rPr kumimoji="1" lang="ja-JP" altLang="en-US" sz="900"/>
            <a:t>受入量が不明な場合は、こちらで</a:t>
          </a:r>
          <a:endParaRPr kumimoji="1" lang="en-US" altLang="ja-JP" sz="900"/>
        </a:p>
        <a:p>
          <a:r>
            <a:rPr kumimoji="1" lang="ja-JP" altLang="en-US" sz="900"/>
            <a:t>発電量から逆算することが可能です</a:t>
          </a:r>
        </a:p>
      </xdr:txBody>
    </xdr:sp>
    <xdr:clientData/>
  </xdr:twoCellAnchor>
  <xdr:twoCellAnchor>
    <xdr:from>
      <xdr:col>4</xdr:col>
      <xdr:colOff>227245</xdr:colOff>
      <xdr:row>23</xdr:row>
      <xdr:rowOff>160734</xdr:rowOff>
    </xdr:from>
    <xdr:to>
      <xdr:col>4</xdr:col>
      <xdr:colOff>404813</xdr:colOff>
      <xdr:row>31</xdr:row>
      <xdr:rowOff>11906</xdr:rowOff>
    </xdr:to>
    <xdr:sp macro="" textlink="">
      <xdr:nvSpPr>
        <xdr:cNvPr id="7" name="左中かっこ 6"/>
        <xdr:cNvSpPr/>
      </xdr:nvSpPr>
      <xdr:spPr>
        <a:xfrm>
          <a:off x="2417995" y="3976687"/>
          <a:ext cx="177568" cy="1232297"/>
        </a:xfrm>
        <a:prstGeom prst="leftBrace">
          <a:avLst>
            <a:gd name="adj1" fmla="val 8333"/>
            <a:gd name="adj2" fmla="val 47585"/>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107526</xdr:colOff>
      <xdr:row>25</xdr:row>
      <xdr:rowOff>25754</xdr:rowOff>
    </xdr:from>
    <xdr:to>
      <xdr:col>4</xdr:col>
      <xdr:colOff>95250</xdr:colOff>
      <xdr:row>29</xdr:row>
      <xdr:rowOff>136113</xdr:rowOff>
    </xdr:to>
    <xdr:sp macro="" textlink="">
      <xdr:nvSpPr>
        <xdr:cNvPr id="8" name="テキスト ボックス 7"/>
        <xdr:cNvSpPr txBox="1"/>
      </xdr:nvSpPr>
      <xdr:spPr>
        <a:xfrm>
          <a:off x="107526" y="4186988"/>
          <a:ext cx="2178474" cy="800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＜計算条件の確認・更新＞</a:t>
          </a:r>
          <a:endParaRPr kumimoji="1" lang="en-US" altLang="ja-JP" sz="900"/>
        </a:p>
        <a:p>
          <a:r>
            <a:rPr kumimoji="1" lang="ja-JP" altLang="en-US" sz="900"/>
            <a:t>デフォルトは</a:t>
          </a:r>
          <a:r>
            <a:rPr kumimoji="1" lang="en-US" altLang="ja-JP" sz="900"/>
            <a:t>FS</a:t>
          </a:r>
          <a:r>
            <a:rPr kumimoji="1" lang="ja-JP" altLang="en-US" sz="900"/>
            <a:t>事業・</a:t>
          </a:r>
          <a:endParaRPr kumimoji="1" lang="en-US" altLang="ja-JP" sz="900"/>
        </a:p>
        <a:p>
          <a:r>
            <a:rPr kumimoji="1" lang="ja-JP" altLang="en-US" sz="900"/>
            <a:t>事業の想定で明らかになっているものは適宜直接更新ください</a:t>
          </a:r>
          <a:endParaRPr kumimoji="1" lang="en-US" altLang="ja-JP" sz="900"/>
        </a:p>
      </xdr:txBody>
    </xdr:sp>
    <xdr:clientData/>
  </xdr:twoCellAnchor>
  <xdr:twoCellAnchor>
    <xdr:from>
      <xdr:col>4</xdr:col>
      <xdr:colOff>434578</xdr:colOff>
      <xdr:row>23</xdr:row>
      <xdr:rowOff>136239</xdr:rowOff>
    </xdr:from>
    <xdr:to>
      <xdr:col>13</xdr:col>
      <xdr:colOff>160733</xdr:colOff>
      <xdr:row>31</xdr:row>
      <xdr:rowOff>23813</xdr:rowOff>
    </xdr:to>
    <xdr:sp macro="" textlink="">
      <xdr:nvSpPr>
        <xdr:cNvPr id="9" name="テキスト ボックス 8"/>
        <xdr:cNvSpPr txBox="1"/>
      </xdr:nvSpPr>
      <xdr:spPr>
        <a:xfrm>
          <a:off x="2625328" y="3952192"/>
          <a:ext cx="5726905" cy="1268699"/>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4</xdr:col>
      <xdr:colOff>434578</xdr:colOff>
      <xdr:row>18</xdr:row>
      <xdr:rowOff>73573</xdr:rowOff>
    </xdr:from>
    <xdr:to>
      <xdr:col>8</xdr:col>
      <xdr:colOff>452437</xdr:colOff>
      <xdr:row>22</xdr:row>
      <xdr:rowOff>101203</xdr:rowOff>
    </xdr:to>
    <xdr:sp macro="" textlink="">
      <xdr:nvSpPr>
        <xdr:cNvPr id="10" name="テキスト ボックス 9"/>
        <xdr:cNvSpPr txBox="1"/>
      </xdr:nvSpPr>
      <xdr:spPr>
        <a:xfrm>
          <a:off x="2625328" y="3026323"/>
          <a:ext cx="2684859" cy="718193"/>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4</xdr:col>
      <xdr:colOff>416720</xdr:colOff>
      <xdr:row>12</xdr:row>
      <xdr:rowOff>147145</xdr:rowOff>
    </xdr:from>
    <xdr:to>
      <xdr:col>8</xdr:col>
      <xdr:colOff>452438</xdr:colOff>
      <xdr:row>16</xdr:row>
      <xdr:rowOff>130967</xdr:rowOff>
    </xdr:to>
    <xdr:sp macro="" textlink="">
      <xdr:nvSpPr>
        <xdr:cNvPr id="11" name="テキスト ボックス 10"/>
        <xdr:cNvSpPr txBox="1"/>
      </xdr:nvSpPr>
      <xdr:spPr>
        <a:xfrm>
          <a:off x="2607470" y="2064051"/>
          <a:ext cx="2702718" cy="674385"/>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13</xdr:col>
      <xdr:colOff>333649</xdr:colOff>
      <xdr:row>12</xdr:row>
      <xdr:rowOff>85424</xdr:rowOff>
    </xdr:from>
    <xdr:to>
      <xdr:col>13</xdr:col>
      <xdr:colOff>524149</xdr:colOff>
      <xdr:row>17</xdr:row>
      <xdr:rowOff>83344</xdr:rowOff>
    </xdr:to>
    <xdr:sp macro="" textlink="">
      <xdr:nvSpPr>
        <xdr:cNvPr id="13" name="左中かっこ 12"/>
        <xdr:cNvSpPr/>
      </xdr:nvSpPr>
      <xdr:spPr>
        <a:xfrm flipH="1">
          <a:off x="8525149" y="2002330"/>
          <a:ext cx="190500" cy="861123"/>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626530</xdr:colOff>
      <xdr:row>13</xdr:row>
      <xdr:rowOff>12467</xdr:rowOff>
    </xdr:from>
    <xdr:to>
      <xdr:col>17</xdr:col>
      <xdr:colOff>61516</xdr:colOff>
      <xdr:row>16</xdr:row>
      <xdr:rowOff>82536</xdr:rowOff>
    </xdr:to>
    <xdr:sp macro="" textlink="">
      <xdr:nvSpPr>
        <xdr:cNvPr id="14" name="テキスト ボックス 13"/>
        <xdr:cNvSpPr txBox="1"/>
      </xdr:nvSpPr>
      <xdr:spPr>
        <a:xfrm>
          <a:off x="8818030" y="2102014"/>
          <a:ext cx="2101986" cy="5879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＜計算結果の全体像＞</a:t>
          </a:r>
          <a:endParaRPr kumimoji="1" lang="en-US" altLang="ja-JP" sz="900"/>
        </a:p>
        <a:p>
          <a:r>
            <a:rPr kumimoji="1" lang="ja-JP" altLang="en-US" sz="900"/>
            <a:t>詳細は</a:t>
          </a:r>
          <a:r>
            <a:rPr kumimoji="1" lang="en-US" altLang="ja-JP" sz="900"/>
            <a:t>STEP3</a:t>
          </a:r>
          <a:r>
            <a:rPr kumimoji="1" lang="ja-JP" altLang="en-US" sz="900"/>
            <a:t>以降で確認できます</a:t>
          </a:r>
          <a:endParaRPr kumimoji="1" lang="en-US" altLang="ja-JP" sz="900"/>
        </a:p>
      </xdr:txBody>
    </xdr:sp>
    <xdr:clientData/>
  </xdr:twoCellAnchor>
  <xdr:twoCellAnchor>
    <xdr:from>
      <xdr:col>10</xdr:col>
      <xdr:colOff>358339</xdr:colOff>
      <xdr:row>32</xdr:row>
      <xdr:rowOff>85451</xdr:rowOff>
    </xdr:from>
    <xdr:to>
      <xdr:col>13</xdr:col>
      <xdr:colOff>283015</xdr:colOff>
      <xdr:row>51</xdr:row>
      <xdr:rowOff>5953</xdr:rowOff>
    </xdr:to>
    <xdr:sp macro="" textlink="">
      <xdr:nvSpPr>
        <xdr:cNvPr id="15" name="テキスト ボックス 14"/>
        <xdr:cNvSpPr txBox="1"/>
      </xdr:nvSpPr>
      <xdr:spPr>
        <a:xfrm>
          <a:off x="6549589" y="5455170"/>
          <a:ext cx="1924926" cy="3200674"/>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13</xdr:col>
      <xdr:colOff>329968</xdr:colOff>
      <xdr:row>32</xdr:row>
      <xdr:rowOff>82561</xdr:rowOff>
    </xdr:from>
    <xdr:to>
      <xdr:col>13</xdr:col>
      <xdr:colOff>520468</xdr:colOff>
      <xdr:row>51</xdr:row>
      <xdr:rowOff>11906</xdr:rowOff>
    </xdr:to>
    <xdr:sp macro="" textlink="">
      <xdr:nvSpPr>
        <xdr:cNvPr id="16" name="左中かっこ 15"/>
        <xdr:cNvSpPr/>
      </xdr:nvSpPr>
      <xdr:spPr>
        <a:xfrm flipH="1">
          <a:off x="8521468" y="5452280"/>
          <a:ext cx="190500" cy="3209517"/>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621275</xdr:colOff>
      <xdr:row>39</xdr:row>
      <xdr:rowOff>149881</xdr:rowOff>
    </xdr:from>
    <xdr:to>
      <xdr:col>16</xdr:col>
      <xdr:colOff>613392</xdr:colOff>
      <xdr:row>47</xdr:row>
      <xdr:rowOff>72258</xdr:rowOff>
    </xdr:to>
    <xdr:sp macro="" textlink="">
      <xdr:nvSpPr>
        <xdr:cNvPr id="17" name="テキスト ボックス 16"/>
        <xdr:cNvSpPr txBox="1"/>
      </xdr:nvSpPr>
      <xdr:spPr>
        <a:xfrm>
          <a:off x="8852189" y="6659726"/>
          <a:ext cx="2002220" cy="1288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＜事業検討のポイント＞</a:t>
          </a:r>
          <a:endParaRPr kumimoji="1" lang="en-US" altLang="ja-JP" sz="900"/>
        </a:p>
        <a:p>
          <a:r>
            <a:rPr kumimoji="1" lang="ja-JP" altLang="en-US" sz="900"/>
            <a:t>事業を検討する際の注意点を記載しています。詳細・その他の事項はガイドラインをご確認ください</a:t>
          </a:r>
          <a:endParaRPr kumimoji="1" lang="en-US" altLang="ja-JP" sz="900"/>
        </a:p>
      </xdr:txBody>
    </xdr:sp>
    <xdr:clientData/>
  </xdr:twoCellAnchor>
  <xdr:twoCellAnchor>
    <xdr:from>
      <xdr:col>17</xdr:col>
      <xdr:colOff>179907</xdr:colOff>
      <xdr:row>12</xdr:row>
      <xdr:rowOff>78330</xdr:rowOff>
    </xdr:from>
    <xdr:to>
      <xdr:col>17</xdr:col>
      <xdr:colOff>370407</xdr:colOff>
      <xdr:row>22</xdr:row>
      <xdr:rowOff>5953</xdr:rowOff>
    </xdr:to>
    <xdr:sp macro="" textlink="">
      <xdr:nvSpPr>
        <xdr:cNvPr id="19" name="左中かっこ 18"/>
        <xdr:cNvSpPr/>
      </xdr:nvSpPr>
      <xdr:spPr>
        <a:xfrm>
          <a:off x="11038407" y="1995236"/>
          <a:ext cx="190500" cy="1654030"/>
        </a:xfrm>
        <a:prstGeom prst="leftBrace">
          <a:avLst>
            <a:gd name="adj1" fmla="val 8333"/>
            <a:gd name="adj2" fmla="val 66183"/>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386778</xdr:colOff>
      <xdr:row>12</xdr:row>
      <xdr:rowOff>75216</xdr:rowOff>
    </xdr:from>
    <xdr:to>
      <xdr:col>20</xdr:col>
      <xdr:colOff>327422</xdr:colOff>
      <xdr:row>22</xdr:row>
      <xdr:rowOff>11906</xdr:rowOff>
    </xdr:to>
    <xdr:sp macro="" textlink="">
      <xdr:nvSpPr>
        <xdr:cNvPr id="20" name="テキスト ボックス 19"/>
        <xdr:cNvSpPr txBox="1"/>
      </xdr:nvSpPr>
      <xdr:spPr>
        <a:xfrm>
          <a:off x="11245278" y="1992122"/>
          <a:ext cx="1940894" cy="1663097"/>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13</xdr:col>
      <xdr:colOff>641748</xdr:colOff>
      <xdr:row>17</xdr:row>
      <xdr:rowOff>156971</xdr:rowOff>
    </xdr:from>
    <xdr:to>
      <xdr:col>17</xdr:col>
      <xdr:colOff>73423</xdr:colOff>
      <xdr:row>22</xdr:row>
      <xdr:rowOff>111672</xdr:rowOff>
    </xdr:to>
    <xdr:sp macro="" textlink="">
      <xdr:nvSpPr>
        <xdr:cNvPr id="21" name="テキスト ボックス 20"/>
        <xdr:cNvSpPr txBox="1"/>
      </xdr:nvSpPr>
      <xdr:spPr>
        <a:xfrm>
          <a:off x="8872662" y="2909368"/>
          <a:ext cx="2111813" cy="808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＜地域経済波及効果の条件入力＞</a:t>
          </a:r>
          <a:endParaRPr kumimoji="1" lang="en-US" altLang="ja-JP" sz="900"/>
        </a:p>
        <a:p>
          <a:r>
            <a:rPr kumimoji="1" lang="ja-JP" altLang="en-US" sz="900"/>
            <a:t>明らかになっている範囲で入力ください（デフォルトは想定値）</a:t>
          </a:r>
          <a:endParaRPr kumimoji="1" lang="en-US" altLang="ja-JP" sz="900"/>
        </a:p>
      </xdr:txBody>
    </xdr:sp>
    <xdr:clientData/>
  </xdr:twoCellAnchor>
  <xdr:twoCellAnchor>
    <xdr:from>
      <xdr:col>8</xdr:col>
      <xdr:colOff>535781</xdr:colOff>
      <xdr:row>12</xdr:row>
      <xdr:rowOff>63827</xdr:rowOff>
    </xdr:from>
    <xdr:to>
      <xdr:col>13</xdr:col>
      <xdr:colOff>275767</xdr:colOff>
      <xdr:row>17</xdr:row>
      <xdr:rowOff>77391</xdr:rowOff>
    </xdr:to>
    <xdr:sp macro="" textlink="">
      <xdr:nvSpPr>
        <xdr:cNvPr id="22" name="テキスト ボックス 21"/>
        <xdr:cNvSpPr txBox="1"/>
      </xdr:nvSpPr>
      <xdr:spPr>
        <a:xfrm>
          <a:off x="5393531" y="1980733"/>
          <a:ext cx="3073736" cy="876767"/>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17</xdr:col>
      <xdr:colOff>361122</xdr:colOff>
      <xdr:row>23</xdr:row>
      <xdr:rowOff>133570</xdr:rowOff>
    </xdr:from>
    <xdr:to>
      <xdr:col>25</xdr:col>
      <xdr:colOff>408609</xdr:colOff>
      <xdr:row>33</xdr:row>
      <xdr:rowOff>113110</xdr:rowOff>
    </xdr:to>
    <xdr:sp macro="" textlink="">
      <xdr:nvSpPr>
        <xdr:cNvPr id="23" name="テキスト ボックス 22"/>
        <xdr:cNvSpPr txBox="1"/>
      </xdr:nvSpPr>
      <xdr:spPr>
        <a:xfrm>
          <a:off x="11219622" y="3949523"/>
          <a:ext cx="5381487" cy="1705946"/>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17</xdr:col>
      <xdr:colOff>145653</xdr:colOff>
      <xdr:row>23</xdr:row>
      <xdr:rowOff>154078</xdr:rowOff>
    </xdr:from>
    <xdr:to>
      <xdr:col>17</xdr:col>
      <xdr:colOff>349680</xdr:colOff>
      <xdr:row>33</xdr:row>
      <xdr:rowOff>92505</xdr:rowOff>
    </xdr:to>
    <xdr:sp macro="" textlink="">
      <xdr:nvSpPr>
        <xdr:cNvPr id="24" name="左中かっこ 23"/>
        <xdr:cNvSpPr/>
      </xdr:nvSpPr>
      <xdr:spPr>
        <a:xfrm>
          <a:off x="11004153" y="3970031"/>
          <a:ext cx="204027" cy="1664833"/>
        </a:xfrm>
        <a:prstGeom prst="leftBrace">
          <a:avLst>
            <a:gd name="adj1" fmla="val 8333"/>
            <a:gd name="adj2" fmla="val 23591"/>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600852</xdr:colOff>
      <xdr:row>23</xdr:row>
      <xdr:rowOff>141360</xdr:rowOff>
    </xdr:from>
    <xdr:to>
      <xdr:col>17</xdr:col>
      <xdr:colOff>72904</xdr:colOff>
      <xdr:row>29</xdr:row>
      <xdr:rowOff>72258</xdr:rowOff>
    </xdr:to>
    <xdr:sp macro="" textlink="">
      <xdr:nvSpPr>
        <xdr:cNvPr id="25" name="テキスト ボックス 24"/>
        <xdr:cNvSpPr txBox="1"/>
      </xdr:nvSpPr>
      <xdr:spPr>
        <a:xfrm>
          <a:off x="8831766" y="3918515"/>
          <a:ext cx="2152190" cy="955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＜循環する費用・経済効果の整理＞事業開始前（左）と事業開始後（右）におけるキャッシュの循環や、経済効果を表しております</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206377</xdr:colOff>
      <xdr:row>69</xdr:row>
      <xdr:rowOff>259291</xdr:rowOff>
    </xdr:from>
    <xdr:to>
      <xdr:col>12</xdr:col>
      <xdr:colOff>611910</xdr:colOff>
      <xdr:row>85</xdr:row>
      <xdr:rowOff>123291</xdr:rowOff>
    </xdr:to>
    <xdr:graphicFrame macro="">
      <xdr:nvGraphicFramePr>
        <xdr:cNvPr id="21" name="グラフ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xdr:row>
      <xdr:rowOff>0</xdr:rowOff>
    </xdr:from>
    <xdr:to>
      <xdr:col>14</xdr:col>
      <xdr:colOff>226785</xdr:colOff>
      <xdr:row>14</xdr:row>
      <xdr:rowOff>34636</xdr:rowOff>
    </xdr:to>
    <xdr:graphicFrame macro="">
      <xdr:nvGraphicFramePr>
        <xdr:cNvPr id="24" name="グラフ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417286</xdr:colOff>
      <xdr:row>3</xdr:row>
      <xdr:rowOff>19655</xdr:rowOff>
    </xdr:from>
    <xdr:to>
      <xdr:col>17</xdr:col>
      <xdr:colOff>399144</xdr:colOff>
      <xdr:row>14</xdr:row>
      <xdr:rowOff>54291</xdr:rowOff>
    </xdr:to>
    <xdr:graphicFrame macro="">
      <xdr:nvGraphicFramePr>
        <xdr:cNvPr id="25" name="グラフ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151</xdr:row>
      <xdr:rowOff>0</xdr:rowOff>
    </xdr:from>
    <xdr:to>
      <xdr:col>17</xdr:col>
      <xdr:colOff>13607</xdr:colOff>
      <xdr:row>165</xdr:row>
      <xdr:rowOff>0</xdr:rowOff>
    </xdr:to>
    <xdr:graphicFrame macro="">
      <xdr:nvGraphicFramePr>
        <xdr:cNvPr id="30" name="グラフ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623454</xdr:colOff>
      <xdr:row>167</xdr:row>
      <xdr:rowOff>130367</xdr:rowOff>
    </xdr:from>
    <xdr:to>
      <xdr:col>14</xdr:col>
      <xdr:colOff>265545</xdr:colOff>
      <xdr:row>169</xdr:row>
      <xdr:rowOff>70716</xdr:rowOff>
    </xdr:to>
    <xdr:sp macro="" textlink="">
      <xdr:nvSpPr>
        <xdr:cNvPr id="32" name="二等辺三角形 31"/>
        <xdr:cNvSpPr/>
      </xdr:nvSpPr>
      <xdr:spPr>
        <a:xfrm rot="10800000">
          <a:off x="5512954" y="34674367"/>
          <a:ext cx="9214716" cy="400724"/>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6</xdr:col>
      <xdr:colOff>144328</xdr:colOff>
      <xdr:row>174</xdr:row>
      <xdr:rowOff>10365</xdr:rowOff>
    </xdr:from>
    <xdr:to>
      <xdr:col>6</xdr:col>
      <xdr:colOff>673483</xdr:colOff>
      <xdr:row>191</xdr:row>
      <xdr:rowOff>162600</xdr:rowOff>
    </xdr:to>
    <xdr:sp macro="" textlink="">
      <xdr:nvSpPr>
        <xdr:cNvPr id="38" name="二等辺三角形 37"/>
        <xdr:cNvSpPr/>
      </xdr:nvSpPr>
      <xdr:spPr>
        <a:xfrm rot="5400000">
          <a:off x="5447424" y="41662082"/>
          <a:ext cx="4470235" cy="52915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216204</xdr:colOff>
      <xdr:row>201</xdr:row>
      <xdr:rowOff>190499</xdr:rowOff>
    </xdr:from>
    <xdr:to>
      <xdr:col>21</xdr:col>
      <xdr:colOff>923637</xdr:colOff>
      <xdr:row>219</xdr:row>
      <xdr:rowOff>71437</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31749</xdr:colOff>
      <xdr:row>238</xdr:row>
      <xdr:rowOff>84667</xdr:rowOff>
    </xdr:from>
    <xdr:to>
      <xdr:col>9</xdr:col>
      <xdr:colOff>1058332</xdr:colOff>
      <xdr:row>252</xdr:row>
      <xdr:rowOff>201084</xdr:rowOff>
    </xdr:to>
    <xdr:graphicFrame macro="">
      <xdr:nvGraphicFramePr>
        <xdr:cNvPr id="17" name="グラフ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222</xdr:row>
      <xdr:rowOff>1</xdr:rowOff>
    </xdr:from>
    <xdr:to>
      <xdr:col>9</xdr:col>
      <xdr:colOff>1063625</xdr:colOff>
      <xdr:row>236</xdr:row>
      <xdr:rowOff>158751</xdr:rowOff>
    </xdr:to>
    <xdr:graphicFrame macro="">
      <xdr:nvGraphicFramePr>
        <xdr:cNvPr id="18" name="グラフ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1223818</xdr:colOff>
      <xdr:row>173</xdr:row>
      <xdr:rowOff>80818</xdr:rowOff>
    </xdr:from>
    <xdr:to>
      <xdr:col>20</xdr:col>
      <xdr:colOff>415637</xdr:colOff>
      <xdr:row>199</xdr:row>
      <xdr:rowOff>96536</xdr:rowOff>
    </xdr:to>
    <xdr:grpSp>
      <xdr:nvGrpSpPr>
        <xdr:cNvPr id="11" name="グループ化 10"/>
        <xdr:cNvGrpSpPr/>
      </xdr:nvGrpSpPr>
      <xdr:grpSpPr>
        <a:xfrm>
          <a:off x="8471889" y="39759247"/>
          <a:ext cx="11075391" cy="6628789"/>
          <a:chOff x="8497454" y="39277636"/>
          <a:chExt cx="10898910" cy="6631264"/>
        </a:xfrm>
      </xdr:grpSpPr>
      <xdr:pic>
        <xdr:nvPicPr>
          <xdr:cNvPr id="10" name="図 9"/>
          <xdr:cNvPicPr>
            <a:picLocks noChangeAspect="1"/>
          </xdr:cNvPicPr>
        </xdr:nvPicPr>
        <xdr:blipFill>
          <a:blip xmlns:r="http://schemas.openxmlformats.org/officeDocument/2006/relationships" r:embed="rId8"/>
          <a:stretch>
            <a:fillRect/>
          </a:stretch>
        </xdr:blipFill>
        <xdr:spPr>
          <a:xfrm>
            <a:off x="8497454" y="39277636"/>
            <a:ext cx="10898910" cy="6631264"/>
          </a:xfrm>
          <a:prstGeom prst="rect">
            <a:avLst/>
          </a:prstGeom>
        </xdr:spPr>
      </xdr:pic>
      <xdr:sp macro="" textlink="$Z$204">
        <xdr:nvSpPr>
          <xdr:cNvPr id="3" name="テキスト ボックス 2"/>
          <xdr:cNvSpPr txBox="1"/>
        </xdr:nvSpPr>
        <xdr:spPr>
          <a:xfrm>
            <a:off x="12944430" y="40625078"/>
            <a:ext cx="2174012" cy="453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3B2679F0-D979-424E-B8BA-FEB271C65EE6}" type="TxLink">
              <a:rPr kumimoji="1" lang="en-US" altLang="en-US" sz="2000" b="0" i="0" u="none" strike="noStrike">
                <a:solidFill>
                  <a:srgbClr val="000000"/>
                </a:solidFill>
                <a:latin typeface="Arial" panose="020B0604020202020204" pitchFamily="34" charset="0"/>
                <a:ea typeface="ＭＳ Ｐゴシック"/>
                <a:cs typeface="Arial" panose="020B0604020202020204" pitchFamily="34" charset="0"/>
              </a:rPr>
              <a:pPr algn="r"/>
              <a:t>2,839</a:t>
            </a:fld>
            <a:endParaRPr kumimoji="1" lang="en-US" altLang="ja-JP" sz="2800">
              <a:latin typeface="Arial" panose="020B0604020202020204" pitchFamily="34" charset="0"/>
              <a:cs typeface="Arial" panose="020B0604020202020204" pitchFamily="34" charset="0"/>
            </a:endParaRPr>
          </a:p>
        </xdr:txBody>
      </xdr:sp>
      <xdr:sp macro="" textlink="$D$200">
        <xdr:nvSpPr>
          <xdr:cNvPr id="16" name="テキスト ボックス 15"/>
          <xdr:cNvSpPr txBox="1"/>
        </xdr:nvSpPr>
        <xdr:spPr>
          <a:xfrm>
            <a:off x="12935043" y="41583942"/>
            <a:ext cx="2163509" cy="441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8D75D982-F865-4442-8DE7-C1FFAB94B6D8}"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1,419</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S$159">
        <xdr:nvSpPr>
          <xdr:cNvPr id="22" name="テキスト ボックス 21"/>
          <xdr:cNvSpPr txBox="1"/>
        </xdr:nvSpPr>
        <xdr:spPr>
          <a:xfrm>
            <a:off x="9605819" y="45210648"/>
            <a:ext cx="2675510" cy="565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9C4A0C61-6BB7-4DB0-A917-69E6F06CBC3E}" type="TxLink">
              <a:rPr kumimoji="1" lang="en-US" altLang="en-US" sz="3600" b="0" i="0" u="none" strike="noStrike">
                <a:solidFill>
                  <a:srgbClr val="000000"/>
                </a:solidFill>
                <a:latin typeface="Arial" panose="020B0604020202020204" pitchFamily="34" charset="0"/>
                <a:ea typeface="ＭＳ Ｐゴシック"/>
                <a:cs typeface="Arial" panose="020B0604020202020204" pitchFamily="34" charset="0"/>
              </a:rPr>
              <a:pPr marL="0" indent="0" algn="r"/>
              <a:t>3,780</a:t>
            </a:fld>
            <a:endParaRPr kumimoji="1" lang="en-US" altLang="ja-JP" sz="3600" b="0" i="0" u="none" strike="noStrike">
              <a:solidFill>
                <a:srgbClr val="000000"/>
              </a:solidFill>
              <a:latin typeface="Arial" panose="020B0604020202020204" pitchFamily="34" charset="0"/>
              <a:ea typeface="ＭＳ Ｐゴシック"/>
              <a:cs typeface="Arial" panose="020B0604020202020204" pitchFamily="34" charset="0"/>
            </a:endParaRPr>
          </a:p>
        </xdr:txBody>
      </xdr:sp>
      <xdr:sp macro="" textlink="$D$214">
        <xdr:nvSpPr>
          <xdr:cNvPr id="23" name="テキスト ボックス 22"/>
          <xdr:cNvSpPr txBox="1"/>
        </xdr:nvSpPr>
        <xdr:spPr>
          <a:xfrm>
            <a:off x="9541819" y="43740432"/>
            <a:ext cx="1891446" cy="45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5EBDB7F0-C05F-486C-8C35-2CC981A15FF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0</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16">
        <xdr:nvSpPr>
          <xdr:cNvPr id="26" name="テキスト ボックス 25"/>
          <xdr:cNvSpPr txBox="1"/>
        </xdr:nvSpPr>
        <xdr:spPr>
          <a:xfrm>
            <a:off x="9626413" y="42245799"/>
            <a:ext cx="1792877" cy="4608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004CD32A-A8C1-4197-8C87-0F71B422FCD9}"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0</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20">
        <xdr:nvSpPr>
          <xdr:cNvPr id="27" name="テキスト ボックス 26"/>
          <xdr:cNvSpPr txBox="1"/>
        </xdr:nvSpPr>
        <xdr:spPr>
          <a:xfrm>
            <a:off x="9626413" y="40639220"/>
            <a:ext cx="1785075" cy="393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5967DB8F-821D-4493-9E4B-F035ED5A7740}"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0</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02">
        <xdr:nvSpPr>
          <xdr:cNvPr id="28" name="テキスト ボックス 27"/>
          <xdr:cNvSpPr txBox="1"/>
        </xdr:nvSpPr>
        <xdr:spPr>
          <a:xfrm>
            <a:off x="16473831" y="40441424"/>
            <a:ext cx="2104841" cy="464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9BD8C8B-25FB-40CB-AB33-6B3DCEC30F7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67</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04">
        <xdr:nvSpPr>
          <xdr:cNvPr id="29" name="テキスト ボックス 28"/>
          <xdr:cNvSpPr txBox="1"/>
        </xdr:nvSpPr>
        <xdr:spPr>
          <a:xfrm>
            <a:off x="16522711" y="41825961"/>
            <a:ext cx="2070847" cy="418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0A3FBB36-0011-4FBB-B5E5-EBB112831A5B}"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194</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08">
        <xdr:nvSpPr>
          <xdr:cNvPr id="31" name="テキスト ボックス 30"/>
          <xdr:cNvSpPr txBox="1"/>
        </xdr:nvSpPr>
        <xdr:spPr>
          <a:xfrm>
            <a:off x="15560459" y="42683090"/>
            <a:ext cx="1216989" cy="348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9BC52213-8D4F-4452-A52D-F0A85CD4FF79}" type="TxLink">
              <a:rPr kumimoji="1" lang="en-US" altLang="en-US" sz="1600" b="0" i="0" u="none" strike="noStrike">
                <a:solidFill>
                  <a:srgbClr val="000000"/>
                </a:solidFill>
                <a:latin typeface="Arial"/>
                <a:ea typeface="ＭＳ Ｐゴシック"/>
                <a:cs typeface="Arial"/>
              </a:rPr>
              <a:pPr algn="r"/>
              <a:t>1,750</a:t>
            </a:fld>
            <a:endParaRPr kumimoji="1" lang="en-US" altLang="ja-JP" sz="2400">
              <a:latin typeface="Arial" panose="020B0604020202020204" pitchFamily="34" charset="0"/>
              <a:cs typeface="Arial" panose="020B0604020202020204" pitchFamily="34" charset="0"/>
            </a:endParaRPr>
          </a:p>
        </xdr:txBody>
      </xdr:sp>
      <xdr:sp macro="" textlink="$D$206">
        <xdr:nvSpPr>
          <xdr:cNvPr id="34" name="テキスト ボックス 33"/>
          <xdr:cNvSpPr txBox="1"/>
        </xdr:nvSpPr>
        <xdr:spPr>
          <a:xfrm>
            <a:off x="14449659" y="43033198"/>
            <a:ext cx="1078039" cy="346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893BE6C5-25EF-4EE3-9C16-99116EC13F74}" type="TxLink">
              <a:rPr kumimoji="1" lang="en-US" altLang="en-US" sz="1600" b="0" i="0" u="none" strike="noStrike">
                <a:solidFill>
                  <a:srgbClr val="000000"/>
                </a:solidFill>
                <a:latin typeface="Arial"/>
                <a:ea typeface="ＭＳ Ｐゴシック"/>
                <a:cs typeface="Arial"/>
              </a:rPr>
              <a:pPr algn="r"/>
              <a:t>888</a:t>
            </a:fld>
            <a:endParaRPr kumimoji="1" lang="en-US" altLang="ja-JP" sz="2400">
              <a:latin typeface="Arial" panose="020B0604020202020204" pitchFamily="34" charset="0"/>
              <a:cs typeface="Arial" panose="020B0604020202020204" pitchFamily="34" charset="0"/>
            </a:endParaRPr>
          </a:p>
        </xdr:txBody>
      </xdr:sp>
      <xdr:sp macro="" textlink="$D$207">
        <xdr:nvSpPr>
          <xdr:cNvPr id="35" name="テキスト ボックス 34"/>
          <xdr:cNvSpPr txBox="1"/>
        </xdr:nvSpPr>
        <xdr:spPr>
          <a:xfrm>
            <a:off x="17642607" y="43001358"/>
            <a:ext cx="896754" cy="354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40801874-B3A7-4499-86E4-D2C9869D1D65}" type="TxLink">
              <a:rPr kumimoji="1" lang="en-US" altLang="en-US" sz="1600" b="0" i="0" u="none" strike="noStrike">
                <a:solidFill>
                  <a:srgbClr val="000000"/>
                </a:solidFill>
                <a:latin typeface="Arial"/>
                <a:ea typeface="ＭＳ Ｐゴシック"/>
                <a:cs typeface="Arial"/>
              </a:rPr>
              <a:pPr algn="r"/>
              <a:t>862</a:t>
            </a:fld>
            <a:endParaRPr kumimoji="1" lang="en-US" altLang="ja-JP" sz="2400">
              <a:latin typeface="Arial" panose="020B0604020202020204" pitchFamily="34" charset="0"/>
              <a:cs typeface="Arial" panose="020B0604020202020204" pitchFamily="34" charset="0"/>
            </a:endParaRPr>
          </a:p>
        </xdr:txBody>
      </xdr:sp>
      <xdr:sp macro="" textlink="$D$212">
        <xdr:nvSpPr>
          <xdr:cNvPr id="36" name="テキスト ボックス 35"/>
          <xdr:cNvSpPr txBox="1"/>
        </xdr:nvSpPr>
        <xdr:spPr>
          <a:xfrm>
            <a:off x="13983790" y="43445546"/>
            <a:ext cx="1546537" cy="530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A69A828-705F-4347-896C-76BC1A193D6F}" type="TxLink">
              <a:rPr kumimoji="1" lang="en-US" altLang="en-US" sz="1600" b="0" i="0" u="none" strike="noStrike">
                <a:solidFill>
                  <a:srgbClr val="000000"/>
                </a:solidFill>
                <a:latin typeface="Arial"/>
                <a:ea typeface="ＭＳ Ｐゴシック"/>
                <a:cs typeface="Arial"/>
              </a:rPr>
              <a:pPr algn="r"/>
              <a:t>1,769</a:t>
            </a:fld>
            <a:endParaRPr kumimoji="1" lang="en-US" altLang="ja-JP" sz="2400">
              <a:latin typeface="Arial" panose="020B0604020202020204" pitchFamily="34" charset="0"/>
              <a:cs typeface="Arial" panose="020B0604020202020204" pitchFamily="34" charset="0"/>
            </a:endParaRPr>
          </a:p>
        </xdr:txBody>
      </xdr:sp>
      <xdr:sp macro="" textlink="$D$210">
        <xdr:nvSpPr>
          <xdr:cNvPr id="37" name="テキスト ボックス 36"/>
          <xdr:cNvSpPr txBox="1"/>
        </xdr:nvSpPr>
        <xdr:spPr>
          <a:xfrm>
            <a:off x="14445490" y="44007861"/>
            <a:ext cx="1084068" cy="340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F4DF941C-53CD-43E3-94E2-3754CF4AF248}" type="TxLink">
              <a:rPr kumimoji="1" lang="en-US" altLang="en-US" sz="1600" b="0" i="0" u="none" strike="noStrike">
                <a:solidFill>
                  <a:srgbClr val="000000"/>
                </a:solidFill>
                <a:latin typeface="Arial"/>
                <a:ea typeface="ＭＳ Ｐゴシック"/>
                <a:cs typeface="Arial"/>
              </a:rPr>
              <a:pPr algn="r"/>
              <a:t>858</a:t>
            </a:fld>
            <a:endParaRPr kumimoji="1" lang="en-US" altLang="ja-JP" sz="2400">
              <a:latin typeface="Arial" panose="020B0604020202020204" pitchFamily="34" charset="0"/>
              <a:cs typeface="Arial" panose="020B0604020202020204" pitchFamily="34" charset="0"/>
            </a:endParaRPr>
          </a:p>
        </xdr:txBody>
      </xdr:sp>
      <xdr:sp macro="" textlink="$D$211">
        <xdr:nvSpPr>
          <xdr:cNvPr id="39" name="テキスト ボックス 38"/>
          <xdr:cNvSpPr txBox="1"/>
        </xdr:nvSpPr>
        <xdr:spPr>
          <a:xfrm>
            <a:off x="17290252" y="44019908"/>
            <a:ext cx="1260477" cy="348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140BDAA6-B4D2-4D6E-80B6-1D8EACCB4699}" type="TxLink">
              <a:rPr kumimoji="1" lang="en-US" altLang="en-US" sz="1600" b="0" i="0" u="none" strike="noStrike">
                <a:solidFill>
                  <a:srgbClr val="000000"/>
                </a:solidFill>
                <a:latin typeface="Arial"/>
                <a:ea typeface="ＭＳ Ｐゴシック"/>
                <a:cs typeface="Arial"/>
              </a:rPr>
              <a:pPr algn="r"/>
              <a:t>911</a:t>
            </a:fld>
            <a:endParaRPr kumimoji="1" lang="en-US" altLang="ja-JP" sz="2400">
              <a:latin typeface="Arial" panose="020B0604020202020204" pitchFamily="34" charset="0"/>
              <a:cs typeface="Arial" panose="020B0604020202020204" pitchFamily="34" charset="0"/>
            </a:endParaRPr>
          </a:p>
        </xdr:txBody>
      </xdr:sp>
    </xdr:grpSp>
    <xdr:clientData/>
  </xdr:twoCellAnchor>
  <xdr:twoCellAnchor>
    <xdr:from>
      <xdr:col>1</xdr:col>
      <xdr:colOff>427181</xdr:colOff>
      <xdr:row>175</xdr:row>
      <xdr:rowOff>46182</xdr:rowOff>
    </xdr:from>
    <xdr:to>
      <xdr:col>5</xdr:col>
      <xdr:colOff>242453</xdr:colOff>
      <xdr:row>189</xdr:row>
      <xdr:rowOff>245189</xdr:rowOff>
    </xdr:to>
    <xdr:grpSp>
      <xdr:nvGrpSpPr>
        <xdr:cNvPr id="8" name="グループ化 7"/>
        <xdr:cNvGrpSpPr/>
      </xdr:nvGrpSpPr>
      <xdr:grpSpPr>
        <a:xfrm>
          <a:off x="644895" y="40232611"/>
          <a:ext cx="5820558" cy="3755007"/>
          <a:chOff x="646545" y="39231455"/>
          <a:chExt cx="5841999" cy="3755007"/>
        </a:xfrm>
      </xdr:grpSpPr>
      <xdr:pic>
        <xdr:nvPicPr>
          <xdr:cNvPr id="7" name="図 6"/>
          <xdr:cNvPicPr>
            <a:picLocks noChangeAspect="1"/>
          </xdr:cNvPicPr>
        </xdr:nvPicPr>
        <xdr:blipFill>
          <a:blip xmlns:r="http://schemas.openxmlformats.org/officeDocument/2006/relationships" r:embed="rId9"/>
          <a:stretch>
            <a:fillRect/>
          </a:stretch>
        </xdr:blipFill>
        <xdr:spPr>
          <a:xfrm>
            <a:off x="646545" y="39231455"/>
            <a:ext cx="5841999" cy="3755007"/>
          </a:xfrm>
          <a:prstGeom prst="rect">
            <a:avLst/>
          </a:prstGeom>
        </xdr:spPr>
      </xdr:pic>
      <xdr:grpSp>
        <xdr:nvGrpSpPr>
          <xdr:cNvPr id="2" name="グループ化 1"/>
          <xdr:cNvGrpSpPr/>
        </xdr:nvGrpSpPr>
        <xdr:grpSpPr>
          <a:xfrm>
            <a:off x="691177" y="39718536"/>
            <a:ext cx="1735382" cy="3144849"/>
            <a:chOff x="726596" y="38291025"/>
            <a:chExt cx="1884654" cy="3190378"/>
          </a:xfrm>
        </xdr:grpSpPr>
        <xdr:sp macro="" textlink="$Z$203">
          <xdr:nvSpPr>
            <xdr:cNvPr id="19" name="テキスト ボックス 18"/>
            <xdr:cNvSpPr txBox="1"/>
          </xdr:nvSpPr>
          <xdr:spPr>
            <a:xfrm>
              <a:off x="1103213" y="41009021"/>
              <a:ext cx="1402599" cy="472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591E17EB-6A2E-4371-A806-BE59F8F36CF2}"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9,900 </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Z$201">
          <xdr:nvSpPr>
            <xdr:cNvPr id="40" name="テキスト ボックス 39"/>
            <xdr:cNvSpPr txBox="1"/>
          </xdr:nvSpPr>
          <xdr:spPr>
            <a:xfrm>
              <a:off x="878030" y="38291025"/>
              <a:ext cx="1730142" cy="465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FD215051-645F-4EF9-AE1F-5BC7D93E3F6F}"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488,962</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Z$202">
          <xdr:nvSpPr>
            <xdr:cNvPr id="41" name="テキスト ボックス 40"/>
            <xdr:cNvSpPr txBox="1"/>
          </xdr:nvSpPr>
          <xdr:spPr>
            <a:xfrm>
              <a:off x="726596" y="39353758"/>
              <a:ext cx="1884654" cy="4658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4E214DD-263A-41AA-AB6A-642678C49CD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104,479 </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grpSp>
    </xdr:grpSp>
    <xdr:clientData/>
  </xdr:twoCellAnchor>
  <xdr:twoCellAnchor>
    <xdr:from>
      <xdr:col>1</xdr:col>
      <xdr:colOff>1</xdr:colOff>
      <xdr:row>89</xdr:row>
      <xdr:rowOff>0</xdr:rowOff>
    </xdr:from>
    <xdr:to>
      <xdr:col>12</xdr:col>
      <xdr:colOff>588820</xdr:colOff>
      <xdr:row>116</xdr:row>
      <xdr:rowOff>12500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1027544</xdr:colOff>
      <xdr:row>119</xdr:row>
      <xdr:rowOff>0</xdr:rowOff>
    </xdr:from>
    <xdr:to>
      <xdr:col>12</xdr:col>
      <xdr:colOff>588819</xdr:colOff>
      <xdr:row>136</xdr:row>
      <xdr:rowOff>31000</xdr:rowOff>
    </xdr:to>
    <xdr:graphicFrame macro="">
      <xdr:nvGraphicFramePr>
        <xdr:cNvPr id="45" name="グラフ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3630</xdr:colOff>
      <xdr:row>25</xdr:row>
      <xdr:rowOff>99391</xdr:rowOff>
    </xdr:from>
    <xdr:to>
      <xdr:col>3</xdr:col>
      <xdr:colOff>8283</xdr:colOff>
      <xdr:row>26</xdr:row>
      <xdr:rowOff>261017</xdr:rowOff>
    </xdr:to>
    <xdr:cxnSp macro="">
      <xdr:nvCxnSpPr>
        <xdr:cNvPr id="50" name="直線矢印コネクタ 49"/>
        <xdr:cNvCxnSpPr/>
      </xdr:nvCxnSpPr>
      <xdr:spPr>
        <a:xfrm flipV="1">
          <a:off x="2463565" y="5541065"/>
          <a:ext cx="1412696" cy="4183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2169021</xdr:colOff>
      <xdr:row>26</xdr:row>
      <xdr:rowOff>74543</xdr:rowOff>
    </xdr:from>
    <xdr:to>
      <xdr:col>2</xdr:col>
      <xdr:colOff>1399761</xdr:colOff>
      <xdr:row>27</xdr:row>
      <xdr:rowOff>11513</xdr:rowOff>
    </xdr:to>
    <xdr:cxnSp macro="">
      <xdr:nvCxnSpPr>
        <xdr:cNvPr id="51" name="直線矢印コネクタ 50"/>
        <xdr:cNvCxnSpPr/>
      </xdr:nvCxnSpPr>
      <xdr:spPr>
        <a:xfrm flipV="1">
          <a:off x="2409217" y="5772978"/>
          <a:ext cx="1450479" cy="20201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2186613</xdr:colOff>
      <xdr:row>26</xdr:row>
      <xdr:rowOff>256762</xdr:rowOff>
    </xdr:from>
    <xdr:to>
      <xdr:col>2</xdr:col>
      <xdr:colOff>1399761</xdr:colOff>
      <xdr:row>27</xdr:row>
      <xdr:rowOff>99392</xdr:rowOff>
    </xdr:to>
    <xdr:cxnSp macro="">
      <xdr:nvCxnSpPr>
        <xdr:cNvPr id="52" name="直線矢印コネクタ 51"/>
        <xdr:cNvCxnSpPr/>
      </xdr:nvCxnSpPr>
      <xdr:spPr>
        <a:xfrm>
          <a:off x="2426809" y="5955197"/>
          <a:ext cx="1432887" cy="1076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27</xdr:row>
      <xdr:rowOff>0</xdr:rowOff>
    </xdr:from>
    <xdr:to>
      <xdr:col>3</xdr:col>
      <xdr:colOff>601</xdr:colOff>
      <xdr:row>29</xdr:row>
      <xdr:rowOff>133223</xdr:rowOff>
    </xdr:to>
    <xdr:cxnSp macro="">
      <xdr:nvCxnSpPr>
        <xdr:cNvPr id="53" name="直線矢印コネクタ 52"/>
        <xdr:cNvCxnSpPr/>
      </xdr:nvCxnSpPr>
      <xdr:spPr>
        <a:xfrm>
          <a:off x="2459935" y="5963478"/>
          <a:ext cx="1408644" cy="6550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3629</xdr:colOff>
      <xdr:row>26</xdr:row>
      <xdr:rowOff>263302</xdr:rowOff>
    </xdr:from>
    <xdr:to>
      <xdr:col>3</xdr:col>
      <xdr:colOff>0</xdr:colOff>
      <xdr:row>28</xdr:row>
      <xdr:rowOff>157370</xdr:rowOff>
    </xdr:to>
    <xdr:cxnSp macro="">
      <xdr:nvCxnSpPr>
        <xdr:cNvPr id="54" name="直線矢印コネクタ 53"/>
        <xdr:cNvCxnSpPr/>
      </xdr:nvCxnSpPr>
      <xdr:spPr>
        <a:xfrm>
          <a:off x="2463564" y="5961737"/>
          <a:ext cx="1404414" cy="4158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265545</xdr:colOff>
      <xdr:row>192</xdr:row>
      <xdr:rowOff>0</xdr:rowOff>
    </xdr:from>
    <xdr:to>
      <xdr:col>6</xdr:col>
      <xdr:colOff>217715</xdr:colOff>
      <xdr:row>196</xdr:row>
      <xdr:rowOff>92363</xdr:rowOff>
    </xdr:to>
    <xdr:sp macro="" textlink="">
      <xdr:nvSpPr>
        <xdr:cNvPr id="9" name="テキスト ボックス 8"/>
        <xdr:cNvSpPr txBox="1"/>
      </xdr:nvSpPr>
      <xdr:spPr>
        <a:xfrm>
          <a:off x="483259" y="44268571"/>
          <a:ext cx="6982527" cy="1108363"/>
        </a:xfrm>
        <a:prstGeom prst="rect">
          <a:avLst/>
        </a:prstGeom>
        <a:solidFill>
          <a:schemeClr val="bg1">
            <a:lumMod val="95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0" i="0" u="none" strike="noStrike">
              <a:solidFill>
                <a:srgbClr val="000000"/>
              </a:solidFill>
              <a:latin typeface="+mn-ea"/>
              <a:ea typeface="+mn-ea"/>
              <a:cs typeface="Arial" panose="020B0604020202020204" pitchFamily="34" charset="0"/>
            </a:rPr>
            <a:t>地域の定義を都道府県内とする場合、⑤自治体地方税の総額を考慮し、市町村とする場合は市町村税のみを考慮</a:t>
          </a:r>
          <a:endParaRPr kumimoji="1" lang="en-US" altLang="ja-JP" sz="1400" b="0" i="0" u="none" strike="noStrike">
            <a:solidFill>
              <a:srgbClr val="000000"/>
            </a:solidFill>
            <a:latin typeface="+mn-ea"/>
            <a:ea typeface="+mn-ea"/>
            <a:cs typeface="Arial" panose="020B0604020202020204" pitchFamily="34" charset="0"/>
          </a:endParaRPr>
        </a:p>
        <a:p>
          <a:pPr algn="l"/>
          <a:r>
            <a:rPr kumimoji="1" lang="ja-JP" altLang="en-US" sz="1400" b="0" i="0" u="none" strike="noStrike">
              <a:solidFill>
                <a:srgbClr val="000000"/>
              </a:solidFill>
              <a:latin typeface="+mn-ea"/>
              <a:ea typeface="+mn-ea"/>
              <a:cs typeface="Arial" panose="020B0604020202020204" pitchFamily="34" charset="0"/>
            </a:rPr>
            <a:t>その他のパラメータは</a:t>
          </a:r>
          <a:r>
            <a:rPr kumimoji="1" lang="en-US" altLang="ja-JP" sz="1400" b="0" i="0" u="none" strike="noStrike">
              <a:solidFill>
                <a:srgbClr val="000000"/>
              </a:solidFill>
              <a:latin typeface="+mn-ea"/>
              <a:ea typeface="+mn-ea"/>
              <a:cs typeface="Arial" panose="020B0604020202020204" pitchFamily="34" charset="0"/>
            </a:rPr>
            <a:t>E151</a:t>
          </a:r>
          <a:r>
            <a:rPr kumimoji="1" lang="ja-JP" altLang="en-US" sz="1400" b="0" i="0" u="none" strike="noStrike">
              <a:solidFill>
                <a:srgbClr val="000000"/>
              </a:solidFill>
              <a:latin typeface="+mn-ea"/>
              <a:ea typeface="+mn-ea"/>
              <a:cs typeface="Arial" panose="020B0604020202020204" pitchFamily="34" charset="0"/>
            </a:rPr>
            <a:t>～</a:t>
          </a:r>
          <a:r>
            <a:rPr kumimoji="1" lang="en-US" altLang="ja-JP" sz="1400" b="0" i="0" u="none" strike="noStrike">
              <a:solidFill>
                <a:srgbClr val="000000"/>
              </a:solidFill>
              <a:latin typeface="+mn-ea"/>
              <a:ea typeface="+mn-ea"/>
              <a:cs typeface="Arial" panose="020B0604020202020204" pitchFamily="34" charset="0"/>
            </a:rPr>
            <a:t>164</a:t>
          </a:r>
          <a:r>
            <a:rPr kumimoji="1" lang="ja-JP" altLang="en-US" sz="1400" b="0" i="0" u="none" strike="noStrike">
              <a:solidFill>
                <a:srgbClr val="000000"/>
              </a:solidFill>
              <a:latin typeface="+mn-ea"/>
              <a:ea typeface="+mn-ea"/>
              <a:cs typeface="Arial" panose="020B0604020202020204" pitchFamily="34" charset="0"/>
            </a:rPr>
            <a:t>セルの割合で決定されるため、都道府県・市町村での評価に応じてこれらを変更する</a:t>
          </a:r>
          <a:endParaRPr kumimoji="1" lang="en-US" altLang="ja-JP" sz="1400" b="0" i="0" u="none" strike="noStrike">
            <a:solidFill>
              <a:srgbClr val="000000"/>
            </a:solidFill>
            <a:latin typeface="+mn-ea"/>
            <a:ea typeface="+mn-ea"/>
            <a:cs typeface="Arial" panose="020B0604020202020204" pitchFamily="34" charset="0"/>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0.85534</cdr:x>
      <cdr:y>0.85273</cdr:y>
    </cdr:from>
    <cdr:to>
      <cdr:x>0.98153</cdr:x>
      <cdr:y>0.93579</cdr:y>
    </cdr:to>
    <cdr:sp macro="" textlink="">
      <cdr:nvSpPr>
        <cdr:cNvPr id="2" name="テキスト ボックス 1"/>
        <cdr:cNvSpPr txBox="1"/>
      </cdr:nvSpPr>
      <cdr:spPr>
        <a:xfrm xmlns:a="http://schemas.openxmlformats.org/drawingml/2006/main">
          <a:off x="6779179" y="3016898"/>
          <a:ext cx="1000150" cy="293861"/>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50"/>
            <a:t>（百万円</a:t>
          </a:r>
          <a:r>
            <a:rPr lang="en-US" altLang="ja-JP" sz="1050"/>
            <a:t>/</a:t>
          </a:r>
          <a:r>
            <a:rPr lang="ja-JP" altLang="en-US" sz="1050"/>
            <a:t>年）</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0.55446</cdr:x>
      <cdr:y>0.09594</cdr:y>
    </cdr:to>
    <cdr:sp macro="" textlink="">
      <cdr:nvSpPr>
        <cdr:cNvPr id="2" name="テキスト ボックス 1"/>
        <cdr:cNvSpPr txBox="1"/>
      </cdr:nvSpPr>
      <cdr:spPr>
        <a:xfrm xmlns:a="http://schemas.openxmlformats.org/drawingml/2006/main">
          <a:off x="0" y="0"/>
          <a:ext cx="96981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r>
            <a:rPr lang="en-US" altLang="ja-JP" sz="1100"/>
            <a:t>t-CO2</a:t>
          </a:r>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400"/>
            <a:t>（百万円）</a:t>
          </a:r>
        </a:p>
      </cdr:txBody>
    </cdr:sp>
  </cdr:relSizeAnchor>
</c:userShapes>
</file>

<file path=xl/drawings/drawing9.xml><?xml version="1.0" encoding="utf-8"?>
<c:userShapes xmlns:c="http://schemas.openxmlformats.org/drawingml/2006/chart">
  <cdr:relSizeAnchor xmlns:cdr="http://schemas.openxmlformats.org/drawingml/2006/chartDrawing">
    <cdr:from>
      <cdr:x>0.06875</cdr:x>
      <cdr:y>0.0352</cdr:y>
    </cdr:from>
    <cdr:to>
      <cdr:x>0.18519</cdr:x>
      <cdr:y>0.10121</cdr:y>
    </cdr:to>
    <cdr:sp macro="" textlink="">
      <cdr:nvSpPr>
        <cdr:cNvPr id="2" name="テキスト ボックス 1"/>
        <cdr:cNvSpPr txBox="1"/>
      </cdr:nvSpPr>
      <cdr:spPr>
        <a:xfrm xmlns:a="http://schemas.openxmlformats.org/drawingml/2006/main">
          <a:off x="696950" y="146778"/>
          <a:ext cx="1180442"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a:t>（百万円）</a:t>
          </a:r>
        </a:p>
      </cdr:txBody>
    </cdr:sp>
  </cdr:relSizeAnchor>
</c:userShapes>
</file>

<file path=xl/tables/table1.xml><?xml version="1.0" encoding="utf-8"?>
<table xmlns="http://schemas.openxmlformats.org/spreadsheetml/2006/main" id="1" name="テーブル1" displayName="テーブル1" ref="A1:D5" totalsRowShown="0">
  <autoFilter ref="A1:D5"/>
  <tableColumns count="4">
    <tableColumn id="1" name="バージョン"/>
    <tableColumn id="2" name="内容"/>
    <tableColumn id="3" name="関連出力シート"/>
    <tableColumn id="4" name="関連出力セル"/>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rtlCol="0" anchor="b"/>
      <a:lstStyle>
        <a:defPPr algn="r">
          <a:defRPr kumimoji="1"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oumu.go.jp/main_content/000758659.pdf" TargetMode="External"/><Relationship Id="rId2" Type="http://schemas.openxmlformats.org/officeDocument/2006/relationships/hyperlink" Target="https://www.pref.kyoto.jp/zeimu/documents/zeirituhyou.pdf" TargetMode="External"/><Relationship Id="rId1" Type="http://schemas.openxmlformats.org/officeDocument/2006/relationships/hyperlink" Target="https://www.soumu.go.jp/main_sosiki/jichi_zeisei/czaisei/czaisei_seido/pdf/ichiran06_h31/ichiran06_h31_00.pdf" TargetMode="External"/><Relationship Id="rId5" Type="http://schemas.openxmlformats.org/officeDocument/2006/relationships/printerSettings" Target="../printerSettings/printerSettings9.bin"/><Relationship Id="rId4" Type="http://schemas.openxmlformats.org/officeDocument/2006/relationships/hyperlink" Target="https://www.soumu.go.jp/main_sosiki/jichi_zeisei/czaisei/czaisei_seido/149767_04.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84"/>
  <sheetViews>
    <sheetView topLeftCell="A51" workbookViewId="0">
      <selection activeCell="F65" sqref="F65"/>
    </sheetView>
  </sheetViews>
  <sheetFormatPr defaultColWidth="8.7265625" defaultRowHeight="13" x14ac:dyDescent="0.2"/>
  <cols>
    <col min="1" max="2" width="8.7265625" style="552"/>
    <col min="3" max="3" width="12" style="552" customWidth="1"/>
    <col min="4" max="19" width="8.7265625" style="552"/>
    <col min="20" max="20" width="26.54296875" style="552" customWidth="1"/>
    <col min="21" max="16384" width="8.7265625" style="552"/>
  </cols>
  <sheetData>
    <row r="1" spans="1:20" s="1159" customFormat="1" ht="28" x14ac:dyDescent="0.2">
      <c r="A1" s="1159" t="s">
        <v>1211</v>
      </c>
    </row>
    <row r="2" spans="1:20" s="1161" customFormat="1" ht="22.5" customHeight="1" x14ac:dyDescent="0.2">
      <c r="A2" s="1160" t="s">
        <v>892</v>
      </c>
      <c r="B2" s="1160"/>
      <c r="C2" s="1160"/>
      <c r="D2" s="1160"/>
      <c r="E2" s="1160"/>
      <c r="F2" s="1160"/>
      <c r="G2" s="1160"/>
      <c r="H2" s="1160"/>
      <c r="I2" s="1160"/>
      <c r="J2" s="1160"/>
      <c r="K2" s="1160"/>
      <c r="L2" s="1160"/>
      <c r="M2" s="1160"/>
      <c r="N2" s="1160"/>
      <c r="O2" s="1160"/>
      <c r="P2" s="1160"/>
      <c r="Q2" s="1160"/>
      <c r="R2" s="1160"/>
      <c r="S2" s="1160"/>
      <c r="T2" s="1160"/>
    </row>
    <row r="3" spans="1:20" x14ac:dyDescent="0.2">
      <c r="A3" s="552" t="s">
        <v>927</v>
      </c>
    </row>
    <row r="4" spans="1:20" x14ac:dyDescent="0.2">
      <c r="A4" s="552" t="s">
        <v>924</v>
      </c>
    </row>
    <row r="5" spans="1:20" x14ac:dyDescent="0.2">
      <c r="A5" s="552" t="s">
        <v>926</v>
      </c>
    </row>
    <row r="6" spans="1:20" x14ac:dyDescent="0.2">
      <c r="A6" s="552" t="s">
        <v>925</v>
      </c>
    </row>
    <row r="7" spans="1:20" s="1161" customFormat="1" ht="26.5" customHeight="1" x14ac:dyDescent="0.2">
      <c r="A7" s="1160" t="s">
        <v>893</v>
      </c>
      <c r="B7" s="1160"/>
      <c r="C7" s="1160"/>
      <c r="D7" s="1160"/>
      <c r="E7" s="1160"/>
      <c r="F7" s="1160"/>
      <c r="G7" s="1160"/>
      <c r="H7" s="1160"/>
      <c r="I7" s="1160"/>
      <c r="J7" s="1160"/>
      <c r="K7" s="1160"/>
      <c r="L7" s="1160"/>
      <c r="M7" s="1160"/>
      <c r="N7" s="1160"/>
      <c r="O7" s="1160"/>
      <c r="P7" s="1160"/>
      <c r="Q7" s="1160"/>
      <c r="R7" s="1160"/>
      <c r="S7" s="1160"/>
      <c r="T7" s="1160"/>
    </row>
    <row r="8" spans="1:20" x14ac:dyDescent="0.2">
      <c r="A8" s="1164" t="s">
        <v>1022</v>
      </c>
    </row>
    <row r="9" spans="1:20" x14ac:dyDescent="0.2">
      <c r="A9" s="1164" t="s">
        <v>1023</v>
      </c>
    </row>
    <row r="10" spans="1:20" x14ac:dyDescent="0.2">
      <c r="A10" s="552" t="s">
        <v>1210</v>
      </c>
    </row>
    <row r="12" spans="1:20" x14ac:dyDescent="0.2">
      <c r="A12" s="1162" t="s">
        <v>1024</v>
      </c>
    </row>
    <row r="13" spans="1:20" x14ac:dyDescent="0.2">
      <c r="A13" s="1162" t="s">
        <v>1025</v>
      </c>
    </row>
    <row r="14" spans="1:20" x14ac:dyDescent="0.2">
      <c r="A14" s="1162" t="s">
        <v>1026</v>
      </c>
    </row>
    <row r="15" spans="1:20" x14ac:dyDescent="0.2">
      <c r="A15" s="1162" t="s">
        <v>1027</v>
      </c>
    </row>
    <row r="16" spans="1:20" x14ac:dyDescent="0.2">
      <c r="A16" s="1162" t="s">
        <v>1209</v>
      </c>
    </row>
    <row r="17" spans="1:9" x14ac:dyDescent="0.2">
      <c r="A17" s="1162" t="s">
        <v>1028</v>
      </c>
    </row>
    <row r="18" spans="1:9" x14ac:dyDescent="0.2">
      <c r="A18" s="1162" t="s">
        <v>1029</v>
      </c>
    </row>
    <row r="19" spans="1:9" x14ac:dyDescent="0.2">
      <c r="A19" s="1162" t="s">
        <v>1030</v>
      </c>
    </row>
    <row r="20" spans="1:9" x14ac:dyDescent="0.2">
      <c r="A20" s="1162" t="s">
        <v>1031</v>
      </c>
    </row>
    <row r="21" spans="1:9" x14ac:dyDescent="0.2">
      <c r="A21" s="1162" t="s">
        <v>1032</v>
      </c>
    </row>
    <row r="22" spans="1:9" x14ac:dyDescent="0.2">
      <c r="A22" s="1162" t="s">
        <v>1033</v>
      </c>
    </row>
    <row r="23" spans="1:9" x14ac:dyDescent="0.2">
      <c r="A23" s="1162" t="s">
        <v>1034</v>
      </c>
    </row>
    <row r="24" spans="1:9" x14ac:dyDescent="0.2">
      <c r="A24" s="1364" t="s">
        <v>1035</v>
      </c>
    </row>
    <row r="26" spans="1:9" x14ac:dyDescent="0.2">
      <c r="A26" s="552" t="s">
        <v>894</v>
      </c>
      <c r="I26" s="1163" t="s">
        <v>929</v>
      </c>
    </row>
    <row r="48" spans="1:20" s="1161" customFormat="1" ht="26.5" customHeight="1" x14ac:dyDescent="0.2">
      <c r="A48" s="1160" t="s">
        <v>895</v>
      </c>
      <c r="B48" s="1160"/>
      <c r="C48" s="1160"/>
      <c r="D48" s="1160"/>
      <c r="E48" s="1160"/>
      <c r="F48" s="1160"/>
      <c r="G48" s="1160"/>
      <c r="H48" s="1160"/>
      <c r="I48" s="1160"/>
      <c r="J48" s="1160"/>
      <c r="K48" s="1160"/>
      <c r="L48" s="1160"/>
      <c r="M48" s="1160"/>
      <c r="N48" s="1160"/>
      <c r="O48" s="1160"/>
      <c r="P48" s="1160"/>
      <c r="Q48" s="1160"/>
      <c r="R48" s="1160"/>
      <c r="S48" s="1160"/>
      <c r="T48" s="1160"/>
    </row>
    <row r="49" spans="1:11" x14ac:dyDescent="0.2">
      <c r="A49" s="552" t="s">
        <v>908</v>
      </c>
    </row>
    <row r="50" spans="1:11" x14ac:dyDescent="0.2">
      <c r="A50" s="552" t="s">
        <v>896</v>
      </c>
    </row>
    <row r="51" spans="1:11" x14ac:dyDescent="0.2">
      <c r="A51" s="1162" t="s">
        <v>897</v>
      </c>
    </row>
    <row r="53" spans="1:11" ht="12.65" customHeight="1" x14ac:dyDescent="0.2">
      <c r="A53" s="552" t="s">
        <v>1036</v>
      </c>
    </row>
    <row r="54" spans="1:11" ht="12.65" customHeight="1" x14ac:dyDescent="0.2">
      <c r="A54" s="1162" t="s">
        <v>1037</v>
      </c>
    </row>
    <row r="56" spans="1:11" x14ac:dyDescent="0.2">
      <c r="A56" s="1163" t="s">
        <v>898</v>
      </c>
    </row>
    <row r="57" spans="1:11" x14ac:dyDescent="0.2">
      <c r="A57" s="552" t="s">
        <v>909</v>
      </c>
      <c r="D57" s="552" t="s">
        <v>899</v>
      </c>
    </row>
    <row r="58" spans="1:11" x14ac:dyDescent="0.2">
      <c r="A58" s="552" t="s">
        <v>910</v>
      </c>
      <c r="D58" s="552" t="s">
        <v>899</v>
      </c>
    </row>
    <row r="59" spans="1:11" x14ac:dyDescent="0.2">
      <c r="A59" s="552" t="s">
        <v>491</v>
      </c>
      <c r="D59" s="552" t="s">
        <v>1202</v>
      </c>
    </row>
    <row r="60" spans="1:11" x14ac:dyDescent="0.2">
      <c r="D60" s="552" t="s">
        <v>1203</v>
      </c>
    </row>
    <row r="61" spans="1:11" x14ac:dyDescent="0.2">
      <c r="A61" s="552" t="s">
        <v>762</v>
      </c>
      <c r="D61" s="552" t="s">
        <v>1202</v>
      </c>
    </row>
    <row r="62" spans="1:11" x14ac:dyDescent="0.2">
      <c r="D62" s="552" t="s">
        <v>1204</v>
      </c>
    </row>
    <row r="64" spans="1:11" x14ac:dyDescent="0.2">
      <c r="A64" s="1164" t="s">
        <v>900</v>
      </c>
      <c r="B64" s="1164"/>
      <c r="C64" s="1164"/>
      <c r="D64" s="1164"/>
      <c r="E64" s="1164"/>
      <c r="F64" s="1164"/>
      <c r="G64" s="1164"/>
      <c r="H64" s="1164"/>
      <c r="I64" s="1164"/>
      <c r="J64" s="1164"/>
      <c r="K64" s="1164"/>
    </row>
    <row r="65" spans="1:1" x14ac:dyDescent="0.2">
      <c r="A65" s="552" t="s">
        <v>936</v>
      </c>
    </row>
    <row r="84" spans="1:1" ht="19" x14ac:dyDescent="0.2">
      <c r="A84" s="1161"/>
    </row>
  </sheetData>
  <sheetProtection password="B437" sheet="1" objects="1" scenarios="1"/>
  <phoneticPr fontId="4"/>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K262"/>
  <sheetViews>
    <sheetView topLeftCell="B194" workbookViewId="0">
      <selection activeCell="B232" sqref="A232:XFD232"/>
    </sheetView>
  </sheetViews>
  <sheetFormatPr defaultColWidth="9" defaultRowHeight="12.5" x14ac:dyDescent="0.25"/>
  <cols>
    <col min="1" max="1" width="6.90625" style="8" customWidth="1"/>
    <col min="2" max="2" width="42.6328125" style="8" bestFit="1" customWidth="1"/>
    <col min="3" max="3" width="17" style="8" customWidth="1"/>
    <col min="4" max="24" width="15.453125" style="2" customWidth="1"/>
    <col min="25" max="34" width="15.453125" style="8" customWidth="1"/>
    <col min="35" max="35" width="17.36328125" style="8" customWidth="1"/>
    <col min="36" max="47" width="11.6328125" style="8" customWidth="1"/>
    <col min="48" max="16384" width="9" style="8"/>
  </cols>
  <sheetData>
    <row r="1" spans="1:37" ht="13" x14ac:dyDescent="0.3">
      <c r="A1" s="199" t="s">
        <v>368</v>
      </c>
      <c r="B1" s="3"/>
      <c r="C1" s="4"/>
      <c r="E1" s="5"/>
      <c r="F1" s="5"/>
      <c r="G1" s="5"/>
      <c r="I1" s="6"/>
      <c r="K1" s="7"/>
      <c r="L1" s="7"/>
    </row>
    <row r="2" spans="1:37" s="249" customFormat="1" ht="14" x14ac:dyDescent="0.2">
      <c r="A2" s="245" t="s">
        <v>102</v>
      </c>
      <c r="B2" s="246"/>
      <c r="C2" s="247"/>
      <c r="D2" s="247"/>
      <c r="E2" s="247"/>
      <c r="F2" s="247"/>
      <c r="G2" s="247"/>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row>
    <row r="3" spans="1:37" ht="13.5" thickBot="1" x14ac:dyDescent="0.35">
      <c r="D3" s="8"/>
      <c r="E3" s="5"/>
      <c r="F3" s="5"/>
      <c r="G3" s="5"/>
      <c r="I3" s="6"/>
      <c r="K3" s="7"/>
      <c r="L3" s="7"/>
    </row>
    <row r="4" spans="1:37" ht="13" x14ac:dyDescent="0.3">
      <c r="B4" s="1495" t="s">
        <v>9</v>
      </c>
      <c r="C4" s="1496"/>
      <c r="D4" s="9" t="s">
        <v>369</v>
      </c>
      <c r="E4" s="9" t="s">
        <v>370</v>
      </c>
      <c r="F4" s="9" t="s">
        <v>371</v>
      </c>
      <c r="G4" s="9" t="s">
        <v>372</v>
      </c>
      <c r="H4" s="9" t="s">
        <v>373</v>
      </c>
      <c r="I4" s="9" t="s">
        <v>374</v>
      </c>
      <c r="J4" s="9" t="s">
        <v>375</v>
      </c>
      <c r="K4" s="9" t="s">
        <v>376</v>
      </c>
      <c r="L4" s="9" t="s">
        <v>377</v>
      </c>
      <c r="M4" s="9" t="s">
        <v>378</v>
      </c>
      <c r="N4" s="9" t="s">
        <v>379</v>
      </c>
      <c r="O4" s="9" t="s">
        <v>380</v>
      </c>
      <c r="P4" s="9" t="s">
        <v>381</v>
      </c>
      <c r="Q4" s="9" t="s">
        <v>382</v>
      </c>
      <c r="R4" s="9" t="s">
        <v>383</v>
      </c>
      <c r="S4" s="9" t="s">
        <v>384</v>
      </c>
      <c r="T4" s="9" t="s">
        <v>385</v>
      </c>
      <c r="U4" s="9" t="s">
        <v>386</v>
      </c>
      <c r="V4" s="9" t="s">
        <v>387</v>
      </c>
      <c r="W4" s="9" t="s">
        <v>388</v>
      </c>
      <c r="X4" s="9" t="s">
        <v>389</v>
      </c>
      <c r="Y4" s="9" t="s">
        <v>390</v>
      </c>
      <c r="Z4" s="9" t="s">
        <v>391</v>
      </c>
      <c r="AA4" s="9" t="s">
        <v>392</v>
      </c>
      <c r="AB4" s="9" t="s">
        <v>393</v>
      </c>
      <c r="AC4" s="9" t="s">
        <v>394</v>
      </c>
      <c r="AD4" s="9" t="s">
        <v>395</v>
      </c>
      <c r="AE4" s="9" t="s">
        <v>396</v>
      </c>
      <c r="AF4" s="9" t="s">
        <v>397</v>
      </c>
      <c r="AG4" s="9" t="s">
        <v>398</v>
      </c>
      <c r="AH4" s="10" t="s">
        <v>399</v>
      </c>
    </row>
    <row r="5" spans="1:37" ht="13" x14ac:dyDescent="0.3">
      <c r="B5" s="342" t="s">
        <v>159</v>
      </c>
      <c r="C5" s="340"/>
      <c r="D5" s="341"/>
      <c r="E5" s="1446">
        <f>インプット!$E$13*インプット!$E$12/365/24</f>
        <v>0.90410958904109595</v>
      </c>
      <c r="F5" s="1446">
        <f>インプット!$E$13*インプット!$E$12/365/24</f>
        <v>0.90410958904109595</v>
      </c>
      <c r="G5" s="1446">
        <f>インプット!$E$13*インプット!$E$12/365/24</f>
        <v>0.90410958904109595</v>
      </c>
      <c r="H5" s="1446">
        <f>インプット!$E$13*インプット!$E$12/365/24</f>
        <v>0.90410958904109595</v>
      </c>
      <c r="I5" s="1446">
        <f>インプット!$E$13*インプット!$E$12/365/24</f>
        <v>0.90410958904109595</v>
      </c>
      <c r="J5" s="1446">
        <f>インプット!$E$13*インプット!$E$12/365/24</f>
        <v>0.90410958904109595</v>
      </c>
      <c r="K5" s="1446">
        <f>インプット!$E$13*インプット!$E$12/365/24</f>
        <v>0.90410958904109595</v>
      </c>
      <c r="L5" s="1446">
        <f>インプット!$E$13*インプット!$E$12/365/24</f>
        <v>0.90410958904109595</v>
      </c>
      <c r="M5" s="1446">
        <f>インプット!$E$13*インプット!$E$12/365/24</f>
        <v>0.90410958904109595</v>
      </c>
      <c r="N5" s="1446">
        <f>インプット!$E$13*インプット!$E$12/365/24</f>
        <v>0.90410958904109595</v>
      </c>
      <c r="O5" s="1446">
        <f>インプット!$E$13*インプット!$E$12/365/24</f>
        <v>0.90410958904109595</v>
      </c>
      <c r="P5" s="1446">
        <f>インプット!$E$13*インプット!$E$12/365/24</f>
        <v>0.90410958904109595</v>
      </c>
      <c r="Q5" s="1446">
        <f>インプット!$E$13*インプット!$E$12/365/24</f>
        <v>0.90410958904109595</v>
      </c>
      <c r="R5" s="1446">
        <f>インプット!$E$13*インプット!$E$12/365/24</f>
        <v>0.90410958904109595</v>
      </c>
      <c r="S5" s="1446">
        <f>インプット!$E$13*インプット!$E$12/365/24</f>
        <v>0.90410958904109595</v>
      </c>
      <c r="T5" s="1446">
        <f>インプット!$E$13*インプット!$E$12/365/24</f>
        <v>0.90410958904109595</v>
      </c>
      <c r="U5" s="1446">
        <f>インプット!$E$13*インプット!$E$12/365/24</f>
        <v>0.90410958904109595</v>
      </c>
      <c r="V5" s="1446">
        <f>インプット!$E$13*インプット!$E$12/365/24</f>
        <v>0.90410958904109595</v>
      </c>
      <c r="W5" s="1446">
        <f>インプット!$E$13*インプット!$E$12/365/24</f>
        <v>0.90410958904109595</v>
      </c>
      <c r="X5" s="1446">
        <f>インプット!$E$13*インプット!$E$12/365/24</f>
        <v>0.90410958904109595</v>
      </c>
      <c r="Y5" s="1446">
        <f>インプット!$E$13*インプット!$E$12/365/24</f>
        <v>0.90410958904109595</v>
      </c>
      <c r="Z5" s="1446">
        <f>インプット!$E$13*インプット!$E$12/365/24</f>
        <v>0.90410958904109595</v>
      </c>
      <c r="AA5" s="1446">
        <f>インプット!$E$13*インプット!$E$12/365/24</f>
        <v>0.90410958904109595</v>
      </c>
      <c r="AB5" s="1446">
        <f>インプット!$E$13*インプット!$E$12/365/24</f>
        <v>0.90410958904109595</v>
      </c>
      <c r="AC5" s="1446">
        <f>インプット!$E$13*インプット!$E$12/365/24</f>
        <v>0.90410958904109595</v>
      </c>
      <c r="AD5" s="1446">
        <f>インプット!$E$13*インプット!$E$12/365/24</f>
        <v>0.90410958904109595</v>
      </c>
      <c r="AE5" s="1446">
        <f>インプット!$E$13*インプット!$E$12/365/24</f>
        <v>0.90410958904109595</v>
      </c>
      <c r="AF5" s="1446">
        <f>インプット!$E$13*インプット!$E$12/365/24</f>
        <v>0.90410958904109595</v>
      </c>
      <c r="AG5" s="1446">
        <f>インプット!$E$13*インプット!$E$12/365/24</f>
        <v>0.90410958904109595</v>
      </c>
      <c r="AH5" s="1447">
        <f>インプット!$E$13*インプット!$E$12/365/24</f>
        <v>0.90410958904109595</v>
      </c>
    </row>
    <row r="6" spans="1:37" x14ac:dyDescent="0.25">
      <c r="B6" s="13" t="s">
        <v>31</v>
      </c>
      <c r="C6" s="12" t="s">
        <v>43</v>
      </c>
      <c r="D6" s="15"/>
      <c r="E6" s="15">
        <f>インプット!$E$15</f>
        <v>13</v>
      </c>
      <c r="F6" s="15">
        <f>インプット!$E$15</f>
        <v>13</v>
      </c>
      <c r="G6" s="15">
        <f>インプット!$E$15</f>
        <v>13</v>
      </c>
      <c r="H6" s="15">
        <f>インプット!$E$15</f>
        <v>13</v>
      </c>
      <c r="I6" s="15">
        <f>インプット!$E$15</f>
        <v>13</v>
      </c>
      <c r="J6" s="15">
        <f>インプット!$E$15</f>
        <v>13</v>
      </c>
      <c r="K6" s="15">
        <f>インプット!$E$15</f>
        <v>13</v>
      </c>
      <c r="L6" s="15">
        <f>インプット!$E$15</f>
        <v>13</v>
      </c>
      <c r="M6" s="15">
        <f>インプット!$E$15</f>
        <v>13</v>
      </c>
      <c r="N6" s="15">
        <f>インプット!$E$15</f>
        <v>13</v>
      </c>
      <c r="O6" s="15">
        <f>インプット!$E$15</f>
        <v>13</v>
      </c>
      <c r="P6" s="15">
        <f>インプット!$E$15</f>
        <v>13</v>
      </c>
      <c r="Q6" s="15">
        <f>インプット!$E$15</f>
        <v>13</v>
      </c>
      <c r="R6" s="15">
        <f>インプット!$E$15</f>
        <v>13</v>
      </c>
      <c r="S6" s="15">
        <f>インプット!$E$15</f>
        <v>13</v>
      </c>
      <c r="T6" s="15">
        <f>インプット!$E$15</f>
        <v>13</v>
      </c>
      <c r="U6" s="15">
        <f>インプット!$E$15</f>
        <v>13</v>
      </c>
      <c r="V6" s="15">
        <f>インプット!$E$15</f>
        <v>13</v>
      </c>
      <c r="W6" s="15">
        <f>インプット!$E$15</f>
        <v>13</v>
      </c>
      <c r="X6" s="15">
        <f>インプット!$E$15</f>
        <v>13</v>
      </c>
      <c r="Y6" s="15">
        <f>インプット!$E$15</f>
        <v>13</v>
      </c>
      <c r="Z6" s="15">
        <f>インプット!$E$15</f>
        <v>13</v>
      </c>
      <c r="AA6" s="15">
        <f>インプット!$E$15</f>
        <v>13</v>
      </c>
      <c r="AB6" s="15">
        <f>インプット!$E$15</f>
        <v>13</v>
      </c>
      <c r="AC6" s="15">
        <f>インプット!$E$15</f>
        <v>13</v>
      </c>
      <c r="AD6" s="15">
        <f>インプット!$E$15</f>
        <v>13</v>
      </c>
      <c r="AE6" s="15">
        <f>インプット!$E$15</f>
        <v>13</v>
      </c>
      <c r="AF6" s="15">
        <f>インプット!$E$15</f>
        <v>13</v>
      </c>
      <c r="AG6" s="15">
        <f>インプット!$E$15</f>
        <v>13</v>
      </c>
      <c r="AH6" s="114">
        <f>インプット!$E$15</f>
        <v>13</v>
      </c>
    </row>
    <row r="7" spans="1:37" x14ac:dyDescent="0.25">
      <c r="B7" s="13" t="s">
        <v>443</v>
      </c>
      <c r="C7" s="12" t="s">
        <v>43</v>
      </c>
      <c r="D7" s="101"/>
      <c r="E7" s="101">
        <f>インプット!$E$16</f>
        <v>5</v>
      </c>
      <c r="F7" s="101">
        <f>インプット!$E$16</f>
        <v>5</v>
      </c>
      <c r="G7" s="101">
        <f>インプット!$E$16</f>
        <v>5</v>
      </c>
      <c r="H7" s="101">
        <f>インプット!$E$16</f>
        <v>5</v>
      </c>
      <c r="I7" s="101">
        <f>インプット!$E$16</f>
        <v>5</v>
      </c>
      <c r="J7" s="101">
        <f>インプット!$E$16</f>
        <v>5</v>
      </c>
      <c r="K7" s="101">
        <f>インプット!$E$16</f>
        <v>5</v>
      </c>
      <c r="L7" s="101">
        <f>インプット!$E$16</f>
        <v>5</v>
      </c>
      <c r="M7" s="101">
        <f>インプット!$E$16</f>
        <v>5</v>
      </c>
      <c r="N7" s="101">
        <f>インプット!$E$16</f>
        <v>5</v>
      </c>
      <c r="O7" s="101">
        <f>インプット!$E$16</f>
        <v>5</v>
      </c>
      <c r="P7" s="101">
        <f>インプット!$E$16</f>
        <v>5</v>
      </c>
      <c r="Q7" s="101">
        <f>インプット!$E$16</f>
        <v>5</v>
      </c>
      <c r="R7" s="101">
        <f>インプット!$E$16</f>
        <v>5</v>
      </c>
      <c r="S7" s="101">
        <f>インプット!$E$16</f>
        <v>5</v>
      </c>
      <c r="T7" s="101">
        <f>インプット!$E$16</f>
        <v>5</v>
      </c>
      <c r="U7" s="101">
        <f>インプット!$E$16</f>
        <v>5</v>
      </c>
      <c r="V7" s="101">
        <f>インプット!$E$16</f>
        <v>5</v>
      </c>
      <c r="W7" s="101">
        <f>インプット!$E$16</f>
        <v>5</v>
      </c>
      <c r="X7" s="101">
        <f>インプット!$E$16</f>
        <v>5</v>
      </c>
      <c r="Y7" s="101">
        <f>インプット!$E$16</f>
        <v>5</v>
      </c>
      <c r="Z7" s="101">
        <f>インプット!$E$16</f>
        <v>5</v>
      </c>
      <c r="AA7" s="101">
        <f>インプット!$E$16</f>
        <v>5</v>
      </c>
      <c r="AB7" s="101">
        <f>インプット!$E$16</f>
        <v>5</v>
      </c>
      <c r="AC7" s="101">
        <f>インプット!$E$16</f>
        <v>5</v>
      </c>
      <c r="AD7" s="101">
        <f>インプット!$E$16</f>
        <v>5</v>
      </c>
      <c r="AE7" s="101">
        <f>インプット!$E$16</f>
        <v>5</v>
      </c>
      <c r="AF7" s="101">
        <f>インプット!$E$16</f>
        <v>5</v>
      </c>
      <c r="AG7" s="101">
        <f>インプット!$E$16</f>
        <v>5</v>
      </c>
      <c r="AH7" s="292">
        <f>インプット!$E$16</f>
        <v>5</v>
      </c>
    </row>
    <row r="8" spans="1:37" x14ac:dyDescent="0.25">
      <c r="B8" s="11" t="str">
        <f>インプット!$B59</f>
        <v>ユーティリティー費用</v>
      </c>
      <c r="C8" s="352" t="s">
        <v>37</v>
      </c>
      <c r="D8" s="16"/>
      <c r="E8" s="16">
        <f>インプット!$E59*E$5/入門シート換算!$B$170</f>
        <v>84281810.798385695</v>
      </c>
      <c r="F8" s="16">
        <f>インプット!$E59*F$5/入門シート換算!$B$170</f>
        <v>84281810.798385695</v>
      </c>
      <c r="G8" s="16">
        <f>インプット!$E59*G$5/入門シート換算!$B$170</f>
        <v>84281810.798385695</v>
      </c>
      <c r="H8" s="16">
        <f>インプット!$E59*H$5/入門シート換算!$B$170</f>
        <v>84281810.798385695</v>
      </c>
      <c r="I8" s="16">
        <f>インプット!$E59*I$5/入門シート換算!$B$170</f>
        <v>84281810.798385695</v>
      </c>
      <c r="J8" s="16">
        <f>インプット!$E59*J$5/入門シート換算!$B$170</f>
        <v>84281810.798385695</v>
      </c>
      <c r="K8" s="16">
        <f>インプット!$E59*K$5/入門シート換算!$B$170</f>
        <v>84281810.798385695</v>
      </c>
      <c r="L8" s="16">
        <f>インプット!$E59*L$5/入門シート換算!$B$170</f>
        <v>84281810.798385695</v>
      </c>
      <c r="M8" s="16">
        <f>インプット!$E59*M$5/入門シート換算!$B$170</f>
        <v>84281810.798385695</v>
      </c>
      <c r="N8" s="16">
        <f>インプット!$E59*N$5/入門シート換算!$B$170</f>
        <v>84281810.798385695</v>
      </c>
      <c r="O8" s="16">
        <f>インプット!$E59*O$5/入門シート換算!$B$170</f>
        <v>84281810.798385695</v>
      </c>
      <c r="P8" s="16">
        <f>インプット!$E59*P$5/入門シート換算!$B$170</f>
        <v>84281810.798385695</v>
      </c>
      <c r="Q8" s="16">
        <f>インプット!$E59*Q$5/入門シート換算!$B$170</f>
        <v>84281810.798385695</v>
      </c>
      <c r="R8" s="16">
        <f>インプット!$E59*R$5/入門シート換算!$B$170</f>
        <v>84281810.798385695</v>
      </c>
      <c r="S8" s="16">
        <f>インプット!$E59*S$5/入門シート換算!$B$170</f>
        <v>84281810.798385695</v>
      </c>
      <c r="T8" s="16">
        <f>インプット!$E59*T$5/入門シート換算!$B$170</f>
        <v>84281810.798385695</v>
      </c>
      <c r="U8" s="16">
        <f>インプット!$E59*U$5/入門シート換算!$B$170</f>
        <v>84281810.798385695</v>
      </c>
      <c r="V8" s="16">
        <f>インプット!$E59*V$5/入門シート換算!$B$170</f>
        <v>84281810.798385695</v>
      </c>
      <c r="W8" s="16">
        <f>インプット!$E59*W$5/入門シート換算!$B$170</f>
        <v>84281810.798385695</v>
      </c>
      <c r="X8" s="16">
        <f>インプット!$E59*X$5/入門シート換算!$B$170</f>
        <v>84281810.798385695</v>
      </c>
      <c r="Y8" s="16">
        <f>インプット!$E59*Y$5/入門シート換算!$B$170</f>
        <v>84281810.798385695</v>
      </c>
      <c r="Z8" s="16">
        <f>インプット!$E59*Z$5/入門シート換算!$B$170</f>
        <v>84281810.798385695</v>
      </c>
      <c r="AA8" s="16">
        <f>インプット!$E59*AA$5/入門シート換算!$B$170</f>
        <v>84281810.798385695</v>
      </c>
      <c r="AB8" s="16">
        <f>インプット!$E59*AB$5/入門シート換算!$B$170</f>
        <v>84281810.798385695</v>
      </c>
      <c r="AC8" s="16">
        <f>インプット!$E59*AC$5/入門シート換算!$B$170</f>
        <v>84281810.798385695</v>
      </c>
      <c r="AD8" s="16">
        <f>インプット!$E59*AD$5/入門シート換算!$B$170</f>
        <v>84281810.798385695</v>
      </c>
      <c r="AE8" s="16">
        <f>インプット!$E59*AE$5/入門シート換算!$B$170</f>
        <v>84281810.798385695</v>
      </c>
      <c r="AF8" s="16">
        <f>インプット!$E59*AF$5/入門シート換算!$B$170</f>
        <v>84281810.798385695</v>
      </c>
      <c r="AG8" s="16">
        <f>インプット!$E59*AG$5/入門シート換算!$B$170</f>
        <v>84281810.798385695</v>
      </c>
      <c r="AH8" s="16">
        <f>インプット!$E59*AH$5/入門シート換算!$B$170</f>
        <v>84281810.798385695</v>
      </c>
    </row>
    <row r="9" spans="1:37" x14ac:dyDescent="0.25">
      <c r="B9" s="11" t="str">
        <f>インプット!$B60</f>
        <v>灰処理費用</v>
      </c>
      <c r="C9" s="352" t="s">
        <v>37</v>
      </c>
      <c r="D9" s="16"/>
      <c r="E9" s="16">
        <f>インプット!$E60*E$5/入門シート換算!$B$170</f>
        <v>60201293.427418359</v>
      </c>
      <c r="F9" s="16">
        <f>インプット!$E60*F$5/入門シート換算!$B$170</f>
        <v>60201293.427418359</v>
      </c>
      <c r="G9" s="16">
        <f>インプット!$E60*G$5/入門シート換算!$B$170</f>
        <v>60201293.427418359</v>
      </c>
      <c r="H9" s="16">
        <f>インプット!$E60*H$5/入門シート換算!$B$170</f>
        <v>60201293.427418359</v>
      </c>
      <c r="I9" s="16">
        <f>インプット!$E60*I$5/入門シート換算!$B$170</f>
        <v>60201293.427418359</v>
      </c>
      <c r="J9" s="16">
        <f>インプット!$E60*J$5/入門シート換算!$B$170</f>
        <v>60201293.427418359</v>
      </c>
      <c r="K9" s="16">
        <f>インプット!$E60*K$5/入門シート換算!$B$170</f>
        <v>60201293.427418359</v>
      </c>
      <c r="L9" s="16">
        <f>インプット!$E60*L$5/入門シート換算!$B$170</f>
        <v>60201293.427418359</v>
      </c>
      <c r="M9" s="16">
        <f>インプット!$E60*M$5/入門シート換算!$B$170</f>
        <v>60201293.427418359</v>
      </c>
      <c r="N9" s="16">
        <f>インプット!$E60*N$5/入門シート換算!$B$170</f>
        <v>60201293.427418359</v>
      </c>
      <c r="O9" s="16">
        <f>インプット!$E60*O$5/入門シート換算!$B$170</f>
        <v>60201293.427418359</v>
      </c>
      <c r="P9" s="16">
        <f>インプット!$E60*P$5/入門シート換算!$B$170</f>
        <v>60201293.427418359</v>
      </c>
      <c r="Q9" s="16">
        <f>インプット!$E60*Q$5/入門シート換算!$B$170</f>
        <v>60201293.427418359</v>
      </c>
      <c r="R9" s="16">
        <f>インプット!$E60*R$5/入門シート換算!$B$170</f>
        <v>60201293.427418359</v>
      </c>
      <c r="S9" s="16">
        <f>インプット!$E60*S$5/入門シート換算!$B$170</f>
        <v>60201293.427418359</v>
      </c>
      <c r="T9" s="16">
        <f>インプット!$E60*T$5/入門シート換算!$B$170</f>
        <v>60201293.427418359</v>
      </c>
      <c r="U9" s="16">
        <f>インプット!$E60*U$5/入門シート換算!$B$170</f>
        <v>60201293.427418359</v>
      </c>
      <c r="V9" s="16">
        <f>インプット!$E60*V$5/入門シート換算!$B$170</f>
        <v>60201293.427418359</v>
      </c>
      <c r="W9" s="16">
        <f>インプット!$E60*W$5/入門シート換算!$B$170</f>
        <v>60201293.427418359</v>
      </c>
      <c r="X9" s="16">
        <f>インプット!$E60*X$5/入門シート換算!$B$170</f>
        <v>60201293.427418359</v>
      </c>
      <c r="Y9" s="16">
        <f>インプット!$E60*Y$5/入門シート換算!$B$170</f>
        <v>60201293.427418359</v>
      </c>
      <c r="Z9" s="16">
        <f>インプット!$E60*Z$5/入門シート換算!$B$170</f>
        <v>60201293.427418359</v>
      </c>
      <c r="AA9" s="16">
        <f>インプット!$E60*AA$5/入門シート換算!$B$170</f>
        <v>60201293.427418359</v>
      </c>
      <c r="AB9" s="16">
        <f>インプット!$E60*AB$5/入門シート換算!$B$170</f>
        <v>60201293.427418359</v>
      </c>
      <c r="AC9" s="16">
        <f>インプット!$E60*AC$5/入門シート換算!$B$170</f>
        <v>60201293.427418359</v>
      </c>
      <c r="AD9" s="16">
        <f>インプット!$E60*AD$5/入門シート換算!$B$170</f>
        <v>60201293.427418359</v>
      </c>
      <c r="AE9" s="16">
        <f>インプット!$E60*AE$5/入門シート換算!$B$170</f>
        <v>60201293.427418359</v>
      </c>
      <c r="AF9" s="16">
        <f>インプット!$E60*AF$5/入門シート換算!$B$170</f>
        <v>60201293.427418359</v>
      </c>
      <c r="AG9" s="16">
        <f>インプット!$E60*AG$5/入門シート換算!$B$170</f>
        <v>60201293.427418359</v>
      </c>
      <c r="AH9" s="16">
        <f>インプット!$E60*AH$5/入門シート換算!$B$170</f>
        <v>60201293.427418359</v>
      </c>
    </row>
    <row r="10" spans="1:37" x14ac:dyDescent="0.25">
      <c r="B10" s="11" t="str">
        <f>インプット!$B61</f>
        <v>＜その他・費目を入力＞</v>
      </c>
      <c r="C10" s="352" t="s">
        <v>37</v>
      </c>
      <c r="D10" s="334"/>
      <c r="E10" s="16">
        <f>インプット!$E61*E$5/入門シート換算!$B$170</f>
        <v>0</v>
      </c>
      <c r="F10" s="16">
        <f>インプット!$E61*F$5/入門シート換算!$B$170</f>
        <v>0</v>
      </c>
      <c r="G10" s="16">
        <f>インプット!$E61*G$5/入門シート換算!$B$170</f>
        <v>0</v>
      </c>
      <c r="H10" s="16">
        <f>インプット!$E61*H$5/入門シート換算!$B$170</f>
        <v>0</v>
      </c>
      <c r="I10" s="16">
        <f>インプット!$E61*I$5/入門シート換算!$B$170</f>
        <v>0</v>
      </c>
      <c r="J10" s="16">
        <f>インプット!$E61*J$5/入門シート換算!$B$170</f>
        <v>0</v>
      </c>
      <c r="K10" s="16">
        <f>インプット!$E61*K$5/入門シート換算!$B$170</f>
        <v>0</v>
      </c>
      <c r="L10" s="16">
        <f>インプット!$E61*L$5/入門シート換算!$B$170</f>
        <v>0</v>
      </c>
      <c r="M10" s="16">
        <f>インプット!$E61*M$5/入門シート換算!$B$170</f>
        <v>0</v>
      </c>
      <c r="N10" s="16">
        <f>インプット!$E61*N$5/入門シート換算!$B$170</f>
        <v>0</v>
      </c>
      <c r="O10" s="16">
        <f>インプット!$E61*O$5/入門シート換算!$B$170</f>
        <v>0</v>
      </c>
      <c r="P10" s="16">
        <f>インプット!$E61*P$5/入門シート換算!$B$170</f>
        <v>0</v>
      </c>
      <c r="Q10" s="16">
        <f>インプット!$E61*Q$5/入門シート換算!$B$170</f>
        <v>0</v>
      </c>
      <c r="R10" s="16">
        <f>インプット!$E61*R$5/入門シート換算!$B$170</f>
        <v>0</v>
      </c>
      <c r="S10" s="16">
        <f>インプット!$E61*S$5/入門シート換算!$B$170</f>
        <v>0</v>
      </c>
      <c r="T10" s="16">
        <f>インプット!$E61*T$5/入門シート換算!$B$170</f>
        <v>0</v>
      </c>
      <c r="U10" s="16">
        <f>インプット!$E61*U$5/入門シート換算!$B$170</f>
        <v>0</v>
      </c>
      <c r="V10" s="16">
        <f>インプット!$E61*V$5/入門シート換算!$B$170</f>
        <v>0</v>
      </c>
      <c r="W10" s="16">
        <f>インプット!$E61*W$5/入門シート換算!$B$170</f>
        <v>0</v>
      </c>
      <c r="X10" s="16">
        <f>インプット!$E61*X$5/入門シート換算!$B$170</f>
        <v>0</v>
      </c>
      <c r="Y10" s="16">
        <f>インプット!$E61*Y$5/入門シート換算!$B$170</f>
        <v>0</v>
      </c>
      <c r="Z10" s="16">
        <f>インプット!$E61*Z$5/入門シート換算!$B$170</f>
        <v>0</v>
      </c>
      <c r="AA10" s="16">
        <f>インプット!$E61*AA$5/入門シート換算!$B$170</f>
        <v>0</v>
      </c>
      <c r="AB10" s="16">
        <f>インプット!$E61*AB$5/入門シート換算!$B$170</f>
        <v>0</v>
      </c>
      <c r="AC10" s="16">
        <f>インプット!$E61*AC$5/入門シート換算!$B$170</f>
        <v>0</v>
      </c>
      <c r="AD10" s="16">
        <f>インプット!$E61*AD$5/入門シート換算!$B$170</f>
        <v>0</v>
      </c>
      <c r="AE10" s="16">
        <f>インプット!$E61*AE$5/入門シート換算!$B$170</f>
        <v>0</v>
      </c>
      <c r="AF10" s="16">
        <f>インプット!$E61*AF$5/入門シート換算!$B$170</f>
        <v>0</v>
      </c>
      <c r="AG10" s="16">
        <f>インプット!$E61*AG$5/入門シート換算!$B$170</f>
        <v>0</v>
      </c>
      <c r="AH10" s="16">
        <f>インプット!$E61*AH$5/入門シート換算!$B$170</f>
        <v>0</v>
      </c>
      <c r="AI10" s="17"/>
      <c r="AK10" s="18"/>
    </row>
    <row r="11" spans="1:37" x14ac:dyDescent="0.25">
      <c r="B11" s="351" t="str">
        <f>インプット!$B62</f>
        <v>＜その他・費目を入力＞</v>
      </c>
      <c r="C11" s="352" t="s">
        <v>173</v>
      </c>
      <c r="D11" s="334"/>
      <c r="E11" s="16">
        <f>インプット!$E62*E$5/入門シート換算!$B$170</f>
        <v>0</v>
      </c>
      <c r="F11" s="16">
        <f>インプット!$E62*F$5/入門シート換算!$B$170</f>
        <v>0</v>
      </c>
      <c r="G11" s="16">
        <f>インプット!$E62*G$5/入門シート換算!$B$170</f>
        <v>0</v>
      </c>
      <c r="H11" s="16">
        <f>インプット!$E62*H$5/入門シート換算!$B$170</f>
        <v>0</v>
      </c>
      <c r="I11" s="16">
        <f>インプット!$E62*I$5/入門シート換算!$B$170</f>
        <v>0</v>
      </c>
      <c r="J11" s="16">
        <f>インプット!$E62*J$5/入門シート換算!$B$170</f>
        <v>0</v>
      </c>
      <c r="K11" s="16">
        <f>インプット!$E62*K$5/入門シート換算!$B$170</f>
        <v>0</v>
      </c>
      <c r="L11" s="16">
        <f>インプット!$E62*L$5/入門シート換算!$B$170</f>
        <v>0</v>
      </c>
      <c r="M11" s="16">
        <f>インプット!$E62*M$5/入門シート換算!$B$170</f>
        <v>0</v>
      </c>
      <c r="N11" s="16">
        <f>インプット!$E62*N$5/入門シート換算!$B$170</f>
        <v>0</v>
      </c>
      <c r="O11" s="16">
        <f>インプット!$E62*O$5/入門シート換算!$B$170</f>
        <v>0</v>
      </c>
      <c r="P11" s="16">
        <f>インプット!$E62*P$5/入門シート換算!$B$170</f>
        <v>0</v>
      </c>
      <c r="Q11" s="16">
        <f>インプット!$E62*Q$5/入門シート換算!$B$170</f>
        <v>0</v>
      </c>
      <c r="R11" s="16">
        <f>インプット!$E62*R$5/入門シート換算!$B$170</f>
        <v>0</v>
      </c>
      <c r="S11" s="16">
        <f>インプット!$E62*S$5/入門シート換算!$B$170</f>
        <v>0</v>
      </c>
      <c r="T11" s="16">
        <f>インプット!$E62*T$5/入門シート換算!$B$170</f>
        <v>0</v>
      </c>
      <c r="U11" s="16">
        <f>インプット!$E62*U$5/入門シート換算!$B$170</f>
        <v>0</v>
      </c>
      <c r="V11" s="16">
        <f>インプット!$E62*V$5/入門シート換算!$B$170</f>
        <v>0</v>
      </c>
      <c r="W11" s="16">
        <f>インプット!$E62*W$5/入門シート換算!$B$170</f>
        <v>0</v>
      </c>
      <c r="X11" s="16">
        <f>インプット!$E62*X$5/入門シート換算!$B$170</f>
        <v>0</v>
      </c>
      <c r="Y11" s="16">
        <f>インプット!$E62*Y$5/入門シート換算!$B$170</f>
        <v>0</v>
      </c>
      <c r="Z11" s="16">
        <f>インプット!$E62*Z$5/入門シート換算!$B$170</f>
        <v>0</v>
      </c>
      <c r="AA11" s="16">
        <f>インプット!$E62*AA$5/入門シート換算!$B$170</f>
        <v>0</v>
      </c>
      <c r="AB11" s="16">
        <f>インプット!$E62*AB$5/入門シート換算!$B$170</f>
        <v>0</v>
      </c>
      <c r="AC11" s="16">
        <f>インプット!$E62*AC$5/入門シート換算!$B$170</f>
        <v>0</v>
      </c>
      <c r="AD11" s="16">
        <f>インプット!$E62*AD$5/入門シート換算!$B$170</f>
        <v>0</v>
      </c>
      <c r="AE11" s="16">
        <f>インプット!$E62*AE$5/入門シート換算!$B$170</f>
        <v>0</v>
      </c>
      <c r="AF11" s="16">
        <f>インプット!$E62*AF$5/入門シート換算!$B$170</f>
        <v>0</v>
      </c>
      <c r="AG11" s="16">
        <f>インプット!$E62*AG$5/入門シート換算!$B$170</f>
        <v>0</v>
      </c>
      <c r="AH11" s="16">
        <f>インプット!$E62*AH$5/入門シート換算!$B$170</f>
        <v>0</v>
      </c>
      <c r="AI11" s="17"/>
      <c r="AK11" s="18"/>
    </row>
    <row r="12" spans="1:37" x14ac:dyDescent="0.25">
      <c r="B12" s="351" t="str">
        <f>インプット!$B63</f>
        <v>＜その他・費目を入力＞</v>
      </c>
      <c r="C12" s="352" t="s">
        <v>173</v>
      </c>
      <c r="D12" s="334"/>
      <c r="E12" s="16">
        <f>インプット!$E63*E$5/入門シート換算!$B$170</f>
        <v>0</v>
      </c>
      <c r="F12" s="16">
        <f>インプット!$E63*F$5/入門シート換算!$B$170</f>
        <v>0</v>
      </c>
      <c r="G12" s="16">
        <f>インプット!$E63*G$5/入門シート換算!$B$170</f>
        <v>0</v>
      </c>
      <c r="H12" s="16">
        <f>インプット!$E63*H$5/入門シート換算!$B$170</f>
        <v>0</v>
      </c>
      <c r="I12" s="16">
        <f>インプット!$E63*I$5/入門シート換算!$B$170</f>
        <v>0</v>
      </c>
      <c r="J12" s="16">
        <f>インプット!$E63*J$5/入門シート換算!$B$170</f>
        <v>0</v>
      </c>
      <c r="K12" s="16">
        <f>インプット!$E63*K$5/入門シート換算!$B$170</f>
        <v>0</v>
      </c>
      <c r="L12" s="16">
        <f>インプット!$E63*L$5/入門シート換算!$B$170</f>
        <v>0</v>
      </c>
      <c r="M12" s="16">
        <f>インプット!$E63*M$5/入門シート換算!$B$170</f>
        <v>0</v>
      </c>
      <c r="N12" s="16">
        <f>インプット!$E63*N$5/入門シート換算!$B$170</f>
        <v>0</v>
      </c>
      <c r="O12" s="16">
        <f>インプット!$E63*O$5/入門シート換算!$B$170</f>
        <v>0</v>
      </c>
      <c r="P12" s="16">
        <f>インプット!$E63*P$5/入門シート換算!$B$170</f>
        <v>0</v>
      </c>
      <c r="Q12" s="16">
        <f>インプット!$E63*Q$5/入門シート換算!$B$170</f>
        <v>0</v>
      </c>
      <c r="R12" s="16">
        <f>インプット!$E63*R$5/入門シート換算!$B$170</f>
        <v>0</v>
      </c>
      <c r="S12" s="16">
        <f>インプット!$E63*S$5/入門シート換算!$B$170</f>
        <v>0</v>
      </c>
      <c r="T12" s="16">
        <f>インプット!$E63*T$5/入門シート換算!$B$170</f>
        <v>0</v>
      </c>
      <c r="U12" s="16">
        <f>インプット!$E63*U$5/入門シート換算!$B$170</f>
        <v>0</v>
      </c>
      <c r="V12" s="16">
        <f>インプット!$E63*V$5/入門シート換算!$B$170</f>
        <v>0</v>
      </c>
      <c r="W12" s="16">
        <f>インプット!$E63*W$5/入門シート換算!$B$170</f>
        <v>0</v>
      </c>
      <c r="X12" s="16">
        <f>インプット!$E63*X$5/入門シート換算!$B$170</f>
        <v>0</v>
      </c>
      <c r="Y12" s="16">
        <f>インプット!$E63*Y$5/入門シート換算!$B$170</f>
        <v>0</v>
      </c>
      <c r="Z12" s="16">
        <f>インプット!$E63*Z$5/入門シート換算!$B$170</f>
        <v>0</v>
      </c>
      <c r="AA12" s="16">
        <f>インプット!$E63*AA$5/入門シート換算!$B$170</f>
        <v>0</v>
      </c>
      <c r="AB12" s="16">
        <f>インプット!$E63*AB$5/入門シート換算!$B$170</f>
        <v>0</v>
      </c>
      <c r="AC12" s="16">
        <f>インプット!$E63*AC$5/入門シート換算!$B$170</f>
        <v>0</v>
      </c>
      <c r="AD12" s="16">
        <f>インプット!$E63*AD$5/入門シート換算!$B$170</f>
        <v>0</v>
      </c>
      <c r="AE12" s="16">
        <f>インプット!$E63*AE$5/入門シート換算!$B$170</f>
        <v>0</v>
      </c>
      <c r="AF12" s="16">
        <f>インプット!$E63*AF$5/入門シート換算!$B$170</f>
        <v>0</v>
      </c>
      <c r="AG12" s="16">
        <f>インプット!$E63*AG$5/入門シート換算!$B$170</f>
        <v>0</v>
      </c>
      <c r="AH12" s="16">
        <f>インプット!$E63*AH$5/入門シート換算!$B$170</f>
        <v>0</v>
      </c>
      <c r="AI12" s="17"/>
      <c r="AK12" s="18"/>
    </row>
    <row r="13" spans="1:37" ht="13" thickBot="1" x14ac:dyDescent="0.3">
      <c r="B13" s="350" t="str">
        <f>インプット!$B64</f>
        <v>＜その他・費目を入力＞</v>
      </c>
      <c r="C13" s="352" t="s">
        <v>173</v>
      </c>
      <c r="D13" s="334"/>
      <c r="E13" s="16">
        <f>インプット!$E64*E$5/入門シート換算!$B$170</f>
        <v>0</v>
      </c>
      <c r="F13" s="16">
        <f>インプット!$E64*F$5/入門シート換算!$B$170</f>
        <v>0</v>
      </c>
      <c r="G13" s="16">
        <f>インプット!$E64*G$5/入門シート換算!$B$170</f>
        <v>0</v>
      </c>
      <c r="H13" s="16">
        <f>インプット!$E64*H$5/入門シート換算!$B$170</f>
        <v>0</v>
      </c>
      <c r="I13" s="16">
        <f>インプット!$E64*I$5/入門シート換算!$B$170</f>
        <v>0</v>
      </c>
      <c r="J13" s="16">
        <f>インプット!$E64*J$5/入門シート換算!$B$170</f>
        <v>0</v>
      </c>
      <c r="K13" s="16">
        <f>インプット!$E64*K$5/入門シート換算!$B$170</f>
        <v>0</v>
      </c>
      <c r="L13" s="16">
        <f>インプット!$E64*L$5/入門シート換算!$B$170</f>
        <v>0</v>
      </c>
      <c r="M13" s="16">
        <f>インプット!$E64*M$5/入門シート換算!$B$170</f>
        <v>0</v>
      </c>
      <c r="N13" s="16">
        <f>インプット!$E64*N$5/入門シート換算!$B$170</f>
        <v>0</v>
      </c>
      <c r="O13" s="16">
        <f>インプット!$E64*O$5/入門シート換算!$B$170</f>
        <v>0</v>
      </c>
      <c r="P13" s="16">
        <f>インプット!$E64*P$5/入門シート換算!$B$170</f>
        <v>0</v>
      </c>
      <c r="Q13" s="16">
        <f>インプット!$E64*Q$5/入門シート換算!$B$170</f>
        <v>0</v>
      </c>
      <c r="R13" s="16">
        <f>インプット!$E64*R$5/入門シート換算!$B$170</f>
        <v>0</v>
      </c>
      <c r="S13" s="16">
        <f>インプット!$E64*S$5/入門シート換算!$B$170</f>
        <v>0</v>
      </c>
      <c r="T13" s="16">
        <f>インプット!$E64*T$5/入門シート換算!$B$170</f>
        <v>0</v>
      </c>
      <c r="U13" s="16">
        <f>インプット!$E64*U$5/入門シート換算!$B$170</f>
        <v>0</v>
      </c>
      <c r="V13" s="16">
        <f>インプット!$E64*V$5/入門シート換算!$B$170</f>
        <v>0</v>
      </c>
      <c r="W13" s="16">
        <f>インプット!$E64*W$5/入門シート換算!$B$170</f>
        <v>0</v>
      </c>
      <c r="X13" s="16">
        <f>インプット!$E64*X$5/入門シート換算!$B$170</f>
        <v>0</v>
      </c>
      <c r="Y13" s="16">
        <f>インプット!$E64*Y$5/入門シート換算!$B$170</f>
        <v>0</v>
      </c>
      <c r="Z13" s="16">
        <f>インプット!$E64*Z$5/入門シート換算!$B$170</f>
        <v>0</v>
      </c>
      <c r="AA13" s="16">
        <f>インプット!$E64*AA$5/入門シート換算!$B$170</f>
        <v>0</v>
      </c>
      <c r="AB13" s="16">
        <f>インプット!$E64*AB$5/入門シート換算!$B$170</f>
        <v>0</v>
      </c>
      <c r="AC13" s="16">
        <f>インプット!$E64*AC$5/入門シート換算!$B$170</f>
        <v>0</v>
      </c>
      <c r="AD13" s="16">
        <f>インプット!$E64*AD$5/入門シート換算!$B$170</f>
        <v>0</v>
      </c>
      <c r="AE13" s="16">
        <f>インプット!$E64*AE$5/入門シート換算!$B$170</f>
        <v>0</v>
      </c>
      <c r="AF13" s="16">
        <f>インプット!$E64*AF$5/入門シート換算!$B$170</f>
        <v>0</v>
      </c>
      <c r="AG13" s="16">
        <f>インプット!$E64*AG$5/入門シート換算!$B$170</f>
        <v>0</v>
      </c>
      <c r="AH13" s="16">
        <f>インプット!$E64*AH$5/入門シート換算!$B$170</f>
        <v>0</v>
      </c>
      <c r="AI13" s="17"/>
      <c r="AK13" s="18"/>
    </row>
    <row r="14" spans="1:37" ht="13" thickBot="1" x14ac:dyDescent="0.3">
      <c r="B14" s="19"/>
      <c r="C14" s="20"/>
      <c r="D14" s="21"/>
      <c r="E14" s="21"/>
      <c r="F14" s="21"/>
      <c r="G14" s="21"/>
      <c r="H14" s="21"/>
      <c r="I14" s="21"/>
      <c r="J14" s="21"/>
      <c r="K14" s="21"/>
      <c r="L14" s="21"/>
      <c r="M14" s="21"/>
      <c r="N14" s="21"/>
      <c r="O14" s="21"/>
      <c r="P14" s="21"/>
      <c r="Q14" s="113"/>
      <c r="R14" s="113"/>
      <c r="S14" s="113"/>
      <c r="T14" s="113"/>
      <c r="U14" s="113"/>
      <c r="V14" s="113"/>
      <c r="W14" s="113"/>
      <c r="X14" s="22"/>
      <c r="Y14" s="2"/>
    </row>
    <row r="15" spans="1:37" ht="13" thickBot="1" x14ac:dyDescent="0.3">
      <c r="B15" s="23" t="s">
        <v>28</v>
      </c>
      <c r="C15" s="24"/>
      <c r="D15" s="25">
        <v>0</v>
      </c>
      <c r="E15" s="25">
        <v>1</v>
      </c>
      <c r="F15" s="25">
        <v>2</v>
      </c>
      <c r="G15" s="25">
        <v>3</v>
      </c>
      <c r="H15" s="25">
        <v>4</v>
      </c>
      <c r="I15" s="25">
        <v>5</v>
      </c>
      <c r="J15" s="25">
        <v>6</v>
      </c>
      <c r="K15" s="25">
        <v>7</v>
      </c>
      <c r="L15" s="25">
        <v>8</v>
      </c>
      <c r="M15" s="25">
        <v>9</v>
      </c>
      <c r="N15" s="25">
        <v>10</v>
      </c>
      <c r="O15" s="25">
        <v>11</v>
      </c>
      <c r="P15" s="25">
        <v>12</v>
      </c>
      <c r="Q15" s="25">
        <v>13</v>
      </c>
      <c r="R15" s="25">
        <v>14</v>
      </c>
      <c r="S15" s="25">
        <v>15</v>
      </c>
      <c r="T15" s="25">
        <v>16</v>
      </c>
      <c r="U15" s="25">
        <v>17</v>
      </c>
      <c r="V15" s="25">
        <v>18</v>
      </c>
      <c r="W15" s="25">
        <v>19</v>
      </c>
      <c r="X15" s="26">
        <v>20</v>
      </c>
      <c r="Y15" s="26">
        <v>21</v>
      </c>
      <c r="Z15" s="26">
        <v>22</v>
      </c>
      <c r="AA15" s="26">
        <v>23</v>
      </c>
      <c r="AB15" s="26">
        <v>24</v>
      </c>
      <c r="AC15" s="26">
        <v>25</v>
      </c>
      <c r="AD15" s="26">
        <v>26</v>
      </c>
      <c r="AE15" s="26">
        <v>27</v>
      </c>
      <c r="AF15" s="26">
        <v>28</v>
      </c>
      <c r="AG15" s="26">
        <v>29</v>
      </c>
      <c r="AH15" s="26">
        <v>30</v>
      </c>
      <c r="AI15" s="27" t="s">
        <v>10</v>
      </c>
    </row>
    <row r="16" spans="1:37" ht="13" x14ac:dyDescent="0.3">
      <c r="B16" s="605" t="s">
        <v>74</v>
      </c>
      <c r="C16" s="606"/>
      <c r="D16" s="29"/>
      <c r="E16" s="29"/>
      <c r="F16" s="29"/>
      <c r="G16" s="29"/>
      <c r="H16" s="29"/>
      <c r="I16" s="29"/>
      <c r="J16" s="29"/>
      <c r="K16" s="29"/>
      <c r="L16" s="29"/>
      <c r="M16" s="29"/>
      <c r="N16" s="29"/>
      <c r="O16" s="29"/>
      <c r="P16" s="29"/>
      <c r="Q16" s="29"/>
      <c r="R16" s="29"/>
      <c r="S16" s="29"/>
      <c r="T16" s="29"/>
      <c r="U16" s="29"/>
      <c r="V16" s="29"/>
      <c r="W16" s="29"/>
      <c r="X16" s="30"/>
      <c r="Y16" s="31"/>
      <c r="Z16" s="31"/>
      <c r="AA16" s="31"/>
      <c r="AB16" s="31"/>
      <c r="AC16" s="31"/>
      <c r="AD16" s="31"/>
      <c r="AE16" s="31"/>
      <c r="AF16" s="31"/>
      <c r="AG16" s="31"/>
      <c r="AH16" s="32"/>
      <c r="AI16" s="33"/>
    </row>
    <row r="17" spans="2:35" x14ac:dyDescent="0.25">
      <c r="B17" s="97" t="s">
        <v>32</v>
      </c>
      <c r="C17" s="58" t="s">
        <v>11</v>
      </c>
      <c r="D17" s="35"/>
      <c r="E17" s="35">
        <f>E20*E21</f>
        <v>1222404665.625</v>
      </c>
      <c r="F17" s="35">
        <f>F20*F21</f>
        <v>1222404665.625</v>
      </c>
      <c r="G17" s="35">
        <f t="shared" ref="G17:AH17" si="0">G20*G21</f>
        <v>1222404665.625</v>
      </c>
      <c r="H17" s="35">
        <f t="shared" si="0"/>
        <v>1222404665.625</v>
      </c>
      <c r="I17" s="35">
        <f t="shared" si="0"/>
        <v>1222404665.625</v>
      </c>
      <c r="J17" s="35">
        <f t="shared" si="0"/>
        <v>1222404665.625</v>
      </c>
      <c r="K17" s="35">
        <f t="shared" si="0"/>
        <v>1222404665.625</v>
      </c>
      <c r="L17" s="35">
        <f t="shared" si="0"/>
        <v>1222404665.625</v>
      </c>
      <c r="M17" s="35">
        <f t="shared" si="0"/>
        <v>1222404665.625</v>
      </c>
      <c r="N17" s="35">
        <f t="shared" si="0"/>
        <v>1222404665.625</v>
      </c>
      <c r="O17" s="35">
        <f t="shared" si="0"/>
        <v>1222404665.625</v>
      </c>
      <c r="P17" s="35">
        <f t="shared" si="0"/>
        <v>1222404665.625</v>
      </c>
      <c r="Q17" s="35">
        <f t="shared" si="0"/>
        <v>1222404665.625</v>
      </c>
      <c r="R17" s="35">
        <f t="shared" si="0"/>
        <v>1222404665.625</v>
      </c>
      <c r="S17" s="35">
        <f t="shared" si="0"/>
        <v>1222404665.625</v>
      </c>
      <c r="T17" s="35">
        <f t="shared" si="0"/>
        <v>1222404665.625</v>
      </c>
      <c r="U17" s="35">
        <f t="shared" si="0"/>
        <v>1222404665.625</v>
      </c>
      <c r="V17" s="35">
        <f t="shared" si="0"/>
        <v>1222404665.625</v>
      </c>
      <c r="W17" s="35">
        <f t="shared" si="0"/>
        <v>1222404665.625</v>
      </c>
      <c r="X17" s="35">
        <f t="shared" si="0"/>
        <v>1222404665.625</v>
      </c>
      <c r="Y17" s="35">
        <f t="shared" si="0"/>
        <v>1222404665.625</v>
      </c>
      <c r="Z17" s="35">
        <f t="shared" si="0"/>
        <v>1222404665.625</v>
      </c>
      <c r="AA17" s="35">
        <f t="shared" si="0"/>
        <v>1222404665.625</v>
      </c>
      <c r="AB17" s="35">
        <f t="shared" si="0"/>
        <v>1222404665.625</v>
      </c>
      <c r="AC17" s="35">
        <f t="shared" si="0"/>
        <v>1222404665.625</v>
      </c>
      <c r="AD17" s="35">
        <f t="shared" si="0"/>
        <v>1222404665.625</v>
      </c>
      <c r="AE17" s="35">
        <f t="shared" si="0"/>
        <v>1222404665.625</v>
      </c>
      <c r="AF17" s="35">
        <f t="shared" si="0"/>
        <v>1222404665.625</v>
      </c>
      <c r="AG17" s="35">
        <f t="shared" si="0"/>
        <v>1222404665.625</v>
      </c>
      <c r="AH17" s="35">
        <f t="shared" si="0"/>
        <v>1222404665.625</v>
      </c>
      <c r="AI17" s="37">
        <f>SUM(E17:AH17)</f>
        <v>36672139968.75</v>
      </c>
    </row>
    <row r="18" spans="2:35" x14ac:dyDescent="0.25">
      <c r="B18" s="97" t="s">
        <v>35</v>
      </c>
      <c r="C18" s="58" t="s">
        <v>38</v>
      </c>
      <c r="D18" s="95"/>
      <c r="E18" s="95">
        <f>入門編_計算シート!C42</f>
        <v>104479031.25</v>
      </c>
      <c r="F18" s="95">
        <f>E18</f>
        <v>104479031.25</v>
      </c>
      <c r="G18" s="95">
        <f t="shared" ref="G18:AH18" si="1">F18</f>
        <v>104479031.25</v>
      </c>
      <c r="H18" s="95">
        <f t="shared" si="1"/>
        <v>104479031.25</v>
      </c>
      <c r="I18" s="95">
        <f t="shared" si="1"/>
        <v>104479031.25</v>
      </c>
      <c r="J18" s="95">
        <f t="shared" si="1"/>
        <v>104479031.25</v>
      </c>
      <c r="K18" s="95">
        <f t="shared" si="1"/>
        <v>104479031.25</v>
      </c>
      <c r="L18" s="95">
        <f t="shared" si="1"/>
        <v>104479031.25</v>
      </c>
      <c r="M18" s="95">
        <f t="shared" si="1"/>
        <v>104479031.25</v>
      </c>
      <c r="N18" s="95">
        <f t="shared" si="1"/>
        <v>104479031.25</v>
      </c>
      <c r="O18" s="95">
        <f t="shared" si="1"/>
        <v>104479031.25</v>
      </c>
      <c r="P18" s="95">
        <f t="shared" si="1"/>
        <v>104479031.25</v>
      </c>
      <c r="Q18" s="95">
        <f t="shared" si="1"/>
        <v>104479031.25</v>
      </c>
      <c r="R18" s="95">
        <f t="shared" si="1"/>
        <v>104479031.25</v>
      </c>
      <c r="S18" s="95">
        <f t="shared" si="1"/>
        <v>104479031.25</v>
      </c>
      <c r="T18" s="95">
        <f t="shared" si="1"/>
        <v>104479031.25</v>
      </c>
      <c r="U18" s="95">
        <f t="shared" si="1"/>
        <v>104479031.25</v>
      </c>
      <c r="V18" s="95">
        <f t="shared" si="1"/>
        <v>104479031.25</v>
      </c>
      <c r="W18" s="95">
        <f t="shared" si="1"/>
        <v>104479031.25</v>
      </c>
      <c r="X18" s="95">
        <f t="shared" si="1"/>
        <v>104479031.25</v>
      </c>
      <c r="Y18" s="95">
        <f t="shared" si="1"/>
        <v>104479031.25</v>
      </c>
      <c r="Z18" s="95">
        <f t="shared" si="1"/>
        <v>104479031.25</v>
      </c>
      <c r="AA18" s="95">
        <f t="shared" si="1"/>
        <v>104479031.25</v>
      </c>
      <c r="AB18" s="95">
        <f t="shared" si="1"/>
        <v>104479031.25</v>
      </c>
      <c r="AC18" s="95">
        <f t="shared" si="1"/>
        <v>104479031.25</v>
      </c>
      <c r="AD18" s="95">
        <f t="shared" si="1"/>
        <v>104479031.25</v>
      </c>
      <c r="AE18" s="95">
        <f t="shared" si="1"/>
        <v>104479031.25</v>
      </c>
      <c r="AF18" s="95">
        <f t="shared" si="1"/>
        <v>104479031.25</v>
      </c>
      <c r="AG18" s="95">
        <f t="shared" si="1"/>
        <v>104479031.25</v>
      </c>
      <c r="AH18" s="95">
        <f t="shared" si="1"/>
        <v>104479031.25</v>
      </c>
      <c r="AI18" s="59"/>
    </row>
    <row r="19" spans="2:35" x14ac:dyDescent="0.25">
      <c r="B19" s="97" t="s">
        <v>400</v>
      </c>
      <c r="C19" s="58" t="s">
        <v>36</v>
      </c>
      <c r="D19" s="100"/>
      <c r="E19" s="100">
        <f>入門編_計算シート!C43</f>
        <v>0.9</v>
      </c>
      <c r="F19" s="100">
        <f>E19</f>
        <v>0.9</v>
      </c>
      <c r="G19" s="100">
        <f t="shared" ref="G19:AH19" si="2">F19</f>
        <v>0.9</v>
      </c>
      <c r="H19" s="100">
        <f t="shared" si="2"/>
        <v>0.9</v>
      </c>
      <c r="I19" s="100">
        <f t="shared" si="2"/>
        <v>0.9</v>
      </c>
      <c r="J19" s="100">
        <f t="shared" si="2"/>
        <v>0.9</v>
      </c>
      <c r="K19" s="100">
        <f t="shared" si="2"/>
        <v>0.9</v>
      </c>
      <c r="L19" s="100">
        <f t="shared" si="2"/>
        <v>0.9</v>
      </c>
      <c r="M19" s="100">
        <f t="shared" si="2"/>
        <v>0.9</v>
      </c>
      <c r="N19" s="100">
        <f t="shared" si="2"/>
        <v>0.9</v>
      </c>
      <c r="O19" s="100">
        <f t="shared" si="2"/>
        <v>0.9</v>
      </c>
      <c r="P19" s="100">
        <f t="shared" si="2"/>
        <v>0.9</v>
      </c>
      <c r="Q19" s="100">
        <f t="shared" si="2"/>
        <v>0.9</v>
      </c>
      <c r="R19" s="100">
        <f t="shared" si="2"/>
        <v>0.9</v>
      </c>
      <c r="S19" s="100">
        <f t="shared" si="2"/>
        <v>0.9</v>
      </c>
      <c r="T19" s="100">
        <f t="shared" si="2"/>
        <v>0.9</v>
      </c>
      <c r="U19" s="100">
        <f t="shared" si="2"/>
        <v>0.9</v>
      </c>
      <c r="V19" s="100">
        <f t="shared" si="2"/>
        <v>0.9</v>
      </c>
      <c r="W19" s="100">
        <f t="shared" si="2"/>
        <v>0.9</v>
      </c>
      <c r="X19" s="100">
        <f t="shared" si="2"/>
        <v>0.9</v>
      </c>
      <c r="Y19" s="100">
        <f t="shared" si="2"/>
        <v>0.9</v>
      </c>
      <c r="Z19" s="100">
        <f t="shared" si="2"/>
        <v>0.9</v>
      </c>
      <c r="AA19" s="100">
        <f t="shared" si="2"/>
        <v>0.9</v>
      </c>
      <c r="AB19" s="100">
        <f t="shared" si="2"/>
        <v>0.9</v>
      </c>
      <c r="AC19" s="100">
        <f t="shared" si="2"/>
        <v>0.9</v>
      </c>
      <c r="AD19" s="100">
        <f t="shared" si="2"/>
        <v>0.9</v>
      </c>
      <c r="AE19" s="100">
        <f t="shared" si="2"/>
        <v>0.9</v>
      </c>
      <c r="AF19" s="100">
        <f t="shared" si="2"/>
        <v>0.9</v>
      </c>
      <c r="AG19" s="100">
        <f t="shared" si="2"/>
        <v>0.9</v>
      </c>
      <c r="AH19" s="100">
        <f t="shared" si="2"/>
        <v>0.9</v>
      </c>
      <c r="AI19" s="59"/>
    </row>
    <row r="20" spans="2:35" x14ac:dyDescent="0.25">
      <c r="B20" s="97" t="s">
        <v>33</v>
      </c>
      <c r="C20" s="58" t="s">
        <v>38</v>
      </c>
      <c r="D20" s="95"/>
      <c r="E20" s="95">
        <f t="shared" ref="E20:AH20" si="3">E18*E19</f>
        <v>94031128.125</v>
      </c>
      <c r="F20" s="46">
        <f t="shared" si="3"/>
        <v>94031128.125</v>
      </c>
      <c r="G20" s="46">
        <f t="shared" si="3"/>
        <v>94031128.125</v>
      </c>
      <c r="H20" s="46">
        <f t="shared" si="3"/>
        <v>94031128.125</v>
      </c>
      <c r="I20" s="46">
        <f t="shared" si="3"/>
        <v>94031128.125</v>
      </c>
      <c r="J20" s="46">
        <f t="shared" si="3"/>
        <v>94031128.125</v>
      </c>
      <c r="K20" s="46">
        <f t="shared" si="3"/>
        <v>94031128.125</v>
      </c>
      <c r="L20" s="46">
        <f t="shared" si="3"/>
        <v>94031128.125</v>
      </c>
      <c r="M20" s="46">
        <f t="shared" si="3"/>
        <v>94031128.125</v>
      </c>
      <c r="N20" s="46">
        <f t="shared" si="3"/>
        <v>94031128.125</v>
      </c>
      <c r="O20" s="46">
        <f t="shared" si="3"/>
        <v>94031128.125</v>
      </c>
      <c r="P20" s="46">
        <f t="shared" si="3"/>
        <v>94031128.125</v>
      </c>
      <c r="Q20" s="46">
        <f t="shared" si="3"/>
        <v>94031128.125</v>
      </c>
      <c r="R20" s="46">
        <f t="shared" si="3"/>
        <v>94031128.125</v>
      </c>
      <c r="S20" s="46">
        <f t="shared" si="3"/>
        <v>94031128.125</v>
      </c>
      <c r="T20" s="46">
        <f t="shared" si="3"/>
        <v>94031128.125</v>
      </c>
      <c r="U20" s="46">
        <f t="shared" si="3"/>
        <v>94031128.125</v>
      </c>
      <c r="V20" s="46">
        <f t="shared" si="3"/>
        <v>94031128.125</v>
      </c>
      <c r="W20" s="46">
        <f t="shared" si="3"/>
        <v>94031128.125</v>
      </c>
      <c r="X20" s="46">
        <f t="shared" si="3"/>
        <v>94031128.125</v>
      </c>
      <c r="Y20" s="46">
        <f t="shared" si="3"/>
        <v>94031128.125</v>
      </c>
      <c r="Z20" s="46">
        <f t="shared" si="3"/>
        <v>94031128.125</v>
      </c>
      <c r="AA20" s="46">
        <f t="shared" si="3"/>
        <v>94031128.125</v>
      </c>
      <c r="AB20" s="46">
        <f t="shared" si="3"/>
        <v>94031128.125</v>
      </c>
      <c r="AC20" s="46">
        <f t="shared" si="3"/>
        <v>94031128.125</v>
      </c>
      <c r="AD20" s="46">
        <f t="shared" si="3"/>
        <v>94031128.125</v>
      </c>
      <c r="AE20" s="46">
        <f t="shared" si="3"/>
        <v>94031128.125</v>
      </c>
      <c r="AF20" s="46">
        <f t="shared" si="3"/>
        <v>94031128.125</v>
      </c>
      <c r="AG20" s="46">
        <f t="shared" si="3"/>
        <v>94031128.125</v>
      </c>
      <c r="AH20" s="124">
        <f t="shared" si="3"/>
        <v>94031128.125</v>
      </c>
      <c r="AI20" s="59"/>
    </row>
    <row r="21" spans="2:35" x14ac:dyDescent="0.25">
      <c r="B21" s="624" t="s">
        <v>34</v>
      </c>
      <c r="C21" s="602" t="s">
        <v>296</v>
      </c>
      <c r="D21" s="603"/>
      <c r="E21" s="603">
        <f t="shared" ref="E21:AH21" si="4">E6</f>
        <v>13</v>
      </c>
      <c r="F21" s="630">
        <f t="shared" si="4"/>
        <v>13</v>
      </c>
      <c r="G21" s="630">
        <f t="shared" si="4"/>
        <v>13</v>
      </c>
      <c r="H21" s="630">
        <f t="shared" si="4"/>
        <v>13</v>
      </c>
      <c r="I21" s="630">
        <f t="shared" si="4"/>
        <v>13</v>
      </c>
      <c r="J21" s="630">
        <f t="shared" si="4"/>
        <v>13</v>
      </c>
      <c r="K21" s="630">
        <f t="shared" si="4"/>
        <v>13</v>
      </c>
      <c r="L21" s="630">
        <f t="shared" si="4"/>
        <v>13</v>
      </c>
      <c r="M21" s="630">
        <f t="shared" si="4"/>
        <v>13</v>
      </c>
      <c r="N21" s="630">
        <f t="shared" si="4"/>
        <v>13</v>
      </c>
      <c r="O21" s="630">
        <f t="shared" si="4"/>
        <v>13</v>
      </c>
      <c r="P21" s="630">
        <f t="shared" si="4"/>
        <v>13</v>
      </c>
      <c r="Q21" s="630">
        <f t="shared" si="4"/>
        <v>13</v>
      </c>
      <c r="R21" s="630">
        <f t="shared" si="4"/>
        <v>13</v>
      </c>
      <c r="S21" s="630">
        <f t="shared" si="4"/>
        <v>13</v>
      </c>
      <c r="T21" s="630">
        <f t="shared" si="4"/>
        <v>13</v>
      </c>
      <c r="U21" s="630">
        <f t="shared" si="4"/>
        <v>13</v>
      </c>
      <c r="V21" s="630">
        <f t="shared" si="4"/>
        <v>13</v>
      </c>
      <c r="W21" s="630">
        <f t="shared" si="4"/>
        <v>13</v>
      </c>
      <c r="X21" s="630">
        <f t="shared" si="4"/>
        <v>13</v>
      </c>
      <c r="Y21" s="630">
        <f t="shared" si="4"/>
        <v>13</v>
      </c>
      <c r="Z21" s="630">
        <f t="shared" si="4"/>
        <v>13</v>
      </c>
      <c r="AA21" s="630">
        <f t="shared" si="4"/>
        <v>13</v>
      </c>
      <c r="AB21" s="630">
        <f t="shared" si="4"/>
        <v>13</v>
      </c>
      <c r="AC21" s="630">
        <f t="shared" si="4"/>
        <v>13</v>
      </c>
      <c r="AD21" s="630">
        <f t="shared" si="4"/>
        <v>13</v>
      </c>
      <c r="AE21" s="630">
        <f t="shared" si="4"/>
        <v>13</v>
      </c>
      <c r="AF21" s="630">
        <f t="shared" si="4"/>
        <v>13</v>
      </c>
      <c r="AG21" s="630">
        <f t="shared" si="4"/>
        <v>13</v>
      </c>
      <c r="AH21" s="631">
        <f t="shared" si="4"/>
        <v>13</v>
      </c>
      <c r="AI21" s="627"/>
    </row>
    <row r="22" spans="2:35" x14ac:dyDescent="0.25">
      <c r="B22" s="97" t="s">
        <v>39</v>
      </c>
      <c r="C22" s="98" t="s">
        <v>0</v>
      </c>
      <c r="D22" s="46"/>
      <c r="E22" s="46">
        <f>E25*E26</f>
        <v>261197578.125</v>
      </c>
      <c r="F22" s="46">
        <f>E22</f>
        <v>261197578.125</v>
      </c>
      <c r="G22" s="46">
        <f t="shared" ref="G22:AH22" si="5">F22</f>
        <v>261197578.125</v>
      </c>
      <c r="H22" s="46">
        <f t="shared" si="5"/>
        <v>261197578.125</v>
      </c>
      <c r="I22" s="46">
        <f t="shared" si="5"/>
        <v>261197578.125</v>
      </c>
      <c r="J22" s="46">
        <f t="shared" si="5"/>
        <v>261197578.125</v>
      </c>
      <c r="K22" s="46">
        <f t="shared" si="5"/>
        <v>261197578.125</v>
      </c>
      <c r="L22" s="46">
        <f t="shared" si="5"/>
        <v>261197578.125</v>
      </c>
      <c r="M22" s="46">
        <f t="shared" si="5"/>
        <v>261197578.125</v>
      </c>
      <c r="N22" s="46">
        <f t="shared" si="5"/>
        <v>261197578.125</v>
      </c>
      <c r="O22" s="46">
        <f t="shared" si="5"/>
        <v>261197578.125</v>
      </c>
      <c r="P22" s="46">
        <f t="shared" si="5"/>
        <v>261197578.125</v>
      </c>
      <c r="Q22" s="46">
        <f t="shared" si="5"/>
        <v>261197578.125</v>
      </c>
      <c r="R22" s="46">
        <f t="shared" si="5"/>
        <v>261197578.125</v>
      </c>
      <c r="S22" s="46">
        <f t="shared" si="5"/>
        <v>261197578.125</v>
      </c>
      <c r="T22" s="46">
        <f t="shared" si="5"/>
        <v>261197578.125</v>
      </c>
      <c r="U22" s="46">
        <f t="shared" si="5"/>
        <v>261197578.125</v>
      </c>
      <c r="V22" s="46">
        <f t="shared" si="5"/>
        <v>261197578.125</v>
      </c>
      <c r="W22" s="46">
        <f t="shared" si="5"/>
        <v>261197578.125</v>
      </c>
      <c r="X22" s="46">
        <f t="shared" si="5"/>
        <v>261197578.125</v>
      </c>
      <c r="Y22" s="46">
        <f t="shared" si="5"/>
        <v>261197578.125</v>
      </c>
      <c r="Z22" s="46">
        <f t="shared" si="5"/>
        <v>261197578.125</v>
      </c>
      <c r="AA22" s="46">
        <f t="shared" si="5"/>
        <v>261197578.125</v>
      </c>
      <c r="AB22" s="46">
        <f t="shared" si="5"/>
        <v>261197578.125</v>
      </c>
      <c r="AC22" s="46">
        <f t="shared" si="5"/>
        <v>261197578.125</v>
      </c>
      <c r="AD22" s="46">
        <f t="shared" si="5"/>
        <v>261197578.125</v>
      </c>
      <c r="AE22" s="46">
        <f t="shared" si="5"/>
        <v>261197578.125</v>
      </c>
      <c r="AF22" s="46">
        <f t="shared" si="5"/>
        <v>261197578.125</v>
      </c>
      <c r="AG22" s="46">
        <f t="shared" si="5"/>
        <v>261197578.125</v>
      </c>
      <c r="AH22" s="46">
        <f t="shared" si="5"/>
        <v>261197578.125</v>
      </c>
      <c r="AI22" s="628">
        <f>SUM(E22:AH22)</f>
        <v>7835927343.75</v>
      </c>
    </row>
    <row r="23" spans="2:35" x14ac:dyDescent="0.25">
      <c r="B23" s="97" t="s">
        <v>444</v>
      </c>
      <c r="C23" s="58" t="s">
        <v>38</v>
      </c>
      <c r="D23" s="95"/>
      <c r="E23" s="95">
        <f>入門編_計算シート!C47</f>
        <v>208958062.5</v>
      </c>
      <c r="F23" s="95">
        <f>E23</f>
        <v>208958062.5</v>
      </c>
      <c r="G23" s="95">
        <f t="shared" ref="G23:AH24" si="6">F23</f>
        <v>208958062.5</v>
      </c>
      <c r="H23" s="95">
        <f t="shared" si="6"/>
        <v>208958062.5</v>
      </c>
      <c r="I23" s="95">
        <f t="shared" si="6"/>
        <v>208958062.5</v>
      </c>
      <c r="J23" s="95">
        <f t="shared" si="6"/>
        <v>208958062.5</v>
      </c>
      <c r="K23" s="95">
        <f t="shared" si="6"/>
        <v>208958062.5</v>
      </c>
      <c r="L23" s="95">
        <f t="shared" si="6"/>
        <v>208958062.5</v>
      </c>
      <c r="M23" s="95">
        <f t="shared" si="6"/>
        <v>208958062.5</v>
      </c>
      <c r="N23" s="95">
        <f t="shared" si="6"/>
        <v>208958062.5</v>
      </c>
      <c r="O23" s="95">
        <f t="shared" si="6"/>
        <v>208958062.5</v>
      </c>
      <c r="P23" s="95">
        <f t="shared" si="6"/>
        <v>208958062.5</v>
      </c>
      <c r="Q23" s="95">
        <f t="shared" si="6"/>
        <v>208958062.5</v>
      </c>
      <c r="R23" s="95">
        <f t="shared" si="6"/>
        <v>208958062.5</v>
      </c>
      <c r="S23" s="95">
        <f t="shared" si="6"/>
        <v>208958062.5</v>
      </c>
      <c r="T23" s="95">
        <f t="shared" si="6"/>
        <v>208958062.5</v>
      </c>
      <c r="U23" s="95">
        <f t="shared" si="6"/>
        <v>208958062.5</v>
      </c>
      <c r="V23" s="95">
        <f t="shared" si="6"/>
        <v>208958062.5</v>
      </c>
      <c r="W23" s="95">
        <f t="shared" si="6"/>
        <v>208958062.5</v>
      </c>
      <c r="X23" s="95">
        <f t="shared" si="6"/>
        <v>208958062.5</v>
      </c>
      <c r="Y23" s="95">
        <f t="shared" si="6"/>
        <v>208958062.5</v>
      </c>
      <c r="Z23" s="95">
        <f t="shared" si="6"/>
        <v>208958062.5</v>
      </c>
      <c r="AA23" s="95">
        <f t="shared" si="6"/>
        <v>208958062.5</v>
      </c>
      <c r="AB23" s="95">
        <f t="shared" si="6"/>
        <v>208958062.5</v>
      </c>
      <c r="AC23" s="95">
        <f t="shared" si="6"/>
        <v>208958062.5</v>
      </c>
      <c r="AD23" s="95">
        <f t="shared" si="6"/>
        <v>208958062.5</v>
      </c>
      <c r="AE23" s="95">
        <f t="shared" si="6"/>
        <v>208958062.5</v>
      </c>
      <c r="AF23" s="95">
        <f t="shared" si="6"/>
        <v>208958062.5</v>
      </c>
      <c r="AG23" s="95">
        <f t="shared" si="6"/>
        <v>208958062.5</v>
      </c>
      <c r="AH23" s="95">
        <f t="shared" si="6"/>
        <v>208958062.5</v>
      </c>
      <c r="AI23" s="59"/>
    </row>
    <row r="24" spans="2:35" x14ac:dyDescent="0.25">
      <c r="B24" s="97" t="s">
        <v>400</v>
      </c>
      <c r="C24" s="58" t="s">
        <v>36</v>
      </c>
      <c r="D24" s="100"/>
      <c r="E24" s="1468">
        <f>入門編_計算シート!C48*入門編_計算シート!$AE$121</f>
        <v>0.25</v>
      </c>
      <c r="F24" s="100">
        <f>E24</f>
        <v>0.25</v>
      </c>
      <c r="G24" s="100">
        <f t="shared" si="6"/>
        <v>0.25</v>
      </c>
      <c r="H24" s="100">
        <f t="shared" si="6"/>
        <v>0.25</v>
      </c>
      <c r="I24" s="100">
        <f t="shared" si="6"/>
        <v>0.25</v>
      </c>
      <c r="J24" s="100">
        <f t="shared" si="6"/>
        <v>0.25</v>
      </c>
      <c r="K24" s="100">
        <f t="shared" si="6"/>
        <v>0.25</v>
      </c>
      <c r="L24" s="100">
        <f t="shared" si="6"/>
        <v>0.25</v>
      </c>
      <c r="M24" s="100">
        <f t="shared" si="6"/>
        <v>0.25</v>
      </c>
      <c r="N24" s="100">
        <f t="shared" si="6"/>
        <v>0.25</v>
      </c>
      <c r="O24" s="100">
        <f t="shared" si="6"/>
        <v>0.25</v>
      </c>
      <c r="P24" s="100">
        <f t="shared" si="6"/>
        <v>0.25</v>
      </c>
      <c r="Q24" s="100">
        <f t="shared" si="6"/>
        <v>0.25</v>
      </c>
      <c r="R24" s="100">
        <f t="shared" si="6"/>
        <v>0.25</v>
      </c>
      <c r="S24" s="100">
        <f t="shared" si="6"/>
        <v>0.25</v>
      </c>
      <c r="T24" s="100">
        <f t="shared" si="6"/>
        <v>0.25</v>
      </c>
      <c r="U24" s="100">
        <f t="shared" si="6"/>
        <v>0.25</v>
      </c>
      <c r="V24" s="100">
        <f t="shared" si="6"/>
        <v>0.25</v>
      </c>
      <c r="W24" s="100">
        <f t="shared" si="6"/>
        <v>0.25</v>
      </c>
      <c r="X24" s="100">
        <f t="shared" si="6"/>
        <v>0.25</v>
      </c>
      <c r="Y24" s="100">
        <f t="shared" si="6"/>
        <v>0.25</v>
      </c>
      <c r="Z24" s="100">
        <f t="shared" si="6"/>
        <v>0.25</v>
      </c>
      <c r="AA24" s="100">
        <f t="shared" si="6"/>
        <v>0.25</v>
      </c>
      <c r="AB24" s="100">
        <f t="shared" si="6"/>
        <v>0.25</v>
      </c>
      <c r="AC24" s="100">
        <f t="shared" si="6"/>
        <v>0.25</v>
      </c>
      <c r="AD24" s="100">
        <f t="shared" si="6"/>
        <v>0.25</v>
      </c>
      <c r="AE24" s="100">
        <f t="shared" si="6"/>
        <v>0.25</v>
      </c>
      <c r="AF24" s="100">
        <f t="shared" si="6"/>
        <v>0.25</v>
      </c>
      <c r="AG24" s="100">
        <f t="shared" si="6"/>
        <v>0.25</v>
      </c>
      <c r="AH24" s="100">
        <f t="shared" si="6"/>
        <v>0.25</v>
      </c>
      <c r="AI24" s="59"/>
    </row>
    <row r="25" spans="2:35" x14ac:dyDescent="0.25">
      <c r="B25" s="97" t="s">
        <v>40</v>
      </c>
      <c r="C25" s="58" t="s">
        <v>38</v>
      </c>
      <c r="D25" s="95"/>
      <c r="E25" s="95">
        <f>E23*E24</f>
        <v>52239515.625</v>
      </c>
      <c r="F25" s="46">
        <f t="shared" ref="F25:AH25" si="7">F23*F24</f>
        <v>52239515.625</v>
      </c>
      <c r="G25" s="46">
        <f t="shared" si="7"/>
        <v>52239515.625</v>
      </c>
      <c r="H25" s="46">
        <f t="shared" si="7"/>
        <v>52239515.625</v>
      </c>
      <c r="I25" s="46">
        <f t="shared" si="7"/>
        <v>52239515.625</v>
      </c>
      <c r="J25" s="46">
        <f t="shared" si="7"/>
        <v>52239515.625</v>
      </c>
      <c r="K25" s="46">
        <f t="shared" si="7"/>
        <v>52239515.625</v>
      </c>
      <c r="L25" s="46">
        <f t="shared" si="7"/>
        <v>52239515.625</v>
      </c>
      <c r="M25" s="46">
        <f t="shared" si="7"/>
        <v>52239515.625</v>
      </c>
      <c r="N25" s="46">
        <f t="shared" si="7"/>
        <v>52239515.625</v>
      </c>
      <c r="O25" s="46">
        <f t="shared" si="7"/>
        <v>52239515.625</v>
      </c>
      <c r="P25" s="46">
        <f t="shared" si="7"/>
        <v>52239515.625</v>
      </c>
      <c r="Q25" s="46">
        <f t="shared" si="7"/>
        <v>52239515.625</v>
      </c>
      <c r="R25" s="46">
        <f t="shared" si="7"/>
        <v>52239515.625</v>
      </c>
      <c r="S25" s="46">
        <f t="shared" si="7"/>
        <v>52239515.625</v>
      </c>
      <c r="T25" s="46">
        <f t="shared" si="7"/>
        <v>52239515.625</v>
      </c>
      <c r="U25" s="46">
        <f t="shared" si="7"/>
        <v>52239515.625</v>
      </c>
      <c r="V25" s="46">
        <f t="shared" si="7"/>
        <v>52239515.625</v>
      </c>
      <c r="W25" s="46">
        <f t="shared" si="7"/>
        <v>52239515.625</v>
      </c>
      <c r="X25" s="46">
        <f t="shared" si="7"/>
        <v>52239515.625</v>
      </c>
      <c r="Y25" s="46">
        <f t="shared" si="7"/>
        <v>52239515.625</v>
      </c>
      <c r="Z25" s="46">
        <f t="shared" si="7"/>
        <v>52239515.625</v>
      </c>
      <c r="AA25" s="46">
        <f t="shared" si="7"/>
        <v>52239515.625</v>
      </c>
      <c r="AB25" s="46">
        <f t="shared" si="7"/>
        <v>52239515.625</v>
      </c>
      <c r="AC25" s="46">
        <f t="shared" si="7"/>
        <v>52239515.625</v>
      </c>
      <c r="AD25" s="46">
        <f t="shared" si="7"/>
        <v>52239515.625</v>
      </c>
      <c r="AE25" s="46">
        <f t="shared" si="7"/>
        <v>52239515.625</v>
      </c>
      <c r="AF25" s="46">
        <f t="shared" si="7"/>
        <v>52239515.625</v>
      </c>
      <c r="AG25" s="46">
        <f t="shared" si="7"/>
        <v>52239515.625</v>
      </c>
      <c r="AH25" s="124">
        <f t="shared" si="7"/>
        <v>52239515.625</v>
      </c>
      <c r="AI25" s="59"/>
    </row>
    <row r="26" spans="2:35" x14ac:dyDescent="0.25">
      <c r="B26" s="624" t="s">
        <v>41</v>
      </c>
      <c r="C26" s="602" t="s">
        <v>296</v>
      </c>
      <c r="D26" s="603"/>
      <c r="E26" s="603">
        <f>$E$7</f>
        <v>5</v>
      </c>
      <c r="F26" s="625">
        <f t="shared" ref="F26:AH26" si="8">$E$7</f>
        <v>5</v>
      </c>
      <c r="G26" s="625">
        <f t="shared" si="8"/>
        <v>5</v>
      </c>
      <c r="H26" s="625">
        <f t="shared" si="8"/>
        <v>5</v>
      </c>
      <c r="I26" s="625">
        <f t="shared" si="8"/>
        <v>5</v>
      </c>
      <c r="J26" s="625">
        <f t="shared" si="8"/>
        <v>5</v>
      </c>
      <c r="K26" s="625">
        <f t="shared" si="8"/>
        <v>5</v>
      </c>
      <c r="L26" s="625">
        <f t="shared" si="8"/>
        <v>5</v>
      </c>
      <c r="M26" s="625">
        <f t="shared" si="8"/>
        <v>5</v>
      </c>
      <c r="N26" s="625">
        <f t="shared" si="8"/>
        <v>5</v>
      </c>
      <c r="O26" s="625">
        <f t="shared" si="8"/>
        <v>5</v>
      </c>
      <c r="P26" s="625">
        <f t="shared" si="8"/>
        <v>5</v>
      </c>
      <c r="Q26" s="625">
        <f t="shared" si="8"/>
        <v>5</v>
      </c>
      <c r="R26" s="625">
        <f t="shared" si="8"/>
        <v>5</v>
      </c>
      <c r="S26" s="625">
        <f t="shared" si="8"/>
        <v>5</v>
      </c>
      <c r="T26" s="625">
        <f t="shared" si="8"/>
        <v>5</v>
      </c>
      <c r="U26" s="625">
        <f t="shared" si="8"/>
        <v>5</v>
      </c>
      <c r="V26" s="625">
        <f t="shared" si="8"/>
        <v>5</v>
      </c>
      <c r="W26" s="625">
        <f t="shared" si="8"/>
        <v>5</v>
      </c>
      <c r="X26" s="625">
        <f t="shared" si="8"/>
        <v>5</v>
      </c>
      <c r="Y26" s="625">
        <f t="shared" si="8"/>
        <v>5</v>
      </c>
      <c r="Z26" s="625">
        <f t="shared" si="8"/>
        <v>5</v>
      </c>
      <c r="AA26" s="625">
        <f t="shared" si="8"/>
        <v>5</v>
      </c>
      <c r="AB26" s="625">
        <f t="shared" si="8"/>
        <v>5</v>
      </c>
      <c r="AC26" s="625">
        <f t="shared" si="8"/>
        <v>5</v>
      </c>
      <c r="AD26" s="625">
        <f t="shared" si="8"/>
        <v>5</v>
      </c>
      <c r="AE26" s="625">
        <f t="shared" si="8"/>
        <v>5</v>
      </c>
      <c r="AF26" s="625">
        <f t="shared" si="8"/>
        <v>5</v>
      </c>
      <c r="AG26" s="625">
        <f t="shared" si="8"/>
        <v>5</v>
      </c>
      <c r="AH26" s="626">
        <f t="shared" si="8"/>
        <v>5</v>
      </c>
      <c r="AI26" s="627"/>
    </row>
    <row r="27" spans="2:35" x14ac:dyDescent="0.25">
      <c r="B27" s="97" t="str">
        <f>インプット!A18&amp;" "&amp;インプット!B18&amp;"販売収入"</f>
        <v>その他収益 販売収入</v>
      </c>
      <c r="C27" s="98" t="s">
        <v>37</v>
      </c>
      <c r="D27" s="99"/>
      <c r="E27" s="95">
        <f>E28*E29</f>
        <v>0</v>
      </c>
      <c r="F27" s="95">
        <f t="shared" ref="F27:AH27" si="9">F28*F29</f>
        <v>0</v>
      </c>
      <c r="G27" s="95">
        <f t="shared" si="9"/>
        <v>0</v>
      </c>
      <c r="H27" s="95">
        <f t="shared" si="9"/>
        <v>0</v>
      </c>
      <c r="I27" s="95">
        <f t="shared" si="9"/>
        <v>0</v>
      </c>
      <c r="J27" s="95">
        <f t="shared" si="9"/>
        <v>0</v>
      </c>
      <c r="K27" s="95">
        <f t="shared" si="9"/>
        <v>0</v>
      </c>
      <c r="L27" s="95">
        <f t="shared" si="9"/>
        <v>0</v>
      </c>
      <c r="M27" s="95">
        <f t="shared" si="9"/>
        <v>0</v>
      </c>
      <c r="N27" s="95">
        <f t="shared" si="9"/>
        <v>0</v>
      </c>
      <c r="O27" s="95">
        <f t="shared" si="9"/>
        <v>0</v>
      </c>
      <c r="P27" s="95">
        <f t="shared" si="9"/>
        <v>0</v>
      </c>
      <c r="Q27" s="95">
        <f t="shared" si="9"/>
        <v>0</v>
      </c>
      <c r="R27" s="95">
        <f t="shared" si="9"/>
        <v>0</v>
      </c>
      <c r="S27" s="95">
        <f t="shared" si="9"/>
        <v>0</v>
      </c>
      <c r="T27" s="95">
        <f t="shared" si="9"/>
        <v>0</v>
      </c>
      <c r="U27" s="95">
        <f t="shared" si="9"/>
        <v>0</v>
      </c>
      <c r="V27" s="95">
        <f t="shared" si="9"/>
        <v>0</v>
      </c>
      <c r="W27" s="95">
        <f t="shared" si="9"/>
        <v>0</v>
      </c>
      <c r="X27" s="95">
        <f t="shared" si="9"/>
        <v>0</v>
      </c>
      <c r="Y27" s="95">
        <f t="shared" si="9"/>
        <v>0</v>
      </c>
      <c r="Z27" s="95">
        <f t="shared" si="9"/>
        <v>0</v>
      </c>
      <c r="AA27" s="95">
        <f t="shared" si="9"/>
        <v>0</v>
      </c>
      <c r="AB27" s="95">
        <f t="shared" si="9"/>
        <v>0</v>
      </c>
      <c r="AC27" s="95">
        <f t="shared" si="9"/>
        <v>0</v>
      </c>
      <c r="AD27" s="95">
        <f t="shared" si="9"/>
        <v>0</v>
      </c>
      <c r="AE27" s="95">
        <f t="shared" si="9"/>
        <v>0</v>
      </c>
      <c r="AF27" s="95">
        <f t="shared" si="9"/>
        <v>0</v>
      </c>
      <c r="AG27" s="95">
        <f t="shared" si="9"/>
        <v>0</v>
      </c>
      <c r="AH27" s="95">
        <f t="shared" si="9"/>
        <v>0</v>
      </c>
      <c r="AI27" s="59">
        <f>SUM(E27:AH27)</f>
        <v>0</v>
      </c>
    </row>
    <row r="28" spans="2:35" x14ac:dyDescent="0.25">
      <c r="B28" s="600" t="s">
        <v>446</v>
      </c>
      <c r="C28" s="98" t="str">
        <f>インプット!D18</f>
        <v>円/トン</v>
      </c>
      <c r="D28" s="99"/>
      <c r="E28" s="95">
        <f>インプット!$E$18</f>
        <v>0</v>
      </c>
      <c r="F28" s="95">
        <f>インプット!$E$18</f>
        <v>0</v>
      </c>
      <c r="G28" s="95">
        <f>インプット!$E$18</f>
        <v>0</v>
      </c>
      <c r="H28" s="95">
        <f>インプット!$E$18</f>
        <v>0</v>
      </c>
      <c r="I28" s="95">
        <f>インプット!$E$18</f>
        <v>0</v>
      </c>
      <c r="J28" s="95">
        <f>インプット!$E$18</f>
        <v>0</v>
      </c>
      <c r="K28" s="95">
        <f>インプット!$E$18</f>
        <v>0</v>
      </c>
      <c r="L28" s="95">
        <f>インプット!$E$18</f>
        <v>0</v>
      </c>
      <c r="M28" s="95">
        <f>インプット!$E$18</f>
        <v>0</v>
      </c>
      <c r="N28" s="95">
        <f>インプット!$E$18</f>
        <v>0</v>
      </c>
      <c r="O28" s="95">
        <f>インプット!$E$18</f>
        <v>0</v>
      </c>
      <c r="P28" s="95">
        <f>インプット!$E$18</f>
        <v>0</v>
      </c>
      <c r="Q28" s="95">
        <f>インプット!$E$18</f>
        <v>0</v>
      </c>
      <c r="R28" s="95">
        <f>インプット!$E$18</f>
        <v>0</v>
      </c>
      <c r="S28" s="95">
        <f>インプット!$E$18</f>
        <v>0</v>
      </c>
      <c r="T28" s="95">
        <f>インプット!$E$18</f>
        <v>0</v>
      </c>
      <c r="U28" s="95">
        <f>インプット!$E$18</f>
        <v>0</v>
      </c>
      <c r="V28" s="95">
        <f>インプット!$E$18</f>
        <v>0</v>
      </c>
      <c r="W28" s="95">
        <f>インプット!$E$18</f>
        <v>0</v>
      </c>
      <c r="X28" s="95">
        <f>インプット!$E$18</f>
        <v>0</v>
      </c>
      <c r="Y28" s="95">
        <f>インプット!$E$18</f>
        <v>0</v>
      </c>
      <c r="Z28" s="95">
        <f>インプット!$E$18</f>
        <v>0</v>
      </c>
      <c r="AA28" s="95">
        <f>インプット!$E$18</f>
        <v>0</v>
      </c>
      <c r="AB28" s="95">
        <f>インプット!$E$18</f>
        <v>0</v>
      </c>
      <c r="AC28" s="95">
        <f>インプット!$E$18</f>
        <v>0</v>
      </c>
      <c r="AD28" s="95">
        <f>インプット!$E$18</f>
        <v>0</v>
      </c>
      <c r="AE28" s="95">
        <f>インプット!$E$18</f>
        <v>0</v>
      </c>
      <c r="AF28" s="95">
        <f>インプット!$E$18</f>
        <v>0</v>
      </c>
      <c r="AG28" s="95">
        <f>インプット!$E$18</f>
        <v>0</v>
      </c>
      <c r="AH28" s="95">
        <f>インプット!$E$18</f>
        <v>0</v>
      </c>
      <c r="AI28" s="59"/>
    </row>
    <row r="29" spans="2:35" x14ac:dyDescent="0.25">
      <c r="B29" s="601" t="s">
        <v>447</v>
      </c>
      <c r="C29" s="602" t="s">
        <v>445</v>
      </c>
      <c r="D29" s="603"/>
      <c r="E29" s="604">
        <f>インプット!$E$19*E$5*365</f>
        <v>0</v>
      </c>
      <c r="F29" s="604">
        <f>インプット!$E$19*F$5*365</f>
        <v>0</v>
      </c>
      <c r="G29" s="604">
        <f>インプット!$E$19*G$5*365</f>
        <v>0</v>
      </c>
      <c r="H29" s="604">
        <f>インプット!$E$19*H$5*365</f>
        <v>0</v>
      </c>
      <c r="I29" s="604">
        <f>インプット!$E$19*I$5*365</f>
        <v>0</v>
      </c>
      <c r="J29" s="604">
        <f>インプット!$E$19*J$5*365</f>
        <v>0</v>
      </c>
      <c r="K29" s="604">
        <f>インプット!$E$19*K$5*365</f>
        <v>0</v>
      </c>
      <c r="L29" s="604">
        <f>インプット!$E$19*L$5*365</f>
        <v>0</v>
      </c>
      <c r="M29" s="604">
        <f>インプット!$E$19*M$5*365</f>
        <v>0</v>
      </c>
      <c r="N29" s="604">
        <f>インプット!$E$19*N$5*365</f>
        <v>0</v>
      </c>
      <c r="O29" s="604">
        <f>インプット!$E$19*O$5*365</f>
        <v>0</v>
      </c>
      <c r="P29" s="604">
        <f>インプット!$E$19*P$5*365</f>
        <v>0</v>
      </c>
      <c r="Q29" s="604">
        <f>インプット!$E$19*Q$5*365</f>
        <v>0</v>
      </c>
      <c r="R29" s="604">
        <f>インプット!$E$19*R$5*365</f>
        <v>0</v>
      </c>
      <c r="S29" s="604">
        <f>インプット!$E$19*S$5*365</f>
        <v>0</v>
      </c>
      <c r="T29" s="604">
        <f>インプット!$E$19*T$5*365</f>
        <v>0</v>
      </c>
      <c r="U29" s="604">
        <f>インプット!$E$19*U$5*365</f>
        <v>0</v>
      </c>
      <c r="V29" s="604">
        <f>インプット!$E$19*V$5*365</f>
        <v>0</v>
      </c>
      <c r="W29" s="604">
        <f>インプット!$E$19*W$5*365</f>
        <v>0</v>
      </c>
      <c r="X29" s="604">
        <f>インプット!$E$19*X$5*365</f>
        <v>0</v>
      </c>
      <c r="Y29" s="604">
        <f>インプット!$E$19*Y$5*365</f>
        <v>0</v>
      </c>
      <c r="Z29" s="604">
        <f>インプット!$E$19*Z$5*365</f>
        <v>0</v>
      </c>
      <c r="AA29" s="604">
        <f>インプット!$E$19*AA$5*365</f>
        <v>0</v>
      </c>
      <c r="AB29" s="604">
        <f>インプット!$E$19*AB$5*365</f>
        <v>0</v>
      </c>
      <c r="AC29" s="604">
        <f>インプット!$E$19*AC$5*365</f>
        <v>0</v>
      </c>
      <c r="AD29" s="604">
        <f>インプット!$E$19*AD$5*365</f>
        <v>0</v>
      </c>
      <c r="AE29" s="604">
        <f>インプット!$E$19*AE$5*365</f>
        <v>0</v>
      </c>
      <c r="AF29" s="604">
        <f>インプット!$E$19*AF$5*365</f>
        <v>0</v>
      </c>
      <c r="AG29" s="604">
        <f>インプット!$E$19*AG$5*365</f>
        <v>0</v>
      </c>
      <c r="AH29" s="604">
        <f>インプット!$E$19*AH$5*365</f>
        <v>0</v>
      </c>
      <c r="AI29" s="627"/>
    </row>
    <row r="30" spans="2:35" x14ac:dyDescent="0.25">
      <c r="B30" s="97" t="str">
        <f>インプット!A20&amp;" "&amp;インプット!B20&amp;"販売収入"</f>
        <v>その他収益② 販売収入</v>
      </c>
      <c r="C30" s="98" t="s">
        <v>37</v>
      </c>
      <c r="D30" s="99"/>
      <c r="E30" s="95">
        <f>E31*E32</f>
        <v>0</v>
      </c>
      <c r="F30" s="95">
        <f t="shared" ref="F30:AH30" si="10">F31*F32</f>
        <v>0</v>
      </c>
      <c r="G30" s="95">
        <f t="shared" si="10"/>
        <v>0</v>
      </c>
      <c r="H30" s="95">
        <f t="shared" si="10"/>
        <v>0</v>
      </c>
      <c r="I30" s="95">
        <f t="shared" si="10"/>
        <v>0</v>
      </c>
      <c r="J30" s="95">
        <f t="shared" si="10"/>
        <v>0</v>
      </c>
      <c r="K30" s="95">
        <f t="shared" si="10"/>
        <v>0</v>
      </c>
      <c r="L30" s="95">
        <f t="shared" si="10"/>
        <v>0</v>
      </c>
      <c r="M30" s="95">
        <f t="shared" si="10"/>
        <v>0</v>
      </c>
      <c r="N30" s="95">
        <f t="shared" si="10"/>
        <v>0</v>
      </c>
      <c r="O30" s="95">
        <f t="shared" si="10"/>
        <v>0</v>
      </c>
      <c r="P30" s="95">
        <f t="shared" si="10"/>
        <v>0</v>
      </c>
      <c r="Q30" s="95">
        <f t="shared" si="10"/>
        <v>0</v>
      </c>
      <c r="R30" s="95">
        <f t="shared" si="10"/>
        <v>0</v>
      </c>
      <c r="S30" s="95">
        <f t="shared" si="10"/>
        <v>0</v>
      </c>
      <c r="T30" s="95">
        <f t="shared" si="10"/>
        <v>0</v>
      </c>
      <c r="U30" s="95">
        <f t="shared" si="10"/>
        <v>0</v>
      </c>
      <c r="V30" s="95">
        <f t="shared" si="10"/>
        <v>0</v>
      </c>
      <c r="W30" s="95">
        <f t="shared" si="10"/>
        <v>0</v>
      </c>
      <c r="X30" s="95">
        <f t="shared" si="10"/>
        <v>0</v>
      </c>
      <c r="Y30" s="95">
        <f t="shared" si="10"/>
        <v>0</v>
      </c>
      <c r="Z30" s="95">
        <f t="shared" si="10"/>
        <v>0</v>
      </c>
      <c r="AA30" s="95">
        <f t="shared" si="10"/>
        <v>0</v>
      </c>
      <c r="AB30" s="95">
        <f t="shared" si="10"/>
        <v>0</v>
      </c>
      <c r="AC30" s="95">
        <f t="shared" si="10"/>
        <v>0</v>
      </c>
      <c r="AD30" s="95">
        <f t="shared" si="10"/>
        <v>0</v>
      </c>
      <c r="AE30" s="95">
        <f t="shared" si="10"/>
        <v>0</v>
      </c>
      <c r="AF30" s="95">
        <f t="shared" si="10"/>
        <v>0</v>
      </c>
      <c r="AG30" s="95">
        <f t="shared" si="10"/>
        <v>0</v>
      </c>
      <c r="AH30" s="95">
        <f t="shared" si="10"/>
        <v>0</v>
      </c>
      <c r="AI30" s="59">
        <f>SUM(E30:AH30)</f>
        <v>0</v>
      </c>
    </row>
    <row r="31" spans="2:35" x14ac:dyDescent="0.25">
      <c r="B31" s="600" t="s">
        <v>446</v>
      </c>
      <c r="C31" s="98" t="str">
        <f>インプット!D20</f>
        <v>円/（単位を入力）</v>
      </c>
      <c r="D31" s="99"/>
      <c r="E31" s="95">
        <f>インプット!$E$20</f>
        <v>0</v>
      </c>
      <c r="F31" s="95">
        <f>インプット!$E$20</f>
        <v>0</v>
      </c>
      <c r="G31" s="95">
        <f>インプット!$E$20</f>
        <v>0</v>
      </c>
      <c r="H31" s="95">
        <f>インプット!$E$20</f>
        <v>0</v>
      </c>
      <c r="I31" s="95">
        <f>インプット!$E$20</f>
        <v>0</v>
      </c>
      <c r="J31" s="95">
        <f>インプット!$E$20</f>
        <v>0</v>
      </c>
      <c r="K31" s="95">
        <f>インプット!$E$20</f>
        <v>0</v>
      </c>
      <c r="L31" s="95">
        <f>インプット!$E$20</f>
        <v>0</v>
      </c>
      <c r="M31" s="95">
        <f>インプット!$E$20</f>
        <v>0</v>
      </c>
      <c r="N31" s="95">
        <f>インプット!$E$20</f>
        <v>0</v>
      </c>
      <c r="O31" s="95">
        <f>インプット!$E$20</f>
        <v>0</v>
      </c>
      <c r="P31" s="95">
        <f>インプット!$E$20</f>
        <v>0</v>
      </c>
      <c r="Q31" s="95">
        <f>インプット!$E$20</f>
        <v>0</v>
      </c>
      <c r="R31" s="95">
        <f>インプット!$E$20</f>
        <v>0</v>
      </c>
      <c r="S31" s="95">
        <f>インプット!$E$20</f>
        <v>0</v>
      </c>
      <c r="T31" s="95">
        <f>インプット!$E$20</f>
        <v>0</v>
      </c>
      <c r="U31" s="95">
        <f>インプット!$E$20</f>
        <v>0</v>
      </c>
      <c r="V31" s="95">
        <f>インプット!$E$20</f>
        <v>0</v>
      </c>
      <c r="W31" s="95">
        <f>インプット!$E$20</f>
        <v>0</v>
      </c>
      <c r="X31" s="95">
        <f>インプット!$E$20</f>
        <v>0</v>
      </c>
      <c r="Y31" s="95">
        <f>インプット!$E$20</f>
        <v>0</v>
      </c>
      <c r="Z31" s="95">
        <f>インプット!$E$20</f>
        <v>0</v>
      </c>
      <c r="AA31" s="95">
        <f>インプット!$E$20</f>
        <v>0</v>
      </c>
      <c r="AB31" s="95">
        <f>インプット!$E$20</f>
        <v>0</v>
      </c>
      <c r="AC31" s="95">
        <f>インプット!$E$20</f>
        <v>0</v>
      </c>
      <c r="AD31" s="95">
        <f>インプット!$E$20</f>
        <v>0</v>
      </c>
      <c r="AE31" s="95">
        <f>インプット!$E$20</f>
        <v>0</v>
      </c>
      <c r="AF31" s="95">
        <f>インプット!$E$20</f>
        <v>0</v>
      </c>
      <c r="AG31" s="95">
        <f>インプット!$E$20</f>
        <v>0</v>
      </c>
      <c r="AH31" s="95">
        <f>インプット!$E$20</f>
        <v>0</v>
      </c>
      <c r="AI31" s="59"/>
    </row>
    <row r="32" spans="2:35" x14ac:dyDescent="0.25">
      <c r="B32" s="601" t="s">
        <v>447</v>
      </c>
      <c r="C32" s="602" t="s">
        <v>445</v>
      </c>
      <c r="D32" s="603"/>
      <c r="E32" s="604">
        <f>インプット!$E$19*E$5*365</f>
        <v>0</v>
      </c>
      <c r="F32" s="604">
        <f>インプット!$E$19*F$5*365</f>
        <v>0</v>
      </c>
      <c r="G32" s="604">
        <f>インプット!$E$19*G$5*365</f>
        <v>0</v>
      </c>
      <c r="H32" s="604">
        <f>インプット!$E$19*H$5*365</f>
        <v>0</v>
      </c>
      <c r="I32" s="604">
        <f>インプット!$E$19*I$5*365</f>
        <v>0</v>
      </c>
      <c r="J32" s="604">
        <f>インプット!$E$19*J$5*365</f>
        <v>0</v>
      </c>
      <c r="K32" s="604">
        <f>インプット!$E$19*K$5*365</f>
        <v>0</v>
      </c>
      <c r="L32" s="604">
        <f>インプット!$E$19*L$5*365</f>
        <v>0</v>
      </c>
      <c r="M32" s="604">
        <f>インプット!$E$19*M$5*365</f>
        <v>0</v>
      </c>
      <c r="N32" s="604">
        <f>インプット!$E$19*N$5*365</f>
        <v>0</v>
      </c>
      <c r="O32" s="604">
        <f>インプット!$E$19*O$5*365</f>
        <v>0</v>
      </c>
      <c r="P32" s="604">
        <f>インプット!$E$19*P$5*365</f>
        <v>0</v>
      </c>
      <c r="Q32" s="604">
        <f>インプット!$E$19*Q$5*365</f>
        <v>0</v>
      </c>
      <c r="R32" s="604">
        <f>インプット!$E$19*R$5*365</f>
        <v>0</v>
      </c>
      <c r="S32" s="604">
        <f>インプット!$E$19*S$5*365</f>
        <v>0</v>
      </c>
      <c r="T32" s="604">
        <f>インプット!$E$19*T$5*365</f>
        <v>0</v>
      </c>
      <c r="U32" s="604">
        <f>インプット!$E$19*U$5*365</f>
        <v>0</v>
      </c>
      <c r="V32" s="604">
        <f>インプット!$E$19*V$5*365</f>
        <v>0</v>
      </c>
      <c r="W32" s="604">
        <f>インプット!$E$19*W$5*365</f>
        <v>0</v>
      </c>
      <c r="X32" s="604">
        <f>インプット!$E$19*X$5*365</f>
        <v>0</v>
      </c>
      <c r="Y32" s="604">
        <f>インプット!$E$19*Y$5*365</f>
        <v>0</v>
      </c>
      <c r="Z32" s="604">
        <f>インプット!$E$19*Z$5*365</f>
        <v>0</v>
      </c>
      <c r="AA32" s="604">
        <f>インプット!$E$19*AA$5*365</f>
        <v>0</v>
      </c>
      <c r="AB32" s="604">
        <f>インプット!$E$19*AB$5*365</f>
        <v>0</v>
      </c>
      <c r="AC32" s="604">
        <f>インプット!$E$19*AC$5*365</f>
        <v>0</v>
      </c>
      <c r="AD32" s="604">
        <f>インプット!$E$19*AD$5*365</f>
        <v>0</v>
      </c>
      <c r="AE32" s="604">
        <f>インプット!$E$19*AE$5*365</f>
        <v>0</v>
      </c>
      <c r="AF32" s="604">
        <f>インプット!$E$19*AF$5*365</f>
        <v>0</v>
      </c>
      <c r="AG32" s="604">
        <f>インプット!$E$19*AG$5*365</f>
        <v>0</v>
      </c>
      <c r="AH32" s="604">
        <f>インプット!$E$19*AH$5*365</f>
        <v>0</v>
      </c>
      <c r="AI32" s="627"/>
    </row>
    <row r="33" spans="2:35" x14ac:dyDescent="0.25">
      <c r="B33" s="97" t="str">
        <f>インプット!A22&amp;" "&amp;インプット!B22&amp;"販売収入"</f>
        <v>その他収益③ 販売収入</v>
      </c>
      <c r="C33" s="98" t="s">
        <v>37</v>
      </c>
      <c r="D33" s="99"/>
      <c r="E33" s="95">
        <f>E34*E35</f>
        <v>0</v>
      </c>
      <c r="F33" s="95">
        <f t="shared" ref="F33:AH33" si="11">F34*F35</f>
        <v>0</v>
      </c>
      <c r="G33" s="95">
        <f t="shared" si="11"/>
        <v>0</v>
      </c>
      <c r="H33" s="95">
        <f t="shared" si="11"/>
        <v>0</v>
      </c>
      <c r="I33" s="95">
        <f t="shared" si="11"/>
        <v>0</v>
      </c>
      <c r="J33" s="95">
        <f t="shared" si="11"/>
        <v>0</v>
      </c>
      <c r="K33" s="95">
        <f t="shared" si="11"/>
        <v>0</v>
      </c>
      <c r="L33" s="95">
        <f t="shared" si="11"/>
        <v>0</v>
      </c>
      <c r="M33" s="95">
        <f t="shared" si="11"/>
        <v>0</v>
      </c>
      <c r="N33" s="95">
        <f t="shared" si="11"/>
        <v>0</v>
      </c>
      <c r="O33" s="95">
        <f t="shared" si="11"/>
        <v>0</v>
      </c>
      <c r="P33" s="95">
        <f t="shared" si="11"/>
        <v>0</v>
      </c>
      <c r="Q33" s="95">
        <f t="shared" si="11"/>
        <v>0</v>
      </c>
      <c r="R33" s="95">
        <f t="shared" si="11"/>
        <v>0</v>
      </c>
      <c r="S33" s="95">
        <f t="shared" si="11"/>
        <v>0</v>
      </c>
      <c r="T33" s="95">
        <f t="shared" si="11"/>
        <v>0</v>
      </c>
      <c r="U33" s="95">
        <f t="shared" si="11"/>
        <v>0</v>
      </c>
      <c r="V33" s="95">
        <f t="shared" si="11"/>
        <v>0</v>
      </c>
      <c r="W33" s="95">
        <f t="shared" si="11"/>
        <v>0</v>
      </c>
      <c r="X33" s="95">
        <f t="shared" si="11"/>
        <v>0</v>
      </c>
      <c r="Y33" s="95">
        <f t="shared" si="11"/>
        <v>0</v>
      </c>
      <c r="Z33" s="95">
        <f t="shared" si="11"/>
        <v>0</v>
      </c>
      <c r="AA33" s="95">
        <f t="shared" si="11"/>
        <v>0</v>
      </c>
      <c r="AB33" s="95">
        <f t="shared" si="11"/>
        <v>0</v>
      </c>
      <c r="AC33" s="95">
        <f t="shared" si="11"/>
        <v>0</v>
      </c>
      <c r="AD33" s="95">
        <f t="shared" si="11"/>
        <v>0</v>
      </c>
      <c r="AE33" s="95">
        <f t="shared" si="11"/>
        <v>0</v>
      </c>
      <c r="AF33" s="95">
        <f t="shared" si="11"/>
        <v>0</v>
      </c>
      <c r="AG33" s="95">
        <f t="shared" si="11"/>
        <v>0</v>
      </c>
      <c r="AH33" s="95">
        <f t="shared" si="11"/>
        <v>0</v>
      </c>
      <c r="AI33" s="59">
        <f>SUM(E33:AH33)</f>
        <v>0</v>
      </c>
    </row>
    <row r="34" spans="2:35" x14ac:dyDescent="0.25">
      <c r="B34" s="600" t="s">
        <v>446</v>
      </c>
      <c r="C34" s="98" t="str">
        <f>インプット!D22</f>
        <v>円/（単位を入力）</v>
      </c>
      <c r="D34" s="99"/>
      <c r="E34" s="95">
        <f>インプット!$E$22</f>
        <v>0</v>
      </c>
      <c r="F34" s="95">
        <f>インプット!$E$22</f>
        <v>0</v>
      </c>
      <c r="G34" s="95">
        <f>インプット!$E$22</f>
        <v>0</v>
      </c>
      <c r="H34" s="95">
        <f>インプット!$E$22</f>
        <v>0</v>
      </c>
      <c r="I34" s="95">
        <f>インプット!$E$22</f>
        <v>0</v>
      </c>
      <c r="J34" s="95">
        <f>インプット!$E$22</f>
        <v>0</v>
      </c>
      <c r="K34" s="95">
        <f>インプット!$E$22</f>
        <v>0</v>
      </c>
      <c r="L34" s="95">
        <f>インプット!$E$22</f>
        <v>0</v>
      </c>
      <c r="M34" s="95">
        <f>インプット!$E$22</f>
        <v>0</v>
      </c>
      <c r="N34" s="95">
        <f>インプット!$E$22</f>
        <v>0</v>
      </c>
      <c r="O34" s="95">
        <f>インプット!$E$22</f>
        <v>0</v>
      </c>
      <c r="P34" s="95">
        <f>インプット!$E$22</f>
        <v>0</v>
      </c>
      <c r="Q34" s="95">
        <f>インプット!$E$22</f>
        <v>0</v>
      </c>
      <c r="R34" s="95">
        <f>インプット!$E$22</f>
        <v>0</v>
      </c>
      <c r="S34" s="95">
        <f>インプット!$E$22</f>
        <v>0</v>
      </c>
      <c r="T34" s="95">
        <f>インプット!$E$22</f>
        <v>0</v>
      </c>
      <c r="U34" s="95">
        <f>インプット!$E$22</f>
        <v>0</v>
      </c>
      <c r="V34" s="95">
        <f>インプット!$E$22</f>
        <v>0</v>
      </c>
      <c r="W34" s="95">
        <f>インプット!$E$22</f>
        <v>0</v>
      </c>
      <c r="X34" s="95">
        <f>インプット!$E$22</f>
        <v>0</v>
      </c>
      <c r="Y34" s="95">
        <f>インプット!$E$22</f>
        <v>0</v>
      </c>
      <c r="Z34" s="95">
        <f>インプット!$E$22</f>
        <v>0</v>
      </c>
      <c r="AA34" s="95">
        <f>インプット!$E$22</f>
        <v>0</v>
      </c>
      <c r="AB34" s="95">
        <f>インプット!$E$22</f>
        <v>0</v>
      </c>
      <c r="AC34" s="95">
        <f>インプット!$E$22</f>
        <v>0</v>
      </c>
      <c r="AD34" s="95">
        <f>インプット!$E$22</f>
        <v>0</v>
      </c>
      <c r="AE34" s="95">
        <f>インプット!$E$22</f>
        <v>0</v>
      </c>
      <c r="AF34" s="95">
        <f>インプット!$E$22</f>
        <v>0</v>
      </c>
      <c r="AG34" s="95">
        <f>インプット!$E$22</f>
        <v>0</v>
      </c>
      <c r="AH34" s="95">
        <f>インプット!$E$22</f>
        <v>0</v>
      </c>
      <c r="AI34" s="59"/>
    </row>
    <row r="35" spans="2:35" s="17" customFormat="1" x14ac:dyDescent="0.25">
      <c r="B35" s="601" t="s">
        <v>447</v>
      </c>
      <c r="C35" s="602" t="s">
        <v>445</v>
      </c>
      <c r="D35" s="603"/>
      <c r="E35" s="604">
        <f>インプット!$E$19*E$5*365</f>
        <v>0</v>
      </c>
      <c r="F35" s="604">
        <f>インプット!$E$19*F$5*365</f>
        <v>0</v>
      </c>
      <c r="G35" s="604">
        <f>インプット!$E$19*G$5*365</f>
        <v>0</v>
      </c>
      <c r="H35" s="604">
        <f>インプット!$E$19*H$5*365</f>
        <v>0</v>
      </c>
      <c r="I35" s="604">
        <f>インプット!$E$19*I$5*365</f>
        <v>0</v>
      </c>
      <c r="J35" s="604">
        <f>インプット!$E$19*J$5*365</f>
        <v>0</v>
      </c>
      <c r="K35" s="604">
        <f>インプット!$E$19*K$5*365</f>
        <v>0</v>
      </c>
      <c r="L35" s="604">
        <f>インプット!$E$19*L$5*365</f>
        <v>0</v>
      </c>
      <c r="M35" s="604">
        <f>インプット!$E$19*M$5*365</f>
        <v>0</v>
      </c>
      <c r="N35" s="604">
        <f>インプット!$E$19*N$5*365</f>
        <v>0</v>
      </c>
      <c r="O35" s="604">
        <f>インプット!$E$19*O$5*365</f>
        <v>0</v>
      </c>
      <c r="P35" s="604">
        <f>インプット!$E$19*P$5*365</f>
        <v>0</v>
      </c>
      <c r="Q35" s="604">
        <f>インプット!$E$19*Q$5*365</f>
        <v>0</v>
      </c>
      <c r="R35" s="604">
        <f>インプット!$E$19*R$5*365</f>
        <v>0</v>
      </c>
      <c r="S35" s="604">
        <f>インプット!$E$19*S$5*365</f>
        <v>0</v>
      </c>
      <c r="T35" s="604">
        <f>インプット!$E$19*T$5*365</f>
        <v>0</v>
      </c>
      <c r="U35" s="604">
        <f>インプット!$E$19*U$5*365</f>
        <v>0</v>
      </c>
      <c r="V35" s="604">
        <f>インプット!$E$19*V$5*365</f>
        <v>0</v>
      </c>
      <c r="W35" s="604">
        <f>インプット!$E$19*W$5*365</f>
        <v>0</v>
      </c>
      <c r="X35" s="604">
        <f>インプット!$E$19*X$5*365</f>
        <v>0</v>
      </c>
      <c r="Y35" s="604">
        <f>インプット!$E$19*Y$5*365</f>
        <v>0</v>
      </c>
      <c r="Z35" s="604">
        <f>インプット!$E$19*Z$5*365</f>
        <v>0</v>
      </c>
      <c r="AA35" s="604">
        <f>インプット!$E$19*AA$5*365</f>
        <v>0</v>
      </c>
      <c r="AB35" s="604">
        <f>インプット!$E$19*AB$5*365</f>
        <v>0</v>
      </c>
      <c r="AC35" s="604">
        <f>インプット!$E$19*AC$5*365</f>
        <v>0</v>
      </c>
      <c r="AD35" s="604">
        <f>インプット!$E$19*AD$5*365</f>
        <v>0</v>
      </c>
      <c r="AE35" s="604">
        <f>インプット!$E$19*AE$5*365</f>
        <v>0</v>
      </c>
      <c r="AF35" s="604">
        <f>インプット!$E$19*AF$5*365</f>
        <v>0</v>
      </c>
      <c r="AG35" s="604">
        <f>インプット!$E$19*AG$5*365</f>
        <v>0</v>
      </c>
      <c r="AH35" s="604">
        <f>インプット!$E$19*AH$5*365</f>
        <v>0</v>
      </c>
      <c r="AI35" s="627"/>
    </row>
    <row r="36" spans="2:35" x14ac:dyDescent="0.25">
      <c r="B36" s="97" t="str">
        <f>インプット!A24&amp;" "&amp;インプット!B24&amp;"販売収入"</f>
        <v>その他収益④ 販売収入</v>
      </c>
      <c r="C36" s="98" t="s">
        <v>37</v>
      </c>
      <c r="D36" s="99"/>
      <c r="E36" s="95">
        <f>E37*E38</f>
        <v>0</v>
      </c>
      <c r="F36" s="95">
        <f t="shared" ref="F36:AH36" si="12">F37*F38</f>
        <v>0</v>
      </c>
      <c r="G36" s="95">
        <f t="shared" si="12"/>
        <v>0</v>
      </c>
      <c r="H36" s="95">
        <f t="shared" si="12"/>
        <v>0</v>
      </c>
      <c r="I36" s="95">
        <f t="shared" si="12"/>
        <v>0</v>
      </c>
      <c r="J36" s="95">
        <f t="shared" si="12"/>
        <v>0</v>
      </c>
      <c r="K36" s="95">
        <f t="shared" si="12"/>
        <v>0</v>
      </c>
      <c r="L36" s="95">
        <f t="shared" si="12"/>
        <v>0</v>
      </c>
      <c r="M36" s="95">
        <f t="shared" si="12"/>
        <v>0</v>
      </c>
      <c r="N36" s="95">
        <f t="shared" si="12"/>
        <v>0</v>
      </c>
      <c r="O36" s="95">
        <f t="shared" si="12"/>
        <v>0</v>
      </c>
      <c r="P36" s="95">
        <f t="shared" si="12"/>
        <v>0</v>
      </c>
      <c r="Q36" s="95">
        <f t="shared" si="12"/>
        <v>0</v>
      </c>
      <c r="R36" s="95">
        <f t="shared" si="12"/>
        <v>0</v>
      </c>
      <c r="S36" s="95">
        <f t="shared" si="12"/>
        <v>0</v>
      </c>
      <c r="T36" s="95">
        <f t="shared" si="12"/>
        <v>0</v>
      </c>
      <c r="U36" s="95">
        <f t="shared" si="12"/>
        <v>0</v>
      </c>
      <c r="V36" s="95">
        <f t="shared" si="12"/>
        <v>0</v>
      </c>
      <c r="W36" s="95">
        <f t="shared" si="12"/>
        <v>0</v>
      </c>
      <c r="X36" s="95">
        <f t="shared" si="12"/>
        <v>0</v>
      </c>
      <c r="Y36" s="95">
        <f t="shared" si="12"/>
        <v>0</v>
      </c>
      <c r="Z36" s="95">
        <f t="shared" si="12"/>
        <v>0</v>
      </c>
      <c r="AA36" s="95">
        <f t="shared" si="12"/>
        <v>0</v>
      </c>
      <c r="AB36" s="95">
        <f t="shared" si="12"/>
        <v>0</v>
      </c>
      <c r="AC36" s="95">
        <f t="shared" si="12"/>
        <v>0</v>
      </c>
      <c r="AD36" s="95">
        <f t="shared" si="12"/>
        <v>0</v>
      </c>
      <c r="AE36" s="95">
        <f t="shared" si="12"/>
        <v>0</v>
      </c>
      <c r="AF36" s="95">
        <f t="shared" si="12"/>
        <v>0</v>
      </c>
      <c r="AG36" s="95">
        <f t="shared" si="12"/>
        <v>0</v>
      </c>
      <c r="AH36" s="95">
        <f t="shared" si="12"/>
        <v>0</v>
      </c>
      <c r="AI36" s="59">
        <f>SUM(E36:AH36)</f>
        <v>0</v>
      </c>
    </row>
    <row r="37" spans="2:35" x14ac:dyDescent="0.25">
      <c r="B37" s="600" t="s">
        <v>446</v>
      </c>
      <c r="C37" s="98" t="str">
        <f>インプット!D24</f>
        <v>円/（単位を入力）</v>
      </c>
      <c r="D37" s="99"/>
      <c r="E37" s="95">
        <f>インプット!$E$24</f>
        <v>0</v>
      </c>
      <c r="F37" s="95">
        <f>インプット!$E$24</f>
        <v>0</v>
      </c>
      <c r="G37" s="95">
        <f>インプット!$E$24</f>
        <v>0</v>
      </c>
      <c r="H37" s="95">
        <f>インプット!$E$24</f>
        <v>0</v>
      </c>
      <c r="I37" s="95">
        <f>インプット!$E$24</f>
        <v>0</v>
      </c>
      <c r="J37" s="95">
        <f>インプット!$E$24</f>
        <v>0</v>
      </c>
      <c r="K37" s="95">
        <f>インプット!$E$24</f>
        <v>0</v>
      </c>
      <c r="L37" s="95">
        <f>インプット!$E$24</f>
        <v>0</v>
      </c>
      <c r="M37" s="95">
        <f>インプット!$E$24</f>
        <v>0</v>
      </c>
      <c r="N37" s="95">
        <f>インプット!$E$24</f>
        <v>0</v>
      </c>
      <c r="O37" s="95">
        <f>インプット!$E$24</f>
        <v>0</v>
      </c>
      <c r="P37" s="95">
        <f>インプット!$E$24</f>
        <v>0</v>
      </c>
      <c r="Q37" s="95">
        <f>インプット!$E$24</f>
        <v>0</v>
      </c>
      <c r="R37" s="95">
        <f>インプット!$E$24</f>
        <v>0</v>
      </c>
      <c r="S37" s="95">
        <f>インプット!$E$24</f>
        <v>0</v>
      </c>
      <c r="T37" s="95">
        <f>インプット!$E$24</f>
        <v>0</v>
      </c>
      <c r="U37" s="95">
        <f>インプット!$E$24</f>
        <v>0</v>
      </c>
      <c r="V37" s="95">
        <f>インプット!$E$24</f>
        <v>0</v>
      </c>
      <c r="W37" s="95">
        <f>インプット!$E$24</f>
        <v>0</v>
      </c>
      <c r="X37" s="95">
        <f>インプット!$E$24</f>
        <v>0</v>
      </c>
      <c r="Y37" s="95">
        <f>インプット!$E$24</f>
        <v>0</v>
      </c>
      <c r="Z37" s="95">
        <f>インプット!$E$24</f>
        <v>0</v>
      </c>
      <c r="AA37" s="95">
        <f>インプット!$E$24</f>
        <v>0</v>
      </c>
      <c r="AB37" s="95">
        <f>インプット!$E$24</f>
        <v>0</v>
      </c>
      <c r="AC37" s="95">
        <f>インプット!$E$24</f>
        <v>0</v>
      </c>
      <c r="AD37" s="95">
        <f>インプット!$E$24</f>
        <v>0</v>
      </c>
      <c r="AE37" s="95">
        <f>インプット!$E$24</f>
        <v>0</v>
      </c>
      <c r="AF37" s="95">
        <f>インプット!$E$24</f>
        <v>0</v>
      </c>
      <c r="AG37" s="95">
        <f>インプット!$E$24</f>
        <v>0</v>
      </c>
      <c r="AH37" s="95">
        <f>インプット!$E$24</f>
        <v>0</v>
      </c>
      <c r="AI37" s="59"/>
    </row>
    <row r="38" spans="2:35" s="17" customFormat="1" x14ac:dyDescent="0.25">
      <c r="B38" s="601" t="s">
        <v>447</v>
      </c>
      <c r="C38" s="602" t="s">
        <v>445</v>
      </c>
      <c r="D38" s="603"/>
      <c r="E38" s="604">
        <f>インプット!$E$19*E$5*365</f>
        <v>0</v>
      </c>
      <c r="F38" s="604">
        <f>インプット!$E$19*F$5*365</f>
        <v>0</v>
      </c>
      <c r="G38" s="604">
        <f>インプット!$E$19*G$5*365</f>
        <v>0</v>
      </c>
      <c r="H38" s="604">
        <f>インプット!$E$19*H$5*365</f>
        <v>0</v>
      </c>
      <c r="I38" s="604">
        <f>インプット!$E$19*I$5*365</f>
        <v>0</v>
      </c>
      <c r="J38" s="604">
        <f>インプット!$E$19*J$5*365</f>
        <v>0</v>
      </c>
      <c r="K38" s="604">
        <f>インプット!$E$19*K$5*365</f>
        <v>0</v>
      </c>
      <c r="L38" s="604">
        <f>インプット!$E$19*L$5*365</f>
        <v>0</v>
      </c>
      <c r="M38" s="604">
        <f>インプット!$E$19*M$5*365</f>
        <v>0</v>
      </c>
      <c r="N38" s="604">
        <f>インプット!$E$19*N$5*365</f>
        <v>0</v>
      </c>
      <c r="O38" s="604">
        <f>インプット!$E$19*O$5*365</f>
        <v>0</v>
      </c>
      <c r="P38" s="604">
        <f>インプット!$E$19*P$5*365</f>
        <v>0</v>
      </c>
      <c r="Q38" s="604">
        <f>インプット!$E$19*Q$5*365</f>
        <v>0</v>
      </c>
      <c r="R38" s="604">
        <f>インプット!$E$19*R$5*365</f>
        <v>0</v>
      </c>
      <c r="S38" s="604">
        <f>インプット!$E$19*S$5*365</f>
        <v>0</v>
      </c>
      <c r="T38" s="604">
        <f>インプット!$E$19*T$5*365</f>
        <v>0</v>
      </c>
      <c r="U38" s="604">
        <f>インプット!$E$19*U$5*365</f>
        <v>0</v>
      </c>
      <c r="V38" s="604">
        <f>インプット!$E$19*V$5*365</f>
        <v>0</v>
      </c>
      <c r="W38" s="604">
        <f>インプット!$E$19*W$5*365</f>
        <v>0</v>
      </c>
      <c r="X38" s="604">
        <f>インプット!$E$19*X$5*365</f>
        <v>0</v>
      </c>
      <c r="Y38" s="604">
        <f>インプット!$E$19*Y$5*365</f>
        <v>0</v>
      </c>
      <c r="Z38" s="604">
        <f>インプット!$E$19*Z$5*365</f>
        <v>0</v>
      </c>
      <c r="AA38" s="604">
        <f>インプット!$E$19*AA$5*365</f>
        <v>0</v>
      </c>
      <c r="AB38" s="604">
        <f>インプット!$E$19*AB$5*365</f>
        <v>0</v>
      </c>
      <c r="AC38" s="604">
        <f>インプット!$E$19*AC$5*365</f>
        <v>0</v>
      </c>
      <c r="AD38" s="604">
        <f>インプット!$E$19*AD$5*365</f>
        <v>0</v>
      </c>
      <c r="AE38" s="604">
        <f>インプット!$E$19*AE$5*365</f>
        <v>0</v>
      </c>
      <c r="AF38" s="604">
        <f>インプット!$E$19*AF$5*365</f>
        <v>0</v>
      </c>
      <c r="AG38" s="604">
        <f>インプット!$E$19*AG$5*365</f>
        <v>0</v>
      </c>
      <c r="AH38" s="604">
        <f>インプット!$E$19*AH$5*365</f>
        <v>0</v>
      </c>
      <c r="AI38" s="627"/>
    </row>
    <row r="39" spans="2:35" x14ac:dyDescent="0.25">
      <c r="B39" s="97" t="str">
        <f>インプット!A26&amp;" "&amp;インプット!B26&amp;"販売収入"</f>
        <v>その他収益⑤ 販売収入</v>
      </c>
      <c r="C39" s="98" t="s">
        <v>37</v>
      </c>
      <c r="D39" s="99"/>
      <c r="E39" s="95">
        <f>E40*E41</f>
        <v>0</v>
      </c>
      <c r="F39" s="95">
        <f t="shared" ref="F39:AH39" si="13">F40*F41</f>
        <v>0</v>
      </c>
      <c r="G39" s="95">
        <f t="shared" si="13"/>
        <v>0</v>
      </c>
      <c r="H39" s="95">
        <f t="shared" si="13"/>
        <v>0</v>
      </c>
      <c r="I39" s="95">
        <f t="shared" si="13"/>
        <v>0</v>
      </c>
      <c r="J39" s="95">
        <f t="shared" si="13"/>
        <v>0</v>
      </c>
      <c r="K39" s="95">
        <f t="shared" si="13"/>
        <v>0</v>
      </c>
      <c r="L39" s="95">
        <f t="shared" si="13"/>
        <v>0</v>
      </c>
      <c r="M39" s="95">
        <f t="shared" si="13"/>
        <v>0</v>
      </c>
      <c r="N39" s="95">
        <f t="shared" si="13"/>
        <v>0</v>
      </c>
      <c r="O39" s="95">
        <f t="shared" si="13"/>
        <v>0</v>
      </c>
      <c r="P39" s="95">
        <f t="shared" si="13"/>
        <v>0</v>
      </c>
      <c r="Q39" s="95">
        <f t="shared" si="13"/>
        <v>0</v>
      </c>
      <c r="R39" s="95">
        <f t="shared" si="13"/>
        <v>0</v>
      </c>
      <c r="S39" s="95">
        <f t="shared" si="13"/>
        <v>0</v>
      </c>
      <c r="T39" s="95">
        <f t="shared" si="13"/>
        <v>0</v>
      </c>
      <c r="U39" s="95">
        <f t="shared" si="13"/>
        <v>0</v>
      </c>
      <c r="V39" s="95">
        <f t="shared" si="13"/>
        <v>0</v>
      </c>
      <c r="W39" s="95">
        <f t="shared" si="13"/>
        <v>0</v>
      </c>
      <c r="X39" s="95">
        <f t="shared" si="13"/>
        <v>0</v>
      </c>
      <c r="Y39" s="95">
        <f t="shared" si="13"/>
        <v>0</v>
      </c>
      <c r="Z39" s="95">
        <f t="shared" si="13"/>
        <v>0</v>
      </c>
      <c r="AA39" s="95">
        <f t="shared" si="13"/>
        <v>0</v>
      </c>
      <c r="AB39" s="95">
        <f t="shared" si="13"/>
        <v>0</v>
      </c>
      <c r="AC39" s="95">
        <f t="shared" si="13"/>
        <v>0</v>
      </c>
      <c r="AD39" s="95">
        <f t="shared" si="13"/>
        <v>0</v>
      </c>
      <c r="AE39" s="95">
        <f t="shared" si="13"/>
        <v>0</v>
      </c>
      <c r="AF39" s="95">
        <f t="shared" si="13"/>
        <v>0</v>
      </c>
      <c r="AG39" s="95">
        <f t="shared" si="13"/>
        <v>0</v>
      </c>
      <c r="AH39" s="95">
        <f t="shared" si="13"/>
        <v>0</v>
      </c>
      <c r="AI39" s="59">
        <f>SUM(E39:AH39)</f>
        <v>0</v>
      </c>
    </row>
    <row r="40" spans="2:35" x14ac:dyDescent="0.25">
      <c r="B40" s="600" t="s">
        <v>446</v>
      </c>
      <c r="C40" s="98" t="str">
        <f>インプット!D26</f>
        <v>円/（単位を入力）</v>
      </c>
      <c r="D40" s="99"/>
      <c r="E40" s="95">
        <f>インプット!$E$26</f>
        <v>0</v>
      </c>
      <c r="F40" s="95">
        <f>インプット!$E$26</f>
        <v>0</v>
      </c>
      <c r="G40" s="95">
        <f>インプット!$E$26</f>
        <v>0</v>
      </c>
      <c r="H40" s="95">
        <f>インプット!$E$26</f>
        <v>0</v>
      </c>
      <c r="I40" s="95">
        <f>インプット!$E$26</f>
        <v>0</v>
      </c>
      <c r="J40" s="95">
        <f>インプット!$E$26</f>
        <v>0</v>
      </c>
      <c r="K40" s="95">
        <f>インプット!$E$26</f>
        <v>0</v>
      </c>
      <c r="L40" s="95">
        <f>インプット!$E$26</f>
        <v>0</v>
      </c>
      <c r="M40" s="95">
        <f>インプット!$E$26</f>
        <v>0</v>
      </c>
      <c r="N40" s="95">
        <f>インプット!$E$26</f>
        <v>0</v>
      </c>
      <c r="O40" s="95">
        <f>インプット!$E$26</f>
        <v>0</v>
      </c>
      <c r="P40" s="95">
        <f>インプット!$E$26</f>
        <v>0</v>
      </c>
      <c r="Q40" s="95">
        <f>インプット!$E$26</f>
        <v>0</v>
      </c>
      <c r="R40" s="95">
        <f>インプット!$E$26</f>
        <v>0</v>
      </c>
      <c r="S40" s="95">
        <f>インプット!$E$26</f>
        <v>0</v>
      </c>
      <c r="T40" s="95">
        <f>インプット!$E$26</f>
        <v>0</v>
      </c>
      <c r="U40" s="95">
        <f>インプット!$E$26</f>
        <v>0</v>
      </c>
      <c r="V40" s="95">
        <f>インプット!$E$26</f>
        <v>0</v>
      </c>
      <c r="W40" s="95">
        <f>インプット!$E$26</f>
        <v>0</v>
      </c>
      <c r="X40" s="95">
        <f>インプット!$E$26</f>
        <v>0</v>
      </c>
      <c r="Y40" s="95">
        <f>インプット!$E$26</f>
        <v>0</v>
      </c>
      <c r="Z40" s="95">
        <f>インプット!$E$26</f>
        <v>0</v>
      </c>
      <c r="AA40" s="95">
        <f>インプット!$E$26</f>
        <v>0</v>
      </c>
      <c r="AB40" s="95">
        <f>インプット!$E$26</f>
        <v>0</v>
      </c>
      <c r="AC40" s="95">
        <f>インプット!$E$26</f>
        <v>0</v>
      </c>
      <c r="AD40" s="95">
        <f>インプット!$E$26</f>
        <v>0</v>
      </c>
      <c r="AE40" s="95">
        <f>インプット!$E$26</f>
        <v>0</v>
      </c>
      <c r="AF40" s="95">
        <f>インプット!$E$26</f>
        <v>0</v>
      </c>
      <c r="AG40" s="95">
        <f>インプット!$E$26</f>
        <v>0</v>
      </c>
      <c r="AH40" s="95">
        <f>インプット!$E$26</f>
        <v>0</v>
      </c>
      <c r="AI40" s="59"/>
    </row>
    <row r="41" spans="2:35" x14ac:dyDescent="0.25">
      <c r="B41" s="600" t="s">
        <v>447</v>
      </c>
      <c r="C41" s="98" t="s">
        <v>445</v>
      </c>
      <c r="D41" s="603"/>
      <c r="E41" s="604">
        <f>インプット!$E$19*E$5*365</f>
        <v>0</v>
      </c>
      <c r="F41" s="604">
        <f>インプット!$E$19*F$5*365</f>
        <v>0</v>
      </c>
      <c r="G41" s="604">
        <f>インプット!$E$19*G$5*365</f>
        <v>0</v>
      </c>
      <c r="H41" s="604">
        <f>インプット!$E$19*H$5*365</f>
        <v>0</v>
      </c>
      <c r="I41" s="604">
        <f>インプット!$E$19*I$5*365</f>
        <v>0</v>
      </c>
      <c r="J41" s="604">
        <f>インプット!$E$19*J$5*365</f>
        <v>0</v>
      </c>
      <c r="K41" s="604">
        <f>インプット!$E$19*K$5*365</f>
        <v>0</v>
      </c>
      <c r="L41" s="604">
        <f>インプット!$E$19*L$5*365</f>
        <v>0</v>
      </c>
      <c r="M41" s="604">
        <f>インプット!$E$19*M$5*365</f>
        <v>0</v>
      </c>
      <c r="N41" s="604">
        <f>インプット!$E$19*N$5*365</f>
        <v>0</v>
      </c>
      <c r="O41" s="604">
        <f>インプット!$E$19*O$5*365</f>
        <v>0</v>
      </c>
      <c r="P41" s="604">
        <f>インプット!$E$19*P$5*365</f>
        <v>0</v>
      </c>
      <c r="Q41" s="604">
        <f>インプット!$E$19*Q$5*365</f>
        <v>0</v>
      </c>
      <c r="R41" s="604">
        <f>インプット!$E$19*R$5*365</f>
        <v>0</v>
      </c>
      <c r="S41" s="604">
        <f>インプット!$E$19*S$5*365</f>
        <v>0</v>
      </c>
      <c r="T41" s="604">
        <f>インプット!$E$19*T$5*365</f>
        <v>0</v>
      </c>
      <c r="U41" s="604">
        <f>インプット!$E$19*U$5*365</f>
        <v>0</v>
      </c>
      <c r="V41" s="604">
        <f>インプット!$E$19*V$5*365</f>
        <v>0</v>
      </c>
      <c r="W41" s="604">
        <f>インプット!$E$19*W$5*365</f>
        <v>0</v>
      </c>
      <c r="X41" s="604">
        <f>インプット!$E$19*X$5*365</f>
        <v>0</v>
      </c>
      <c r="Y41" s="604">
        <f>インプット!$E$19*Y$5*365</f>
        <v>0</v>
      </c>
      <c r="Z41" s="604">
        <f>インプット!$E$19*Z$5*365</f>
        <v>0</v>
      </c>
      <c r="AA41" s="604">
        <f>インプット!$E$19*AA$5*365</f>
        <v>0</v>
      </c>
      <c r="AB41" s="604">
        <f>インプット!$E$19*AB$5*365</f>
        <v>0</v>
      </c>
      <c r="AC41" s="604">
        <f>インプット!$E$19*AC$5*365</f>
        <v>0</v>
      </c>
      <c r="AD41" s="604">
        <f>インプット!$E$19*AD$5*365</f>
        <v>0</v>
      </c>
      <c r="AE41" s="604">
        <f>インプット!$E$19*AE$5*365</f>
        <v>0</v>
      </c>
      <c r="AF41" s="604">
        <f>インプット!$E$19*AF$5*365</f>
        <v>0</v>
      </c>
      <c r="AG41" s="604">
        <f>インプット!$E$19*AG$5*365</f>
        <v>0</v>
      </c>
      <c r="AH41" s="604">
        <f>インプット!$E$19*AH$5*365</f>
        <v>0</v>
      </c>
      <c r="AI41" s="59"/>
    </row>
    <row r="42" spans="2:35" x14ac:dyDescent="0.25">
      <c r="B42" s="38" t="s">
        <v>12</v>
      </c>
      <c r="C42" s="39" t="s">
        <v>13</v>
      </c>
      <c r="D42" s="40"/>
      <c r="E42" s="123">
        <f>SUM(E17,E22,E27,E30,E33,E36,E39)</f>
        <v>1483602243.75</v>
      </c>
      <c r="F42" s="123">
        <f t="shared" ref="F42:AH42" si="14">SUM(F17,F22,F27,F30,F33,F36,F39)</f>
        <v>1483602243.75</v>
      </c>
      <c r="G42" s="123">
        <f t="shared" si="14"/>
        <v>1483602243.75</v>
      </c>
      <c r="H42" s="123">
        <f t="shared" si="14"/>
        <v>1483602243.75</v>
      </c>
      <c r="I42" s="123">
        <f t="shared" si="14"/>
        <v>1483602243.75</v>
      </c>
      <c r="J42" s="123">
        <f t="shared" si="14"/>
        <v>1483602243.75</v>
      </c>
      <c r="K42" s="123">
        <f t="shared" si="14"/>
        <v>1483602243.75</v>
      </c>
      <c r="L42" s="123">
        <f t="shared" si="14"/>
        <v>1483602243.75</v>
      </c>
      <c r="M42" s="123">
        <f t="shared" si="14"/>
        <v>1483602243.75</v>
      </c>
      <c r="N42" s="123">
        <f t="shared" si="14"/>
        <v>1483602243.75</v>
      </c>
      <c r="O42" s="123">
        <f t="shared" si="14"/>
        <v>1483602243.75</v>
      </c>
      <c r="P42" s="123">
        <f t="shared" si="14"/>
        <v>1483602243.75</v>
      </c>
      <c r="Q42" s="123">
        <f t="shared" si="14"/>
        <v>1483602243.75</v>
      </c>
      <c r="R42" s="123">
        <f t="shared" si="14"/>
        <v>1483602243.75</v>
      </c>
      <c r="S42" s="123">
        <f t="shared" si="14"/>
        <v>1483602243.75</v>
      </c>
      <c r="T42" s="123">
        <f t="shared" si="14"/>
        <v>1483602243.75</v>
      </c>
      <c r="U42" s="123">
        <f t="shared" si="14"/>
        <v>1483602243.75</v>
      </c>
      <c r="V42" s="123">
        <f t="shared" si="14"/>
        <v>1483602243.75</v>
      </c>
      <c r="W42" s="123">
        <f t="shared" si="14"/>
        <v>1483602243.75</v>
      </c>
      <c r="X42" s="123">
        <f t="shared" si="14"/>
        <v>1483602243.75</v>
      </c>
      <c r="Y42" s="123">
        <f t="shared" si="14"/>
        <v>1483602243.75</v>
      </c>
      <c r="Z42" s="123">
        <f t="shared" si="14"/>
        <v>1483602243.75</v>
      </c>
      <c r="AA42" s="123">
        <f t="shared" si="14"/>
        <v>1483602243.75</v>
      </c>
      <c r="AB42" s="123">
        <f t="shared" si="14"/>
        <v>1483602243.75</v>
      </c>
      <c r="AC42" s="123">
        <f t="shared" si="14"/>
        <v>1483602243.75</v>
      </c>
      <c r="AD42" s="123">
        <f t="shared" si="14"/>
        <v>1483602243.75</v>
      </c>
      <c r="AE42" s="123">
        <f t="shared" si="14"/>
        <v>1483602243.75</v>
      </c>
      <c r="AF42" s="123">
        <f t="shared" si="14"/>
        <v>1483602243.75</v>
      </c>
      <c r="AG42" s="123">
        <f t="shared" si="14"/>
        <v>1483602243.75</v>
      </c>
      <c r="AH42" s="125">
        <f t="shared" si="14"/>
        <v>1483602243.75</v>
      </c>
      <c r="AI42" s="41">
        <f>SUM(AI17,AI22,AI27,AI30,AI33)</f>
        <v>44508067312.5</v>
      </c>
    </row>
    <row r="43" spans="2:35" x14ac:dyDescent="0.25">
      <c r="B43" s="42" t="s">
        <v>14</v>
      </c>
      <c r="C43" s="43" t="s">
        <v>11</v>
      </c>
      <c r="D43" s="134"/>
      <c r="E43" s="44">
        <f>SUM(E44,E59:E64)</f>
        <v>639483104.22580409</v>
      </c>
      <c r="F43" s="44">
        <f t="shared" ref="F43:AH43" si="15">SUM(F44,F59:F64)</f>
        <v>639483104.22580409</v>
      </c>
      <c r="G43" s="44">
        <f t="shared" si="15"/>
        <v>639483104.22580409</v>
      </c>
      <c r="H43" s="44">
        <f t="shared" si="15"/>
        <v>639483104.22580409</v>
      </c>
      <c r="I43" s="44">
        <f t="shared" si="15"/>
        <v>639483104.22580409</v>
      </c>
      <c r="J43" s="44">
        <f t="shared" si="15"/>
        <v>639483104.22580409</v>
      </c>
      <c r="K43" s="44">
        <f t="shared" si="15"/>
        <v>639483104.22580409</v>
      </c>
      <c r="L43" s="44">
        <f t="shared" si="15"/>
        <v>639483104.22580409</v>
      </c>
      <c r="M43" s="44">
        <f t="shared" si="15"/>
        <v>639483104.22580409</v>
      </c>
      <c r="N43" s="44">
        <f t="shared" si="15"/>
        <v>639483104.22580409</v>
      </c>
      <c r="O43" s="44">
        <f t="shared" si="15"/>
        <v>639483104.22580409</v>
      </c>
      <c r="P43" s="44">
        <f t="shared" si="15"/>
        <v>639483104.22580409</v>
      </c>
      <c r="Q43" s="44">
        <f t="shared" si="15"/>
        <v>639483104.22580409</v>
      </c>
      <c r="R43" s="44">
        <f t="shared" si="15"/>
        <v>639483104.22580409</v>
      </c>
      <c r="S43" s="44">
        <f t="shared" si="15"/>
        <v>639483104.22580409</v>
      </c>
      <c r="T43" s="44">
        <f t="shared" si="15"/>
        <v>639483104.22580409</v>
      </c>
      <c r="U43" s="44">
        <f t="shared" si="15"/>
        <v>639483104.22580409</v>
      </c>
      <c r="V43" s="44">
        <f t="shared" si="15"/>
        <v>639483104.22580409</v>
      </c>
      <c r="W43" s="44">
        <f t="shared" si="15"/>
        <v>639483104.22580409</v>
      </c>
      <c r="X43" s="44">
        <f t="shared" si="15"/>
        <v>639483104.22580409</v>
      </c>
      <c r="Y43" s="44">
        <f t="shared" si="15"/>
        <v>639483104.22580409</v>
      </c>
      <c r="Z43" s="44">
        <f t="shared" si="15"/>
        <v>639483104.22580409</v>
      </c>
      <c r="AA43" s="44">
        <f t="shared" si="15"/>
        <v>639483104.22580409</v>
      </c>
      <c r="AB43" s="44">
        <f t="shared" si="15"/>
        <v>639483104.22580409</v>
      </c>
      <c r="AC43" s="44">
        <f t="shared" si="15"/>
        <v>639483104.22580409</v>
      </c>
      <c r="AD43" s="44">
        <f t="shared" si="15"/>
        <v>639483104.22580409</v>
      </c>
      <c r="AE43" s="44">
        <f t="shared" si="15"/>
        <v>639483104.22580409</v>
      </c>
      <c r="AF43" s="44">
        <f t="shared" si="15"/>
        <v>639483104.22580409</v>
      </c>
      <c r="AG43" s="44">
        <f t="shared" si="15"/>
        <v>639483104.22580409</v>
      </c>
      <c r="AH43" s="126">
        <f t="shared" si="15"/>
        <v>639483104.22580409</v>
      </c>
      <c r="AI43" s="45">
        <f t="shared" ref="AI43:AI64" si="16">SUM(E43:AH43)</f>
        <v>19184493126.774113</v>
      </c>
    </row>
    <row r="44" spans="2:35" x14ac:dyDescent="0.25">
      <c r="B44" s="96" t="s">
        <v>44</v>
      </c>
      <c r="C44" s="34" t="s">
        <v>11</v>
      </c>
      <c r="D44" s="135"/>
      <c r="E44" s="46">
        <f>E45*E46+E47*E48+E49*E50+E51*E52+E53*E54+E55*E56+E57*E58</f>
        <v>495000000</v>
      </c>
      <c r="F44" s="46">
        <f t="shared" ref="F44:AH44" si="17">F45*F46+F47*F48+F49*F50+F51*F52+F53*F54+F55*F56+F57*F58</f>
        <v>495000000</v>
      </c>
      <c r="G44" s="46">
        <f t="shared" si="17"/>
        <v>495000000</v>
      </c>
      <c r="H44" s="46">
        <f t="shared" si="17"/>
        <v>495000000</v>
      </c>
      <c r="I44" s="46">
        <f t="shared" si="17"/>
        <v>495000000</v>
      </c>
      <c r="J44" s="46">
        <f t="shared" si="17"/>
        <v>495000000</v>
      </c>
      <c r="K44" s="46">
        <f t="shared" si="17"/>
        <v>495000000</v>
      </c>
      <c r="L44" s="46">
        <f t="shared" si="17"/>
        <v>495000000</v>
      </c>
      <c r="M44" s="46">
        <f t="shared" si="17"/>
        <v>495000000</v>
      </c>
      <c r="N44" s="46">
        <f t="shared" si="17"/>
        <v>495000000</v>
      </c>
      <c r="O44" s="46">
        <f t="shared" si="17"/>
        <v>495000000</v>
      </c>
      <c r="P44" s="46">
        <f t="shared" si="17"/>
        <v>495000000</v>
      </c>
      <c r="Q44" s="46">
        <f t="shared" si="17"/>
        <v>495000000</v>
      </c>
      <c r="R44" s="46">
        <f t="shared" si="17"/>
        <v>495000000</v>
      </c>
      <c r="S44" s="46">
        <f t="shared" si="17"/>
        <v>495000000</v>
      </c>
      <c r="T44" s="46">
        <f t="shared" si="17"/>
        <v>495000000</v>
      </c>
      <c r="U44" s="46">
        <f t="shared" si="17"/>
        <v>495000000</v>
      </c>
      <c r="V44" s="46">
        <f t="shared" si="17"/>
        <v>495000000</v>
      </c>
      <c r="W44" s="46">
        <f t="shared" si="17"/>
        <v>495000000</v>
      </c>
      <c r="X44" s="46">
        <f t="shared" si="17"/>
        <v>495000000</v>
      </c>
      <c r="Y44" s="46">
        <f t="shared" si="17"/>
        <v>495000000</v>
      </c>
      <c r="Z44" s="46">
        <f t="shared" si="17"/>
        <v>495000000</v>
      </c>
      <c r="AA44" s="46">
        <f t="shared" si="17"/>
        <v>495000000</v>
      </c>
      <c r="AB44" s="46">
        <f t="shared" si="17"/>
        <v>495000000</v>
      </c>
      <c r="AC44" s="46">
        <f t="shared" si="17"/>
        <v>495000000</v>
      </c>
      <c r="AD44" s="46">
        <f t="shared" si="17"/>
        <v>495000000</v>
      </c>
      <c r="AE44" s="46">
        <f t="shared" si="17"/>
        <v>495000000</v>
      </c>
      <c r="AF44" s="46">
        <f t="shared" si="17"/>
        <v>495000000</v>
      </c>
      <c r="AG44" s="46">
        <f t="shared" si="17"/>
        <v>495000000</v>
      </c>
      <c r="AH44" s="124">
        <f t="shared" si="17"/>
        <v>495000000</v>
      </c>
      <c r="AI44" s="49">
        <f t="shared" si="16"/>
        <v>14850000000</v>
      </c>
    </row>
    <row r="45" spans="2:35" x14ac:dyDescent="0.25">
      <c r="B45" s="1450" t="str">
        <f>インプット!B29&amp;"調達量"</f>
        <v>森林未利用木材調達量</v>
      </c>
      <c r="C45" s="1451" t="s">
        <v>126</v>
      </c>
      <c r="D45" s="1452"/>
      <c r="E45" s="1448">
        <f>インプット!$E$30*365*24*E$5</f>
        <v>16500</v>
      </c>
      <c r="F45" s="1448">
        <f>インプット!$E$30*365*24*F$5</f>
        <v>16500</v>
      </c>
      <c r="G45" s="1448">
        <f>インプット!$E$30*365*24*G$5</f>
        <v>16500</v>
      </c>
      <c r="H45" s="1448">
        <f>インプット!$E$30*365*24*H$5</f>
        <v>16500</v>
      </c>
      <c r="I45" s="1448">
        <f>インプット!$E$30*365*24*I$5</f>
        <v>16500</v>
      </c>
      <c r="J45" s="1448">
        <f>インプット!$E$30*365*24*J$5</f>
        <v>16500</v>
      </c>
      <c r="K45" s="1448">
        <f>インプット!$E$30*365*24*K$5</f>
        <v>16500</v>
      </c>
      <c r="L45" s="1448">
        <f>インプット!$E$30*365*24*L$5</f>
        <v>16500</v>
      </c>
      <c r="M45" s="1448">
        <f>インプット!$E$30*365*24*M$5</f>
        <v>16500</v>
      </c>
      <c r="N45" s="1448">
        <f>インプット!$E$30*365*24*N$5</f>
        <v>16500</v>
      </c>
      <c r="O45" s="1448">
        <f>インプット!$E$30*365*24*O$5</f>
        <v>16500</v>
      </c>
      <c r="P45" s="1448">
        <f>インプット!$E$30*365*24*P$5</f>
        <v>16500</v>
      </c>
      <c r="Q45" s="1448">
        <f>インプット!$E$30*365*24*Q$5</f>
        <v>16500</v>
      </c>
      <c r="R45" s="1448">
        <f>インプット!$E$30*365*24*R$5</f>
        <v>16500</v>
      </c>
      <c r="S45" s="1448">
        <f>インプット!$E$30*365*24*S$5</f>
        <v>16500</v>
      </c>
      <c r="T45" s="1448">
        <f>インプット!$E$30*365*24*T$5</f>
        <v>16500</v>
      </c>
      <c r="U45" s="1448">
        <f>インプット!$E$30*365*24*U$5</f>
        <v>16500</v>
      </c>
      <c r="V45" s="1448">
        <f>インプット!$E$30*365*24*V$5</f>
        <v>16500</v>
      </c>
      <c r="W45" s="1448">
        <f>インプット!$E$30*365*24*W$5</f>
        <v>16500</v>
      </c>
      <c r="X45" s="1448">
        <f>インプット!$E$30*365*24*X$5</f>
        <v>16500</v>
      </c>
      <c r="Y45" s="1448">
        <f>インプット!$E$30*365*24*Y$5</f>
        <v>16500</v>
      </c>
      <c r="Z45" s="1448">
        <f>インプット!$E$30*365*24*Z$5</f>
        <v>16500</v>
      </c>
      <c r="AA45" s="1448">
        <f>インプット!$E$30*365*24*AA$5</f>
        <v>16500</v>
      </c>
      <c r="AB45" s="1448">
        <f>インプット!$E$30*365*24*AB$5</f>
        <v>16500</v>
      </c>
      <c r="AC45" s="1448">
        <f>インプット!$E$30*365*24*AC$5</f>
        <v>16500</v>
      </c>
      <c r="AD45" s="1448">
        <f>インプット!$E$30*365*24*AD$5</f>
        <v>16500</v>
      </c>
      <c r="AE45" s="1448">
        <f>インプット!$E$30*365*24*AE$5</f>
        <v>16500</v>
      </c>
      <c r="AF45" s="1448">
        <f>インプット!$E$30*365*24*AF$5</f>
        <v>16500</v>
      </c>
      <c r="AG45" s="1448">
        <f>インプット!$E$30*365*24*AG$5</f>
        <v>16500</v>
      </c>
      <c r="AH45" s="1449">
        <f>インプット!$E$30*365*24*AH$5</f>
        <v>16500</v>
      </c>
      <c r="AI45" s="183">
        <f t="shared" si="16"/>
        <v>495000</v>
      </c>
    </row>
    <row r="46" spans="2:35" x14ac:dyDescent="0.25">
      <c r="B46" s="102" t="str">
        <f>インプット!B29&amp;"調達価格"</f>
        <v>森林未利用木材調達価格</v>
      </c>
      <c r="C46" s="103" t="s">
        <v>6</v>
      </c>
      <c r="D46" s="50"/>
      <c r="E46" s="255">
        <f>インプット!$E$29</f>
        <v>12000</v>
      </c>
      <c r="F46" s="255">
        <f>インプット!$E$29</f>
        <v>12000</v>
      </c>
      <c r="G46" s="255">
        <f>インプット!$E$29</f>
        <v>12000</v>
      </c>
      <c r="H46" s="255">
        <f>インプット!$E$29</f>
        <v>12000</v>
      </c>
      <c r="I46" s="255">
        <f>インプット!$E$29</f>
        <v>12000</v>
      </c>
      <c r="J46" s="255">
        <f>インプット!$E$29</f>
        <v>12000</v>
      </c>
      <c r="K46" s="255">
        <f>インプット!$E$29</f>
        <v>12000</v>
      </c>
      <c r="L46" s="255">
        <f>インプット!$E$29</f>
        <v>12000</v>
      </c>
      <c r="M46" s="255">
        <f>インプット!$E$29</f>
        <v>12000</v>
      </c>
      <c r="N46" s="255">
        <f>インプット!$E$29</f>
        <v>12000</v>
      </c>
      <c r="O46" s="255">
        <f>インプット!$E$29</f>
        <v>12000</v>
      </c>
      <c r="P46" s="255">
        <f>インプット!$E$29</f>
        <v>12000</v>
      </c>
      <c r="Q46" s="255">
        <f>インプット!$E$29</f>
        <v>12000</v>
      </c>
      <c r="R46" s="255">
        <f>インプット!$E$29</f>
        <v>12000</v>
      </c>
      <c r="S46" s="255">
        <f>インプット!$E$29</f>
        <v>12000</v>
      </c>
      <c r="T46" s="255">
        <f>インプット!$E$29</f>
        <v>12000</v>
      </c>
      <c r="U46" s="255">
        <f>インプット!$E$29</f>
        <v>12000</v>
      </c>
      <c r="V46" s="255">
        <f>インプット!$E$29</f>
        <v>12000</v>
      </c>
      <c r="W46" s="255">
        <f>インプット!$E$29</f>
        <v>12000</v>
      </c>
      <c r="X46" s="255">
        <f>インプット!$E$29</f>
        <v>12000</v>
      </c>
      <c r="Y46" s="255">
        <f>インプット!$E$29</f>
        <v>12000</v>
      </c>
      <c r="Z46" s="255">
        <f>インプット!$E$29</f>
        <v>12000</v>
      </c>
      <c r="AA46" s="255">
        <f>インプット!$E$29</f>
        <v>12000</v>
      </c>
      <c r="AB46" s="255">
        <f>インプット!$E$29</f>
        <v>12000</v>
      </c>
      <c r="AC46" s="255">
        <f>インプット!$E$29</f>
        <v>12000</v>
      </c>
      <c r="AD46" s="255">
        <f>インプット!$E$29</f>
        <v>12000</v>
      </c>
      <c r="AE46" s="255">
        <f>インプット!$E$29</f>
        <v>12000</v>
      </c>
      <c r="AF46" s="255">
        <f>インプット!$E$29</f>
        <v>12000</v>
      </c>
      <c r="AG46" s="255">
        <f>インプット!$E$29</f>
        <v>12000</v>
      </c>
      <c r="AH46" s="256">
        <f>インプット!$E$29</f>
        <v>12000</v>
      </c>
      <c r="AI46" s="183">
        <f t="shared" si="16"/>
        <v>360000</v>
      </c>
    </row>
    <row r="47" spans="2:35" x14ac:dyDescent="0.25">
      <c r="B47" s="1450" t="str">
        <f>インプット!B33&amp;"調達量"</f>
        <v>製材端材調達量</v>
      </c>
      <c r="C47" s="1451" t="s">
        <v>126</v>
      </c>
      <c r="D47" s="1453"/>
      <c r="E47" s="1448">
        <f>インプット!$E$34*365*24*E$5</f>
        <v>0</v>
      </c>
      <c r="F47" s="1448">
        <f>インプット!$E$34*365*24*F$5</f>
        <v>0</v>
      </c>
      <c r="G47" s="1448">
        <f>インプット!$E$34*365*24*G$5</f>
        <v>0</v>
      </c>
      <c r="H47" s="1448">
        <f>インプット!$E$34*365*24*H$5</f>
        <v>0</v>
      </c>
      <c r="I47" s="1448">
        <f>インプット!$E$34*365*24*I$5</f>
        <v>0</v>
      </c>
      <c r="J47" s="1448">
        <f>インプット!$E$34*365*24*J$5</f>
        <v>0</v>
      </c>
      <c r="K47" s="1448">
        <f>インプット!$E$34*365*24*K$5</f>
        <v>0</v>
      </c>
      <c r="L47" s="1448">
        <f>インプット!$E$34*365*24*L$5</f>
        <v>0</v>
      </c>
      <c r="M47" s="1448">
        <f>インプット!$E$34*365*24*M$5</f>
        <v>0</v>
      </c>
      <c r="N47" s="1448">
        <f>インプット!$E$34*365*24*N$5</f>
        <v>0</v>
      </c>
      <c r="O47" s="1448">
        <f>インプット!$E$34*365*24*O$5</f>
        <v>0</v>
      </c>
      <c r="P47" s="1448">
        <f>インプット!$E$34*365*24*P$5</f>
        <v>0</v>
      </c>
      <c r="Q47" s="1448">
        <f>インプット!$E$34*365*24*Q$5</f>
        <v>0</v>
      </c>
      <c r="R47" s="1448">
        <f>インプット!$E$34*365*24*R$5</f>
        <v>0</v>
      </c>
      <c r="S47" s="1448">
        <f>インプット!$E$34*365*24*S$5</f>
        <v>0</v>
      </c>
      <c r="T47" s="1448">
        <f>インプット!$E$34*365*24*T$5</f>
        <v>0</v>
      </c>
      <c r="U47" s="1448">
        <f>インプット!$E$34*365*24*U$5</f>
        <v>0</v>
      </c>
      <c r="V47" s="1448">
        <f>インプット!$E$34*365*24*V$5</f>
        <v>0</v>
      </c>
      <c r="W47" s="1448">
        <f>インプット!$E$34*365*24*W$5</f>
        <v>0</v>
      </c>
      <c r="X47" s="1448">
        <f>インプット!$E$34*365*24*X$5</f>
        <v>0</v>
      </c>
      <c r="Y47" s="1448">
        <f>インプット!$E$34*365*24*Y$5</f>
        <v>0</v>
      </c>
      <c r="Z47" s="1448">
        <f>インプット!$E$34*365*24*Z$5</f>
        <v>0</v>
      </c>
      <c r="AA47" s="1448">
        <f>インプット!$E$34*365*24*AA$5</f>
        <v>0</v>
      </c>
      <c r="AB47" s="1448">
        <f>インプット!$E$34*365*24*AB$5</f>
        <v>0</v>
      </c>
      <c r="AC47" s="1448">
        <f>インプット!$E$34*365*24*AC$5</f>
        <v>0</v>
      </c>
      <c r="AD47" s="1448">
        <f>インプット!$E$34*365*24*AD$5</f>
        <v>0</v>
      </c>
      <c r="AE47" s="1448">
        <f>インプット!$E$34*365*24*AE$5</f>
        <v>0</v>
      </c>
      <c r="AF47" s="1448">
        <f>インプット!$E$34*365*24*AF$5</f>
        <v>0</v>
      </c>
      <c r="AG47" s="1448">
        <f>インプット!$E$34*365*24*AG$5</f>
        <v>0</v>
      </c>
      <c r="AH47" s="1449">
        <f>インプット!$E$34*365*24*AH$5</f>
        <v>0</v>
      </c>
      <c r="AI47" s="183">
        <f t="shared" si="16"/>
        <v>0</v>
      </c>
    </row>
    <row r="48" spans="2:35" x14ac:dyDescent="0.25">
      <c r="B48" s="102" t="str">
        <f>インプット!B33&amp;"調達価格"</f>
        <v>製材端材調達価格</v>
      </c>
      <c r="C48" s="103" t="s">
        <v>6</v>
      </c>
      <c r="D48" s="50"/>
      <c r="E48" s="255">
        <f>インプット!$E$33</f>
        <v>3000</v>
      </c>
      <c r="F48" s="255">
        <f>インプット!$E$33</f>
        <v>3000</v>
      </c>
      <c r="G48" s="255">
        <f>インプット!$E$33</f>
        <v>3000</v>
      </c>
      <c r="H48" s="255">
        <f>インプット!$E$33</f>
        <v>3000</v>
      </c>
      <c r="I48" s="255">
        <f>インプット!$E$33</f>
        <v>3000</v>
      </c>
      <c r="J48" s="255">
        <f>インプット!$E$33</f>
        <v>3000</v>
      </c>
      <c r="K48" s="255">
        <f>インプット!$E$33</f>
        <v>3000</v>
      </c>
      <c r="L48" s="255">
        <f>インプット!$E$33</f>
        <v>3000</v>
      </c>
      <c r="M48" s="255">
        <f>インプット!$E$33</f>
        <v>3000</v>
      </c>
      <c r="N48" s="255">
        <f>インプット!$E$33</f>
        <v>3000</v>
      </c>
      <c r="O48" s="255">
        <f>インプット!$E$33</f>
        <v>3000</v>
      </c>
      <c r="P48" s="255">
        <f>インプット!$E$33</f>
        <v>3000</v>
      </c>
      <c r="Q48" s="255">
        <f>インプット!$E$33</f>
        <v>3000</v>
      </c>
      <c r="R48" s="255">
        <f>インプット!$E$33</f>
        <v>3000</v>
      </c>
      <c r="S48" s="255">
        <f>インプット!$E$33</f>
        <v>3000</v>
      </c>
      <c r="T48" s="255">
        <f>インプット!$E$33</f>
        <v>3000</v>
      </c>
      <c r="U48" s="255">
        <f>インプット!$E$33</f>
        <v>3000</v>
      </c>
      <c r="V48" s="255">
        <f>インプット!$E$33</f>
        <v>3000</v>
      </c>
      <c r="W48" s="255">
        <f>インプット!$E$33</f>
        <v>3000</v>
      </c>
      <c r="X48" s="255">
        <f>インプット!$E$33</f>
        <v>3000</v>
      </c>
      <c r="Y48" s="255">
        <f>インプット!$E$33</f>
        <v>3000</v>
      </c>
      <c r="Z48" s="255">
        <f>インプット!$E$33</f>
        <v>3000</v>
      </c>
      <c r="AA48" s="255">
        <f>インプット!$E$33</f>
        <v>3000</v>
      </c>
      <c r="AB48" s="255">
        <f>インプット!$E$33</f>
        <v>3000</v>
      </c>
      <c r="AC48" s="255">
        <f>インプット!$E$33</f>
        <v>3000</v>
      </c>
      <c r="AD48" s="255">
        <f>インプット!$E$33</f>
        <v>3000</v>
      </c>
      <c r="AE48" s="255">
        <f>インプット!$E$33</f>
        <v>3000</v>
      </c>
      <c r="AF48" s="255">
        <f>インプット!$E$33</f>
        <v>3000</v>
      </c>
      <c r="AG48" s="255">
        <f>インプット!$E$33</f>
        <v>3000</v>
      </c>
      <c r="AH48" s="256">
        <f>インプット!$E$33</f>
        <v>3000</v>
      </c>
      <c r="AI48" s="183">
        <f t="shared" si="16"/>
        <v>90000</v>
      </c>
    </row>
    <row r="49" spans="1:35" x14ac:dyDescent="0.25">
      <c r="B49" s="1450" t="str">
        <f>インプット!B37&amp;"調達量"</f>
        <v>建築廃材調達量</v>
      </c>
      <c r="C49" s="1451" t="s">
        <v>126</v>
      </c>
      <c r="D49" s="1453"/>
      <c r="E49" s="1448">
        <f>インプット!$E$38*365*24*E$5</f>
        <v>99000</v>
      </c>
      <c r="F49" s="1448">
        <f>インプット!$E$38*365*24*F$5</f>
        <v>99000</v>
      </c>
      <c r="G49" s="1448">
        <f>インプット!$E$38*365*24*G$5</f>
        <v>99000</v>
      </c>
      <c r="H49" s="1448">
        <f>インプット!$E$38*365*24*H$5</f>
        <v>99000</v>
      </c>
      <c r="I49" s="1448">
        <f>インプット!$E$38*365*24*I$5</f>
        <v>99000</v>
      </c>
      <c r="J49" s="1448">
        <f>インプット!$E$38*365*24*J$5</f>
        <v>99000</v>
      </c>
      <c r="K49" s="1448">
        <f>インプット!$E$38*365*24*K$5</f>
        <v>99000</v>
      </c>
      <c r="L49" s="1448">
        <f>インプット!$E$38*365*24*L$5</f>
        <v>99000</v>
      </c>
      <c r="M49" s="1448">
        <f>インプット!$E$38*365*24*M$5</f>
        <v>99000</v>
      </c>
      <c r="N49" s="1448">
        <f>インプット!$E$38*365*24*N$5</f>
        <v>99000</v>
      </c>
      <c r="O49" s="1448">
        <f>インプット!$E$38*365*24*O$5</f>
        <v>99000</v>
      </c>
      <c r="P49" s="1448">
        <f>インプット!$E$38*365*24*P$5</f>
        <v>99000</v>
      </c>
      <c r="Q49" s="1448">
        <f>インプット!$E$38*365*24*Q$5</f>
        <v>99000</v>
      </c>
      <c r="R49" s="1448">
        <f>インプット!$E$38*365*24*R$5</f>
        <v>99000</v>
      </c>
      <c r="S49" s="1448">
        <f>インプット!$E$38*365*24*S$5</f>
        <v>99000</v>
      </c>
      <c r="T49" s="1448">
        <f>インプット!$E$38*365*24*T$5</f>
        <v>99000</v>
      </c>
      <c r="U49" s="1448">
        <f>インプット!$E$38*365*24*U$5</f>
        <v>99000</v>
      </c>
      <c r="V49" s="1448">
        <f>インプット!$E$38*365*24*V$5</f>
        <v>99000</v>
      </c>
      <c r="W49" s="1448">
        <f>インプット!$E$38*365*24*W$5</f>
        <v>99000</v>
      </c>
      <c r="X49" s="1448">
        <f>インプット!$E$38*365*24*X$5</f>
        <v>99000</v>
      </c>
      <c r="Y49" s="1448">
        <f>インプット!$E$38*365*24*Y$5</f>
        <v>99000</v>
      </c>
      <c r="Z49" s="1448">
        <f>インプット!$E$38*365*24*Z$5</f>
        <v>99000</v>
      </c>
      <c r="AA49" s="1448">
        <f>インプット!$E$38*365*24*AA$5</f>
        <v>99000</v>
      </c>
      <c r="AB49" s="1448">
        <f>インプット!$E$38*365*24*AB$5</f>
        <v>99000</v>
      </c>
      <c r="AC49" s="1448">
        <f>インプット!$E$38*365*24*AC$5</f>
        <v>99000</v>
      </c>
      <c r="AD49" s="1448">
        <f>インプット!$E$38*365*24*AD$5</f>
        <v>99000</v>
      </c>
      <c r="AE49" s="1448">
        <f>インプット!$E$38*365*24*AE$5</f>
        <v>99000</v>
      </c>
      <c r="AF49" s="1448">
        <f>インプット!$E$38*365*24*AF$5</f>
        <v>99000</v>
      </c>
      <c r="AG49" s="1448">
        <f>インプット!$E$38*365*24*AG$5</f>
        <v>99000</v>
      </c>
      <c r="AH49" s="1449">
        <f>インプット!$E$38*365*24*AH$5</f>
        <v>99000</v>
      </c>
      <c r="AI49" s="183">
        <f t="shared" si="16"/>
        <v>2970000</v>
      </c>
    </row>
    <row r="50" spans="1:35" x14ac:dyDescent="0.25">
      <c r="B50" s="102" t="str">
        <f>インプット!B33&amp;"調達価格"</f>
        <v>製材端材調達価格</v>
      </c>
      <c r="C50" s="103" t="s">
        <v>6</v>
      </c>
      <c r="D50" s="50"/>
      <c r="E50" s="255">
        <f>インプット!$E$37</f>
        <v>3000</v>
      </c>
      <c r="F50" s="255">
        <f>インプット!$E$37</f>
        <v>3000</v>
      </c>
      <c r="G50" s="255">
        <f>インプット!$E$37</f>
        <v>3000</v>
      </c>
      <c r="H50" s="255">
        <f>インプット!$E$37</f>
        <v>3000</v>
      </c>
      <c r="I50" s="255">
        <f>インプット!$E$37</f>
        <v>3000</v>
      </c>
      <c r="J50" s="255">
        <f>インプット!$E$37</f>
        <v>3000</v>
      </c>
      <c r="K50" s="255">
        <f>インプット!$E$37</f>
        <v>3000</v>
      </c>
      <c r="L50" s="255">
        <f>インプット!$E$37</f>
        <v>3000</v>
      </c>
      <c r="M50" s="255">
        <f>インプット!$E$37</f>
        <v>3000</v>
      </c>
      <c r="N50" s="255">
        <f>インプット!$E$37</f>
        <v>3000</v>
      </c>
      <c r="O50" s="255">
        <f>インプット!$E$37</f>
        <v>3000</v>
      </c>
      <c r="P50" s="255">
        <f>インプット!$E$37</f>
        <v>3000</v>
      </c>
      <c r="Q50" s="255">
        <f>インプット!$E$37</f>
        <v>3000</v>
      </c>
      <c r="R50" s="255">
        <f>インプット!$E$37</f>
        <v>3000</v>
      </c>
      <c r="S50" s="255">
        <f>インプット!$E$37</f>
        <v>3000</v>
      </c>
      <c r="T50" s="255">
        <f>インプット!$E$37</f>
        <v>3000</v>
      </c>
      <c r="U50" s="255">
        <f>インプット!$E$37</f>
        <v>3000</v>
      </c>
      <c r="V50" s="255">
        <f>インプット!$E$37</f>
        <v>3000</v>
      </c>
      <c r="W50" s="255">
        <f>インプット!$E$37</f>
        <v>3000</v>
      </c>
      <c r="X50" s="255">
        <f>インプット!$E$37</f>
        <v>3000</v>
      </c>
      <c r="Y50" s="255">
        <f>インプット!$E$37</f>
        <v>3000</v>
      </c>
      <c r="Z50" s="255">
        <f>インプット!$E$37</f>
        <v>3000</v>
      </c>
      <c r="AA50" s="255">
        <f>インプット!$E$37</f>
        <v>3000</v>
      </c>
      <c r="AB50" s="255">
        <f>インプット!$E$37</f>
        <v>3000</v>
      </c>
      <c r="AC50" s="255">
        <f>インプット!$E$37</f>
        <v>3000</v>
      </c>
      <c r="AD50" s="255">
        <f>インプット!$E$37</f>
        <v>3000</v>
      </c>
      <c r="AE50" s="255">
        <f>インプット!$E$37</f>
        <v>3000</v>
      </c>
      <c r="AF50" s="255">
        <f>インプット!$E$37</f>
        <v>3000</v>
      </c>
      <c r="AG50" s="255">
        <f>インプット!$E$37</f>
        <v>3000</v>
      </c>
      <c r="AH50" s="256">
        <f>インプット!$E$37</f>
        <v>3000</v>
      </c>
      <c r="AI50" s="183">
        <f t="shared" si="16"/>
        <v>90000</v>
      </c>
    </row>
    <row r="51" spans="1:35" x14ac:dyDescent="0.25">
      <c r="B51" s="1450" t="str">
        <f>インプット!B41&amp;"調達量"</f>
        <v>バーク調達量</v>
      </c>
      <c r="C51" s="1451" t="s">
        <v>126</v>
      </c>
      <c r="D51" s="1453"/>
      <c r="E51" s="1448">
        <f>インプット!$E$42*365*24*E$5</f>
        <v>0</v>
      </c>
      <c r="F51" s="1448">
        <f>インプット!$E$42*365*24*F$5</f>
        <v>0</v>
      </c>
      <c r="G51" s="1448">
        <f>インプット!$E$42*365*24*G$5</f>
        <v>0</v>
      </c>
      <c r="H51" s="1448">
        <f>インプット!$E$42*365*24*H$5</f>
        <v>0</v>
      </c>
      <c r="I51" s="1448">
        <f>インプット!$E$42*365*24*I$5</f>
        <v>0</v>
      </c>
      <c r="J51" s="1448">
        <f>インプット!$E$42*365*24*J$5</f>
        <v>0</v>
      </c>
      <c r="K51" s="1448">
        <f>インプット!$E$42*365*24*K$5</f>
        <v>0</v>
      </c>
      <c r="L51" s="1448">
        <f>インプット!$E$42*365*24*L$5</f>
        <v>0</v>
      </c>
      <c r="M51" s="1448">
        <f>インプット!$E$42*365*24*M$5</f>
        <v>0</v>
      </c>
      <c r="N51" s="1448">
        <f>インプット!$E$42*365*24*N$5</f>
        <v>0</v>
      </c>
      <c r="O51" s="1448">
        <f>インプット!$E$42*365*24*O$5</f>
        <v>0</v>
      </c>
      <c r="P51" s="1448">
        <f>インプット!$E$42*365*24*P$5</f>
        <v>0</v>
      </c>
      <c r="Q51" s="1448">
        <f>インプット!$E$42*365*24*Q$5</f>
        <v>0</v>
      </c>
      <c r="R51" s="1448">
        <f>インプット!$E$42*365*24*R$5</f>
        <v>0</v>
      </c>
      <c r="S51" s="1448">
        <f>インプット!$E$42*365*24*S$5</f>
        <v>0</v>
      </c>
      <c r="T51" s="1448">
        <f>インプット!$E$42*365*24*T$5</f>
        <v>0</v>
      </c>
      <c r="U51" s="1448">
        <f>インプット!$E$42*365*24*U$5</f>
        <v>0</v>
      </c>
      <c r="V51" s="1448">
        <f>インプット!$E$42*365*24*V$5</f>
        <v>0</v>
      </c>
      <c r="W51" s="1448">
        <f>インプット!$E$42*365*24*W$5</f>
        <v>0</v>
      </c>
      <c r="X51" s="1448">
        <f>インプット!$E$42*365*24*X$5</f>
        <v>0</v>
      </c>
      <c r="Y51" s="1448">
        <f>インプット!$E$42*365*24*Y$5</f>
        <v>0</v>
      </c>
      <c r="Z51" s="1448">
        <f>インプット!$E$42*365*24*Z$5</f>
        <v>0</v>
      </c>
      <c r="AA51" s="1448">
        <f>インプット!$E$42*365*24*AA$5</f>
        <v>0</v>
      </c>
      <c r="AB51" s="1448">
        <f>インプット!$E$42*365*24*AB$5</f>
        <v>0</v>
      </c>
      <c r="AC51" s="1448">
        <f>インプット!$E$42*365*24*AC$5</f>
        <v>0</v>
      </c>
      <c r="AD51" s="1448">
        <f>インプット!$E$42*365*24*AD$5</f>
        <v>0</v>
      </c>
      <c r="AE51" s="1448">
        <f>インプット!$E$42*365*24*AE$5</f>
        <v>0</v>
      </c>
      <c r="AF51" s="1448">
        <f>インプット!$E$42*365*24*AF$5</f>
        <v>0</v>
      </c>
      <c r="AG51" s="1448">
        <f>インプット!$E$42*365*24*AG$5</f>
        <v>0</v>
      </c>
      <c r="AH51" s="1449">
        <f>インプット!$E$42*365*24*AH$5</f>
        <v>0</v>
      </c>
      <c r="AI51" s="183">
        <f t="shared" si="16"/>
        <v>0</v>
      </c>
    </row>
    <row r="52" spans="1:35" x14ac:dyDescent="0.25">
      <c r="B52" s="102" t="str">
        <f>インプット!B41&amp;"調達価格"</f>
        <v>バーク調達価格</v>
      </c>
      <c r="C52" s="103" t="s">
        <v>6</v>
      </c>
      <c r="D52" s="50"/>
      <c r="E52" s="255">
        <f>インプット!$E$41</f>
        <v>3000</v>
      </c>
      <c r="F52" s="255">
        <f>インプット!$E$41</f>
        <v>3000</v>
      </c>
      <c r="G52" s="255">
        <f>インプット!$E$41</f>
        <v>3000</v>
      </c>
      <c r="H52" s="255">
        <f>インプット!$E$41</f>
        <v>3000</v>
      </c>
      <c r="I52" s="255">
        <f>インプット!$E$41</f>
        <v>3000</v>
      </c>
      <c r="J52" s="255">
        <f>インプット!$E$41</f>
        <v>3000</v>
      </c>
      <c r="K52" s="255">
        <f>インプット!$E$41</f>
        <v>3000</v>
      </c>
      <c r="L52" s="255">
        <f>インプット!$E$41</f>
        <v>3000</v>
      </c>
      <c r="M52" s="255">
        <f>インプット!$E$41</f>
        <v>3000</v>
      </c>
      <c r="N52" s="255">
        <f>インプット!$E$41</f>
        <v>3000</v>
      </c>
      <c r="O52" s="255">
        <f>インプット!$E$41</f>
        <v>3000</v>
      </c>
      <c r="P52" s="255">
        <f>インプット!$E$41</f>
        <v>3000</v>
      </c>
      <c r="Q52" s="255">
        <f>インプット!$E$41</f>
        <v>3000</v>
      </c>
      <c r="R52" s="255">
        <f>インプット!$E$41</f>
        <v>3000</v>
      </c>
      <c r="S52" s="255">
        <f>インプット!$E$41</f>
        <v>3000</v>
      </c>
      <c r="T52" s="255">
        <f>インプット!$E$41</f>
        <v>3000</v>
      </c>
      <c r="U52" s="255">
        <f>インプット!$E$41</f>
        <v>3000</v>
      </c>
      <c r="V52" s="255">
        <f>インプット!$E$41</f>
        <v>3000</v>
      </c>
      <c r="W52" s="255">
        <f>インプット!$E$41</f>
        <v>3000</v>
      </c>
      <c r="X52" s="255">
        <f>インプット!$E$41</f>
        <v>3000</v>
      </c>
      <c r="Y52" s="255">
        <f>インプット!$E$41</f>
        <v>3000</v>
      </c>
      <c r="Z52" s="255">
        <f>インプット!$E$41</f>
        <v>3000</v>
      </c>
      <c r="AA52" s="255">
        <f>インプット!$E$41</f>
        <v>3000</v>
      </c>
      <c r="AB52" s="255">
        <f>インプット!$E$41</f>
        <v>3000</v>
      </c>
      <c r="AC52" s="255">
        <f>インプット!$E$41</f>
        <v>3000</v>
      </c>
      <c r="AD52" s="255">
        <f>インプット!$E$41</f>
        <v>3000</v>
      </c>
      <c r="AE52" s="255">
        <f>インプット!$E$41</f>
        <v>3000</v>
      </c>
      <c r="AF52" s="255">
        <f>インプット!$E$41</f>
        <v>3000</v>
      </c>
      <c r="AG52" s="255">
        <f>インプット!$E$41</f>
        <v>3000</v>
      </c>
      <c r="AH52" s="256">
        <f>インプット!$E$41</f>
        <v>3000</v>
      </c>
      <c r="AI52" s="183">
        <f t="shared" si="16"/>
        <v>90000</v>
      </c>
    </row>
    <row r="53" spans="1:35" x14ac:dyDescent="0.25">
      <c r="B53" s="1450" t="str">
        <f>インプット!B45&amp;"調達量"</f>
        <v>ペレット調達量</v>
      </c>
      <c r="C53" s="1451" t="s">
        <v>126</v>
      </c>
      <c r="D53" s="1453"/>
      <c r="E53" s="1448">
        <f>インプット!$E$46*365*24*E$5</f>
        <v>0</v>
      </c>
      <c r="F53" s="1448">
        <f>インプット!$E$46*365*24*F$5</f>
        <v>0</v>
      </c>
      <c r="G53" s="1448">
        <f>インプット!$E$46*365*24*G$5</f>
        <v>0</v>
      </c>
      <c r="H53" s="1448">
        <f>インプット!$E$46*365*24*H$5</f>
        <v>0</v>
      </c>
      <c r="I53" s="1448">
        <f>インプット!$E$46*365*24*I$5</f>
        <v>0</v>
      </c>
      <c r="J53" s="1448">
        <f>インプット!$E$46*365*24*J$5</f>
        <v>0</v>
      </c>
      <c r="K53" s="1448">
        <f>インプット!$E$46*365*24*K$5</f>
        <v>0</v>
      </c>
      <c r="L53" s="1448">
        <f>インプット!$E$46*365*24*L$5</f>
        <v>0</v>
      </c>
      <c r="M53" s="1448">
        <f>インプット!$E$46*365*24*M$5</f>
        <v>0</v>
      </c>
      <c r="N53" s="1448">
        <f>インプット!$E$46*365*24*N$5</f>
        <v>0</v>
      </c>
      <c r="O53" s="1448">
        <f>インプット!$E$46*365*24*O$5</f>
        <v>0</v>
      </c>
      <c r="P53" s="1448">
        <f>インプット!$E$46*365*24*P$5</f>
        <v>0</v>
      </c>
      <c r="Q53" s="1448">
        <f>インプット!$E$46*365*24*Q$5</f>
        <v>0</v>
      </c>
      <c r="R53" s="1448">
        <f>インプット!$E$46*365*24*R$5</f>
        <v>0</v>
      </c>
      <c r="S53" s="1448">
        <f>インプット!$E$46*365*24*S$5</f>
        <v>0</v>
      </c>
      <c r="T53" s="1448">
        <f>インプット!$E$46*365*24*T$5</f>
        <v>0</v>
      </c>
      <c r="U53" s="1448">
        <f>インプット!$E$46*365*24*U$5</f>
        <v>0</v>
      </c>
      <c r="V53" s="1448">
        <f>インプット!$E$46*365*24*V$5</f>
        <v>0</v>
      </c>
      <c r="W53" s="1448">
        <f>インプット!$E$46*365*24*W$5</f>
        <v>0</v>
      </c>
      <c r="X53" s="1448">
        <f>インプット!$E$46*365*24*X$5</f>
        <v>0</v>
      </c>
      <c r="Y53" s="1448">
        <f>インプット!$E$46*365*24*Y$5</f>
        <v>0</v>
      </c>
      <c r="Z53" s="1448">
        <f>インプット!$E$46*365*24*Z$5</f>
        <v>0</v>
      </c>
      <c r="AA53" s="1448">
        <f>インプット!$E$46*365*24*AA$5</f>
        <v>0</v>
      </c>
      <c r="AB53" s="1448">
        <f>インプット!$E$46*365*24*AB$5</f>
        <v>0</v>
      </c>
      <c r="AC53" s="1448">
        <f>インプット!$E$46*365*24*AC$5</f>
        <v>0</v>
      </c>
      <c r="AD53" s="1448">
        <f>インプット!$E$46*365*24*AD$5</f>
        <v>0</v>
      </c>
      <c r="AE53" s="1448">
        <f>インプット!$E$46*365*24*AE$5</f>
        <v>0</v>
      </c>
      <c r="AF53" s="1448">
        <f>インプット!$E$46*365*24*AF$5</f>
        <v>0</v>
      </c>
      <c r="AG53" s="1448">
        <f>インプット!$E$46*365*24*AG$5</f>
        <v>0</v>
      </c>
      <c r="AH53" s="1449">
        <f>インプット!$E$46*365*24*AH$5</f>
        <v>0</v>
      </c>
      <c r="AI53" s="183">
        <f t="shared" si="16"/>
        <v>0</v>
      </c>
    </row>
    <row r="54" spans="1:35" x14ac:dyDescent="0.25">
      <c r="B54" s="102" t="str">
        <f>インプット!B45&amp;"調達価格"</f>
        <v>ペレット調達価格</v>
      </c>
      <c r="C54" s="103" t="s">
        <v>6</v>
      </c>
      <c r="D54" s="50"/>
      <c r="E54" s="255">
        <f>インプット!$E$45</f>
        <v>32000</v>
      </c>
      <c r="F54" s="255">
        <f>インプット!$E$45</f>
        <v>32000</v>
      </c>
      <c r="G54" s="255">
        <f>インプット!$E$45</f>
        <v>32000</v>
      </c>
      <c r="H54" s="255">
        <f>インプット!$E$45</f>
        <v>32000</v>
      </c>
      <c r="I54" s="255">
        <f>インプット!$E$45</f>
        <v>32000</v>
      </c>
      <c r="J54" s="255">
        <f>インプット!$E$45</f>
        <v>32000</v>
      </c>
      <c r="K54" s="255">
        <f>インプット!$E$45</f>
        <v>32000</v>
      </c>
      <c r="L54" s="255">
        <f>インプット!$E$45</f>
        <v>32000</v>
      </c>
      <c r="M54" s="255">
        <f>インプット!$E$45</f>
        <v>32000</v>
      </c>
      <c r="N54" s="255">
        <f>インプット!$E$45</f>
        <v>32000</v>
      </c>
      <c r="O54" s="255">
        <f>インプット!$E$45</f>
        <v>32000</v>
      </c>
      <c r="P54" s="255">
        <f>インプット!$E$45</f>
        <v>32000</v>
      </c>
      <c r="Q54" s="255">
        <f>インプット!$E$45</f>
        <v>32000</v>
      </c>
      <c r="R54" s="255">
        <f>インプット!$E$45</f>
        <v>32000</v>
      </c>
      <c r="S54" s="255">
        <f>インプット!$E$45</f>
        <v>32000</v>
      </c>
      <c r="T54" s="255">
        <f>インプット!$E$45</f>
        <v>32000</v>
      </c>
      <c r="U54" s="255">
        <f>インプット!$E$45</f>
        <v>32000</v>
      </c>
      <c r="V54" s="255">
        <f>インプット!$E$45</f>
        <v>32000</v>
      </c>
      <c r="W54" s="255">
        <f>インプット!$E$45</f>
        <v>32000</v>
      </c>
      <c r="X54" s="255">
        <f>インプット!$E$45</f>
        <v>32000</v>
      </c>
      <c r="Y54" s="255">
        <f>インプット!$E$45</f>
        <v>32000</v>
      </c>
      <c r="Z54" s="255">
        <f>インプット!$E$45</f>
        <v>32000</v>
      </c>
      <c r="AA54" s="255">
        <f>インプット!$E$45</f>
        <v>32000</v>
      </c>
      <c r="AB54" s="255">
        <f>インプット!$E$45</f>
        <v>32000</v>
      </c>
      <c r="AC54" s="255">
        <f>インプット!$E$45</f>
        <v>32000</v>
      </c>
      <c r="AD54" s="255">
        <f>インプット!$E$45</f>
        <v>32000</v>
      </c>
      <c r="AE54" s="255">
        <f>インプット!$E$45</f>
        <v>32000</v>
      </c>
      <c r="AF54" s="255">
        <f>インプット!$E$45</f>
        <v>32000</v>
      </c>
      <c r="AG54" s="255">
        <f>インプット!$E$45</f>
        <v>32000</v>
      </c>
      <c r="AH54" s="256">
        <f>インプット!$E$45</f>
        <v>32000</v>
      </c>
      <c r="AI54" s="183">
        <f t="shared" si="16"/>
        <v>960000</v>
      </c>
    </row>
    <row r="55" spans="1:35" x14ac:dyDescent="0.25">
      <c r="B55" s="102" t="str">
        <f>インプット!B49&amp;"調達量"</f>
        <v>0調達量</v>
      </c>
      <c r="C55" s="103" t="s">
        <v>126</v>
      </c>
      <c r="D55" s="104"/>
      <c r="E55" s="253">
        <f>インプット!$E$50*365*24*E$5</f>
        <v>0</v>
      </c>
      <c r="F55" s="253">
        <f>インプット!$E$50*365*24*F$5</f>
        <v>0</v>
      </c>
      <c r="G55" s="253">
        <f>インプット!$E$50*365*24*G$5</f>
        <v>0</v>
      </c>
      <c r="H55" s="253">
        <f>インプット!$E$50*365*24*H$5</f>
        <v>0</v>
      </c>
      <c r="I55" s="253">
        <f>インプット!$E$50*365*24*I$5</f>
        <v>0</v>
      </c>
      <c r="J55" s="253">
        <f>インプット!$E$50*365*24*J$5</f>
        <v>0</v>
      </c>
      <c r="K55" s="253">
        <f>インプット!$E$50*365*24*K$5</f>
        <v>0</v>
      </c>
      <c r="L55" s="253">
        <f>インプット!$E$50*365*24*L$5</f>
        <v>0</v>
      </c>
      <c r="M55" s="253">
        <f>インプット!$E$50*365*24*M$5</f>
        <v>0</v>
      </c>
      <c r="N55" s="253">
        <f>インプット!$E$50*365*24*N$5</f>
        <v>0</v>
      </c>
      <c r="O55" s="253">
        <f>インプット!$E$50*365*24*O$5</f>
        <v>0</v>
      </c>
      <c r="P55" s="253">
        <f>インプット!$E$50*365*24*P$5</f>
        <v>0</v>
      </c>
      <c r="Q55" s="253">
        <f>インプット!$E$50*365*24*Q$5</f>
        <v>0</v>
      </c>
      <c r="R55" s="253">
        <f>インプット!$E$50*365*24*R$5</f>
        <v>0</v>
      </c>
      <c r="S55" s="253">
        <f>インプット!$E$50*365*24*S$5</f>
        <v>0</v>
      </c>
      <c r="T55" s="253">
        <f>インプット!$E$50*365*24*T$5</f>
        <v>0</v>
      </c>
      <c r="U55" s="253">
        <f>インプット!$E$50*365*24*U$5</f>
        <v>0</v>
      </c>
      <c r="V55" s="253">
        <f>インプット!$E$50*365*24*V$5</f>
        <v>0</v>
      </c>
      <c r="W55" s="253">
        <f>インプット!$E$50*365*24*W$5</f>
        <v>0</v>
      </c>
      <c r="X55" s="253">
        <f>インプット!$E$50*365*24*X$5</f>
        <v>0</v>
      </c>
      <c r="Y55" s="253">
        <f>インプット!$E$50*365*24*Y$5</f>
        <v>0</v>
      </c>
      <c r="Z55" s="253">
        <f>インプット!$E$50*365*24*Z$5</f>
        <v>0</v>
      </c>
      <c r="AA55" s="253">
        <f>インプット!$E$50*365*24*AA$5</f>
        <v>0</v>
      </c>
      <c r="AB55" s="253">
        <f>インプット!$E$50*365*24*AB$5</f>
        <v>0</v>
      </c>
      <c r="AC55" s="253">
        <f>インプット!$E$50*365*24*AC$5</f>
        <v>0</v>
      </c>
      <c r="AD55" s="253">
        <f>インプット!$E$50*365*24*AD$5</f>
        <v>0</v>
      </c>
      <c r="AE55" s="253">
        <f>インプット!$E$50*365*24*AE$5</f>
        <v>0</v>
      </c>
      <c r="AF55" s="253">
        <f>インプット!$E$50*365*24*AF$5</f>
        <v>0</v>
      </c>
      <c r="AG55" s="253">
        <f>インプット!$E$50*365*24*AG$5</f>
        <v>0</v>
      </c>
      <c r="AH55" s="254">
        <f>インプット!$E$50*365*24*AH$5</f>
        <v>0</v>
      </c>
      <c r="AI55" s="183">
        <f>SUM(E55:AH55)</f>
        <v>0</v>
      </c>
    </row>
    <row r="56" spans="1:35" x14ac:dyDescent="0.25">
      <c r="B56" s="102" t="str">
        <f>インプット!B49&amp;"調達価格"</f>
        <v>0調達価格</v>
      </c>
      <c r="C56" s="103" t="s">
        <v>6</v>
      </c>
      <c r="D56" s="50"/>
      <c r="E56" s="255">
        <f>インプット!$E$49</f>
        <v>0</v>
      </c>
      <c r="F56" s="255">
        <f>インプット!$E$49</f>
        <v>0</v>
      </c>
      <c r="G56" s="255">
        <f>インプット!$E$49</f>
        <v>0</v>
      </c>
      <c r="H56" s="255">
        <f>インプット!$E$49</f>
        <v>0</v>
      </c>
      <c r="I56" s="255">
        <f>インプット!$E$49</f>
        <v>0</v>
      </c>
      <c r="J56" s="255">
        <f>インプット!$E$49</f>
        <v>0</v>
      </c>
      <c r="K56" s="255">
        <f>インプット!$E$49</f>
        <v>0</v>
      </c>
      <c r="L56" s="255">
        <f>インプット!$E$49</f>
        <v>0</v>
      </c>
      <c r="M56" s="255">
        <f>インプット!$E$49</f>
        <v>0</v>
      </c>
      <c r="N56" s="255">
        <f>インプット!$E$49</f>
        <v>0</v>
      </c>
      <c r="O56" s="255">
        <f>インプット!$E$49</f>
        <v>0</v>
      </c>
      <c r="P56" s="255">
        <f>インプット!$E$49</f>
        <v>0</v>
      </c>
      <c r="Q56" s="255">
        <f>インプット!$E$49</f>
        <v>0</v>
      </c>
      <c r="R56" s="255">
        <f>インプット!$E$49</f>
        <v>0</v>
      </c>
      <c r="S56" s="255">
        <f>インプット!$E$49</f>
        <v>0</v>
      </c>
      <c r="T56" s="255">
        <f>インプット!$E$49</f>
        <v>0</v>
      </c>
      <c r="U56" s="255">
        <f>インプット!$E$49</f>
        <v>0</v>
      </c>
      <c r="V56" s="255">
        <f>インプット!$E$49</f>
        <v>0</v>
      </c>
      <c r="W56" s="255">
        <f>インプット!$E$49</f>
        <v>0</v>
      </c>
      <c r="X56" s="255">
        <f>インプット!$E$49</f>
        <v>0</v>
      </c>
      <c r="Y56" s="255">
        <f>インプット!$E$49</f>
        <v>0</v>
      </c>
      <c r="Z56" s="255">
        <f>インプット!$E$49</f>
        <v>0</v>
      </c>
      <c r="AA56" s="255">
        <f>インプット!$E$49</f>
        <v>0</v>
      </c>
      <c r="AB56" s="255">
        <f>インプット!$E$49</f>
        <v>0</v>
      </c>
      <c r="AC56" s="255">
        <f>インプット!$E$49</f>
        <v>0</v>
      </c>
      <c r="AD56" s="255">
        <f>インプット!$E$49</f>
        <v>0</v>
      </c>
      <c r="AE56" s="255">
        <f>インプット!$E$49</f>
        <v>0</v>
      </c>
      <c r="AF56" s="255">
        <f>インプット!$E$49</f>
        <v>0</v>
      </c>
      <c r="AG56" s="255">
        <f>インプット!$E$49</f>
        <v>0</v>
      </c>
      <c r="AH56" s="256">
        <f>インプット!$E$49</f>
        <v>0</v>
      </c>
      <c r="AI56" s="183">
        <f>SUM(E56:AH56)</f>
        <v>0</v>
      </c>
    </row>
    <row r="57" spans="1:35" x14ac:dyDescent="0.25">
      <c r="B57" s="102" t="str">
        <f>インプット!B53&amp;"調達量"</f>
        <v>＜資源名を入力＞調達量</v>
      </c>
      <c r="C57" s="103" t="s">
        <v>126</v>
      </c>
      <c r="D57" s="104"/>
      <c r="E57" s="253">
        <f>インプット!$E$54*365*24*E$5</f>
        <v>0</v>
      </c>
      <c r="F57" s="253">
        <f>インプット!$E$54*365*24*F$5</f>
        <v>0</v>
      </c>
      <c r="G57" s="253">
        <f>インプット!$E$54*365*24*G$5</f>
        <v>0</v>
      </c>
      <c r="H57" s="253">
        <f>インプット!$E$54*365*24*H$5</f>
        <v>0</v>
      </c>
      <c r="I57" s="253">
        <f>インプット!$E$54*365*24*I$5</f>
        <v>0</v>
      </c>
      <c r="J57" s="253">
        <f>インプット!$E$54*365*24*J$5</f>
        <v>0</v>
      </c>
      <c r="K57" s="253">
        <f>インプット!$E$54*365*24*K$5</f>
        <v>0</v>
      </c>
      <c r="L57" s="253">
        <f>インプット!$E$54*365*24*L$5</f>
        <v>0</v>
      </c>
      <c r="M57" s="253">
        <f>インプット!$E$54*365*24*M$5</f>
        <v>0</v>
      </c>
      <c r="N57" s="253">
        <f>インプット!$E$54*365*24*N$5</f>
        <v>0</v>
      </c>
      <c r="O57" s="253">
        <f>インプット!$E$54*365*24*O$5</f>
        <v>0</v>
      </c>
      <c r="P57" s="253">
        <f>インプット!$E$54*365*24*P$5</f>
        <v>0</v>
      </c>
      <c r="Q57" s="253">
        <f>インプット!$E$54*365*24*Q$5</f>
        <v>0</v>
      </c>
      <c r="R57" s="253">
        <f>インプット!$E$54*365*24*R$5</f>
        <v>0</v>
      </c>
      <c r="S57" s="253">
        <f>インプット!$E$54*365*24*S$5</f>
        <v>0</v>
      </c>
      <c r="T57" s="253">
        <f>インプット!$E$54*365*24*T$5</f>
        <v>0</v>
      </c>
      <c r="U57" s="253">
        <f>インプット!$E$54*365*24*U$5</f>
        <v>0</v>
      </c>
      <c r="V57" s="253">
        <f>インプット!$E$54*365*24*V$5</f>
        <v>0</v>
      </c>
      <c r="W57" s="253">
        <f>インプット!$E$54*365*24*W$5</f>
        <v>0</v>
      </c>
      <c r="X57" s="253">
        <f>インプット!$E$54*365*24*X$5</f>
        <v>0</v>
      </c>
      <c r="Y57" s="253">
        <f>インプット!$E$54*365*24*Y$5</f>
        <v>0</v>
      </c>
      <c r="Z57" s="253">
        <f>インプット!$E$54*365*24*Z$5</f>
        <v>0</v>
      </c>
      <c r="AA57" s="253">
        <f>インプット!$E$54*365*24*AA$5</f>
        <v>0</v>
      </c>
      <c r="AB57" s="253">
        <f>インプット!$E$54*365*24*AB$5</f>
        <v>0</v>
      </c>
      <c r="AC57" s="253">
        <f>インプット!$E$54*365*24*AC$5</f>
        <v>0</v>
      </c>
      <c r="AD57" s="253">
        <f>インプット!$E$54*365*24*AD$5</f>
        <v>0</v>
      </c>
      <c r="AE57" s="253">
        <f>インプット!$E$54*365*24*AE$5</f>
        <v>0</v>
      </c>
      <c r="AF57" s="253">
        <f>インプット!$E$54*365*24*AF$5</f>
        <v>0</v>
      </c>
      <c r="AG57" s="253">
        <f>インプット!$E$54*365*24*AG$5</f>
        <v>0</v>
      </c>
      <c r="AH57" s="254">
        <f>インプット!$E$54*365*24*AH$5</f>
        <v>0</v>
      </c>
      <c r="AI57" s="183">
        <f>SUM(E57:AH57)</f>
        <v>0</v>
      </c>
    </row>
    <row r="58" spans="1:35" x14ac:dyDescent="0.25">
      <c r="B58" s="102" t="str">
        <f>インプット!B53&amp;"調達価格"</f>
        <v>＜資源名を入力＞調達価格</v>
      </c>
      <c r="C58" s="103" t="s">
        <v>6</v>
      </c>
      <c r="D58" s="50"/>
      <c r="E58" s="255">
        <f>インプット!$E$53</f>
        <v>0</v>
      </c>
      <c r="F58" s="255">
        <f>インプット!$E$53</f>
        <v>0</v>
      </c>
      <c r="G58" s="255">
        <f>インプット!$E$53</f>
        <v>0</v>
      </c>
      <c r="H58" s="255">
        <f>インプット!$E$53</f>
        <v>0</v>
      </c>
      <c r="I58" s="255">
        <f>インプット!$E$53</f>
        <v>0</v>
      </c>
      <c r="J58" s="255">
        <f>インプット!$E$53</f>
        <v>0</v>
      </c>
      <c r="K58" s="255">
        <f>インプット!$E$53</f>
        <v>0</v>
      </c>
      <c r="L58" s="255">
        <f>インプット!$E$53</f>
        <v>0</v>
      </c>
      <c r="M58" s="255">
        <f>インプット!$E$53</f>
        <v>0</v>
      </c>
      <c r="N58" s="255">
        <f>インプット!$E$53</f>
        <v>0</v>
      </c>
      <c r="O58" s="255">
        <f>インプット!$E$53</f>
        <v>0</v>
      </c>
      <c r="P58" s="255">
        <f>インプット!$E$53</f>
        <v>0</v>
      </c>
      <c r="Q58" s="255">
        <f>インプット!$E$53</f>
        <v>0</v>
      </c>
      <c r="R58" s="255">
        <f>インプット!$E$53</f>
        <v>0</v>
      </c>
      <c r="S58" s="255">
        <f>インプット!$E$53</f>
        <v>0</v>
      </c>
      <c r="T58" s="255">
        <f>インプット!$E$53</f>
        <v>0</v>
      </c>
      <c r="U58" s="255">
        <f>インプット!$E$53</f>
        <v>0</v>
      </c>
      <c r="V58" s="255">
        <f>インプット!$E$53</f>
        <v>0</v>
      </c>
      <c r="W58" s="255">
        <f>インプット!$E$53</f>
        <v>0</v>
      </c>
      <c r="X58" s="255">
        <f>インプット!$E$53</f>
        <v>0</v>
      </c>
      <c r="Y58" s="255">
        <f>インプット!$E$53</f>
        <v>0</v>
      </c>
      <c r="Z58" s="255">
        <f>インプット!$E$53</f>
        <v>0</v>
      </c>
      <c r="AA58" s="255">
        <f>インプット!$E$53</f>
        <v>0</v>
      </c>
      <c r="AB58" s="255">
        <f>インプット!$E$53</f>
        <v>0</v>
      </c>
      <c r="AC58" s="255">
        <f>インプット!$E$53</f>
        <v>0</v>
      </c>
      <c r="AD58" s="255">
        <f>インプット!$E$53</f>
        <v>0</v>
      </c>
      <c r="AE58" s="255">
        <f>インプット!$E$53</f>
        <v>0</v>
      </c>
      <c r="AF58" s="255">
        <f>インプット!$E$53</f>
        <v>0</v>
      </c>
      <c r="AG58" s="255">
        <f>インプット!$E$53</f>
        <v>0</v>
      </c>
      <c r="AH58" s="256">
        <f>インプット!$E$53</f>
        <v>0</v>
      </c>
      <c r="AI58" s="183">
        <f>SUM(E58:AH58)</f>
        <v>0</v>
      </c>
    </row>
    <row r="59" spans="1:35" x14ac:dyDescent="0.25">
      <c r="B59" s="96" t="str">
        <f t="shared" ref="B59:B64" si="18">B8</f>
        <v>ユーティリティー費用</v>
      </c>
      <c r="C59" s="103" t="s">
        <v>37</v>
      </c>
      <c r="D59" s="50"/>
      <c r="E59" s="127">
        <f>E8</f>
        <v>84281810.798385695</v>
      </c>
      <c r="F59" s="127">
        <f t="shared" ref="F59:AH59" si="19">F8</f>
        <v>84281810.798385695</v>
      </c>
      <c r="G59" s="127">
        <f t="shared" si="19"/>
        <v>84281810.798385695</v>
      </c>
      <c r="H59" s="127">
        <f t="shared" si="19"/>
        <v>84281810.798385695</v>
      </c>
      <c r="I59" s="127">
        <f t="shared" si="19"/>
        <v>84281810.798385695</v>
      </c>
      <c r="J59" s="127">
        <f t="shared" si="19"/>
        <v>84281810.798385695</v>
      </c>
      <c r="K59" s="127">
        <f t="shared" si="19"/>
        <v>84281810.798385695</v>
      </c>
      <c r="L59" s="127">
        <f t="shared" si="19"/>
        <v>84281810.798385695</v>
      </c>
      <c r="M59" s="127">
        <f t="shared" si="19"/>
        <v>84281810.798385695</v>
      </c>
      <c r="N59" s="127">
        <f t="shared" si="19"/>
        <v>84281810.798385695</v>
      </c>
      <c r="O59" s="127">
        <f t="shared" si="19"/>
        <v>84281810.798385695</v>
      </c>
      <c r="P59" s="127">
        <f t="shared" si="19"/>
        <v>84281810.798385695</v>
      </c>
      <c r="Q59" s="127">
        <f t="shared" si="19"/>
        <v>84281810.798385695</v>
      </c>
      <c r="R59" s="127">
        <f t="shared" si="19"/>
        <v>84281810.798385695</v>
      </c>
      <c r="S59" s="127">
        <f t="shared" si="19"/>
        <v>84281810.798385695</v>
      </c>
      <c r="T59" s="127">
        <f t="shared" si="19"/>
        <v>84281810.798385695</v>
      </c>
      <c r="U59" s="127">
        <f t="shared" si="19"/>
        <v>84281810.798385695</v>
      </c>
      <c r="V59" s="127">
        <f t="shared" si="19"/>
        <v>84281810.798385695</v>
      </c>
      <c r="W59" s="127">
        <f t="shared" si="19"/>
        <v>84281810.798385695</v>
      </c>
      <c r="X59" s="127">
        <f t="shared" si="19"/>
        <v>84281810.798385695</v>
      </c>
      <c r="Y59" s="127">
        <f t="shared" si="19"/>
        <v>84281810.798385695</v>
      </c>
      <c r="Z59" s="127">
        <f t="shared" si="19"/>
        <v>84281810.798385695</v>
      </c>
      <c r="AA59" s="127">
        <f t="shared" si="19"/>
        <v>84281810.798385695</v>
      </c>
      <c r="AB59" s="127">
        <f t="shared" si="19"/>
        <v>84281810.798385695</v>
      </c>
      <c r="AC59" s="127">
        <f t="shared" si="19"/>
        <v>84281810.798385695</v>
      </c>
      <c r="AD59" s="127">
        <f t="shared" si="19"/>
        <v>84281810.798385695</v>
      </c>
      <c r="AE59" s="127">
        <f t="shared" si="19"/>
        <v>84281810.798385695</v>
      </c>
      <c r="AF59" s="127">
        <f t="shared" si="19"/>
        <v>84281810.798385695</v>
      </c>
      <c r="AG59" s="127">
        <f t="shared" si="19"/>
        <v>84281810.798385695</v>
      </c>
      <c r="AH59" s="127">
        <f t="shared" si="19"/>
        <v>84281810.798385695</v>
      </c>
      <c r="AI59" s="183">
        <f t="shared" si="16"/>
        <v>2528454323.95157</v>
      </c>
    </row>
    <row r="60" spans="1:35" x14ac:dyDescent="0.25">
      <c r="B60" s="96" t="str">
        <f t="shared" si="18"/>
        <v>灰処理費用</v>
      </c>
      <c r="C60" s="103" t="s">
        <v>37</v>
      </c>
      <c r="D60" s="50"/>
      <c r="E60" s="127">
        <f>E9</f>
        <v>60201293.427418359</v>
      </c>
      <c r="F60" s="127">
        <f t="shared" ref="F60:AH60" si="20">F9</f>
        <v>60201293.427418359</v>
      </c>
      <c r="G60" s="127">
        <f t="shared" si="20"/>
        <v>60201293.427418359</v>
      </c>
      <c r="H60" s="127">
        <f t="shared" si="20"/>
        <v>60201293.427418359</v>
      </c>
      <c r="I60" s="127">
        <f t="shared" si="20"/>
        <v>60201293.427418359</v>
      </c>
      <c r="J60" s="127">
        <f t="shared" si="20"/>
        <v>60201293.427418359</v>
      </c>
      <c r="K60" s="127">
        <f t="shared" si="20"/>
        <v>60201293.427418359</v>
      </c>
      <c r="L60" s="127">
        <f t="shared" si="20"/>
        <v>60201293.427418359</v>
      </c>
      <c r="M60" s="127">
        <f t="shared" si="20"/>
        <v>60201293.427418359</v>
      </c>
      <c r="N60" s="127">
        <f t="shared" si="20"/>
        <v>60201293.427418359</v>
      </c>
      <c r="O60" s="127">
        <f t="shared" si="20"/>
        <v>60201293.427418359</v>
      </c>
      <c r="P60" s="127">
        <f t="shared" si="20"/>
        <v>60201293.427418359</v>
      </c>
      <c r="Q60" s="127">
        <f t="shared" si="20"/>
        <v>60201293.427418359</v>
      </c>
      <c r="R60" s="127">
        <f t="shared" si="20"/>
        <v>60201293.427418359</v>
      </c>
      <c r="S60" s="127">
        <f t="shared" si="20"/>
        <v>60201293.427418359</v>
      </c>
      <c r="T60" s="127">
        <f t="shared" si="20"/>
        <v>60201293.427418359</v>
      </c>
      <c r="U60" s="127">
        <f t="shared" si="20"/>
        <v>60201293.427418359</v>
      </c>
      <c r="V60" s="127">
        <f t="shared" si="20"/>
        <v>60201293.427418359</v>
      </c>
      <c r="W60" s="127">
        <f t="shared" si="20"/>
        <v>60201293.427418359</v>
      </c>
      <c r="X60" s="127">
        <f t="shared" si="20"/>
        <v>60201293.427418359</v>
      </c>
      <c r="Y60" s="127">
        <f t="shared" si="20"/>
        <v>60201293.427418359</v>
      </c>
      <c r="Z60" s="127">
        <f t="shared" si="20"/>
        <v>60201293.427418359</v>
      </c>
      <c r="AA60" s="127">
        <f t="shared" si="20"/>
        <v>60201293.427418359</v>
      </c>
      <c r="AB60" s="127">
        <f t="shared" si="20"/>
        <v>60201293.427418359</v>
      </c>
      <c r="AC60" s="127">
        <f t="shared" si="20"/>
        <v>60201293.427418359</v>
      </c>
      <c r="AD60" s="127">
        <f t="shared" si="20"/>
        <v>60201293.427418359</v>
      </c>
      <c r="AE60" s="127">
        <f t="shared" si="20"/>
        <v>60201293.427418359</v>
      </c>
      <c r="AF60" s="127">
        <f t="shared" si="20"/>
        <v>60201293.427418359</v>
      </c>
      <c r="AG60" s="127">
        <f t="shared" si="20"/>
        <v>60201293.427418359</v>
      </c>
      <c r="AH60" s="127">
        <f t="shared" si="20"/>
        <v>60201293.427418359</v>
      </c>
      <c r="AI60" s="183">
        <f t="shared" si="16"/>
        <v>1806038802.8225522</v>
      </c>
    </row>
    <row r="61" spans="1:35" s="19" customFormat="1" x14ac:dyDescent="0.25">
      <c r="A61" s="8"/>
      <c r="B61" s="96" t="str">
        <f t="shared" si="18"/>
        <v>＜その他・費目を入力＞</v>
      </c>
      <c r="C61" s="117" t="s">
        <v>37</v>
      </c>
      <c r="D61" s="339"/>
      <c r="E61" s="127">
        <f>E10</f>
        <v>0</v>
      </c>
      <c r="F61" s="127">
        <f t="shared" ref="F61:AH61" si="21">F10</f>
        <v>0</v>
      </c>
      <c r="G61" s="127">
        <f t="shared" si="21"/>
        <v>0</v>
      </c>
      <c r="H61" s="127">
        <f t="shared" si="21"/>
        <v>0</v>
      </c>
      <c r="I61" s="127">
        <f t="shared" si="21"/>
        <v>0</v>
      </c>
      <c r="J61" s="127">
        <f t="shared" si="21"/>
        <v>0</v>
      </c>
      <c r="K61" s="127">
        <f t="shared" si="21"/>
        <v>0</v>
      </c>
      <c r="L61" s="127">
        <f t="shared" si="21"/>
        <v>0</v>
      </c>
      <c r="M61" s="127">
        <f t="shared" si="21"/>
        <v>0</v>
      </c>
      <c r="N61" s="127">
        <f t="shared" si="21"/>
        <v>0</v>
      </c>
      <c r="O61" s="127">
        <f t="shared" si="21"/>
        <v>0</v>
      </c>
      <c r="P61" s="127">
        <f t="shared" si="21"/>
        <v>0</v>
      </c>
      <c r="Q61" s="127">
        <f t="shared" si="21"/>
        <v>0</v>
      </c>
      <c r="R61" s="127">
        <f t="shared" si="21"/>
        <v>0</v>
      </c>
      <c r="S61" s="127">
        <f t="shared" si="21"/>
        <v>0</v>
      </c>
      <c r="T61" s="127">
        <f t="shared" si="21"/>
        <v>0</v>
      </c>
      <c r="U61" s="127">
        <f t="shared" si="21"/>
        <v>0</v>
      </c>
      <c r="V61" s="127">
        <f t="shared" si="21"/>
        <v>0</v>
      </c>
      <c r="W61" s="127">
        <f t="shared" si="21"/>
        <v>0</v>
      </c>
      <c r="X61" s="127">
        <f t="shared" si="21"/>
        <v>0</v>
      </c>
      <c r="Y61" s="127">
        <f t="shared" si="21"/>
        <v>0</v>
      </c>
      <c r="Z61" s="127">
        <f t="shared" si="21"/>
        <v>0</v>
      </c>
      <c r="AA61" s="127">
        <f t="shared" si="21"/>
        <v>0</v>
      </c>
      <c r="AB61" s="127">
        <f t="shared" si="21"/>
        <v>0</v>
      </c>
      <c r="AC61" s="127">
        <f t="shared" si="21"/>
        <v>0</v>
      </c>
      <c r="AD61" s="127">
        <f t="shared" si="21"/>
        <v>0</v>
      </c>
      <c r="AE61" s="127">
        <f t="shared" si="21"/>
        <v>0</v>
      </c>
      <c r="AF61" s="127">
        <f t="shared" si="21"/>
        <v>0</v>
      </c>
      <c r="AG61" s="127">
        <f t="shared" si="21"/>
        <v>0</v>
      </c>
      <c r="AH61" s="127">
        <f t="shared" si="21"/>
        <v>0</v>
      </c>
      <c r="AI61" s="183">
        <f t="shared" si="16"/>
        <v>0</v>
      </c>
    </row>
    <row r="62" spans="1:35" x14ac:dyDescent="0.25">
      <c r="B62" s="96" t="str">
        <f t="shared" si="18"/>
        <v>＜その他・費目を入力＞</v>
      </c>
      <c r="C62" s="34" t="s">
        <v>11</v>
      </c>
      <c r="D62" s="105"/>
      <c r="E62" s="127">
        <f>E11</f>
        <v>0</v>
      </c>
      <c r="F62" s="127">
        <f t="shared" ref="F62:AH62" si="22">F11</f>
        <v>0</v>
      </c>
      <c r="G62" s="127">
        <f t="shared" si="22"/>
        <v>0</v>
      </c>
      <c r="H62" s="127">
        <f t="shared" si="22"/>
        <v>0</v>
      </c>
      <c r="I62" s="127">
        <f t="shared" si="22"/>
        <v>0</v>
      </c>
      <c r="J62" s="127">
        <f t="shared" si="22"/>
        <v>0</v>
      </c>
      <c r="K62" s="127">
        <f t="shared" si="22"/>
        <v>0</v>
      </c>
      <c r="L62" s="127">
        <f t="shared" si="22"/>
        <v>0</v>
      </c>
      <c r="M62" s="127">
        <f t="shared" si="22"/>
        <v>0</v>
      </c>
      <c r="N62" s="127">
        <f t="shared" si="22"/>
        <v>0</v>
      </c>
      <c r="O62" s="127">
        <f t="shared" si="22"/>
        <v>0</v>
      </c>
      <c r="P62" s="127">
        <f t="shared" si="22"/>
        <v>0</v>
      </c>
      <c r="Q62" s="127">
        <f t="shared" si="22"/>
        <v>0</v>
      </c>
      <c r="R62" s="127">
        <f t="shared" si="22"/>
        <v>0</v>
      </c>
      <c r="S62" s="127">
        <f t="shared" si="22"/>
        <v>0</v>
      </c>
      <c r="T62" s="127">
        <f t="shared" si="22"/>
        <v>0</v>
      </c>
      <c r="U62" s="127">
        <f t="shared" si="22"/>
        <v>0</v>
      </c>
      <c r="V62" s="127">
        <f t="shared" si="22"/>
        <v>0</v>
      </c>
      <c r="W62" s="127">
        <f t="shared" si="22"/>
        <v>0</v>
      </c>
      <c r="X62" s="127">
        <f t="shared" si="22"/>
        <v>0</v>
      </c>
      <c r="Y62" s="127">
        <f t="shared" si="22"/>
        <v>0</v>
      </c>
      <c r="Z62" s="127">
        <f t="shared" si="22"/>
        <v>0</v>
      </c>
      <c r="AA62" s="127">
        <f t="shared" si="22"/>
        <v>0</v>
      </c>
      <c r="AB62" s="127">
        <f t="shared" si="22"/>
        <v>0</v>
      </c>
      <c r="AC62" s="127">
        <f t="shared" si="22"/>
        <v>0</v>
      </c>
      <c r="AD62" s="127">
        <f t="shared" si="22"/>
        <v>0</v>
      </c>
      <c r="AE62" s="127">
        <f t="shared" si="22"/>
        <v>0</v>
      </c>
      <c r="AF62" s="127">
        <f t="shared" si="22"/>
        <v>0</v>
      </c>
      <c r="AG62" s="127">
        <f t="shared" si="22"/>
        <v>0</v>
      </c>
      <c r="AH62" s="127">
        <f t="shared" si="22"/>
        <v>0</v>
      </c>
      <c r="AI62" s="183">
        <f t="shared" si="16"/>
        <v>0</v>
      </c>
    </row>
    <row r="63" spans="1:35" x14ac:dyDescent="0.25">
      <c r="B63" s="96" t="str">
        <f t="shared" si="18"/>
        <v>＜その他・費目を入力＞</v>
      </c>
      <c r="C63" s="103" t="s">
        <v>37</v>
      </c>
      <c r="D63" s="105"/>
      <c r="E63" s="127">
        <f>E12*E$5/インプット!$E$12/インプット!$E$13</f>
        <v>0</v>
      </c>
      <c r="F63" s="127">
        <f t="shared" ref="F63:AH63" si="23">F12*F$5</f>
        <v>0</v>
      </c>
      <c r="G63" s="127">
        <f t="shared" si="23"/>
        <v>0</v>
      </c>
      <c r="H63" s="127">
        <f t="shared" si="23"/>
        <v>0</v>
      </c>
      <c r="I63" s="127">
        <f t="shared" si="23"/>
        <v>0</v>
      </c>
      <c r="J63" s="127">
        <f t="shared" si="23"/>
        <v>0</v>
      </c>
      <c r="K63" s="127">
        <f t="shared" si="23"/>
        <v>0</v>
      </c>
      <c r="L63" s="127">
        <f t="shared" si="23"/>
        <v>0</v>
      </c>
      <c r="M63" s="127">
        <f t="shared" si="23"/>
        <v>0</v>
      </c>
      <c r="N63" s="127">
        <f t="shared" si="23"/>
        <v>0</v>
      </c>
      <c r="O63" s="127">
        <f t="shared" si="23"/>
        <v>0</v>
      </c>
      <c r="P63" s="127">
        <f t="shared" si="23"/>
        <v>0</v>
      </c>
      <c r="Q63" s="127">
        <f t="shared" si="23"/>
        <v>0</v>
      </c>
      <c r="R63" s="127">
        <f t="shared" si="23"/>
        <v>0</v>
      </c>
      <c r="S63" s="127">
        <f t="shared" si="23"/>
        <v>0</v>
      </c>
      <c r="T63" s="127">
        <f t="shared" si="23"/>
        <v>0</v>
      </c>
      <c r="U63" s="127">
        <f t="shared" si="23"/>
        <v>0</v>
      </c>
      <c r="V63" s="127">
        <f t="shared" si="23"/>
        <v>0</v>
      </c>
      <c r="W63" s="127">
        <f t="shared" si="23"/>
        <v>0</v>
      </c>
      <c r="X63" s="127">
        <f t="shared" si="23"/>
        <v>0</v>
      </c>
      <c r="Y63" s="127">
        <f t="shared" si="23"/>
        <v>0</v>
      </c>
      <c r="Z63" s="127">
        <f t="shared" si="23"/>
        <v>0</v>
      </c>
      <c r="AA63" s="127">
        <f t="shared" si="23"/>
        <v>0</v>
      </c>
      <c r="AB63" s="127">
        <f t="shared" si="23"/>
        <v>0</v>
      </c>
      <c r="AC63" s="127">
        <f t="shared" si="23"/>
        <v>0</v>
      </c>
      <c r="AD63" s="127">
        <f t="shared" si="23"/>
        <v>0</v>
      </c>
      <c r="AE63" s="127">
        <f t="shared" si="23"/>
        <v>0</v>
      </c>
      <c r="AF63" s="127">
        <f t="shared" si="23"/>
        <v>0</v>
      </c>
      <c r="AG63" s="127">
        <f t="shared" si="23"/>
        <v>0</v>
      </c>
      <c r="AH63" s="127">
        <f t="shared" si="23"/>
        <v>0</v>
      </c>
      <c r="AI63" s="183">
        <f t="shared" si="16"/>
        <v>0</v>
      </c>
    </row>
    <row r="64" spans="1:35" x14ac:dyDescent="0.25">
      <c r="B64" s="96" t="str">
        <f t="shared" si="18"/>
        <v>＜その他・費目を入力＞</v>
      </c>
      <c r="C64" s="117" t="s">
        <v>37</v>
      </c>
      <c r="D64" s="105"/>
      <c r="E64" s="127">
        <f>E13*E$5/インプット!$E$12/インプット!$E$13</f>
        <v>0</v>
      </c>
      <c r="F64" s="127">
        <f t="shared" ref="F64:AH64" si="24">F13*F$5</f>
        <v>0</v>
      </c>
      <c r="G64" s="127">
        <f t="shared" si="24"/>
        <v>0</v>
      </c>
      <c r="H64" s="127">
        <f t="shared" si="24"/>
        <v>0</v>
      </c>
      <c r="I64" s="127">
        <f t="shared" si="24"/>
        <v>0</v>
      </c>
      <c r="J64" s="127">
        <f t="shared" si="24"/>
        <v>0</v>
      </c>
      <c r="K64" s="127">
        <f t="shared" si="24"/>
        <v>0</v>
      </c>
      <c r="L64" s="127">
        <f t="shared" si="24"/>
        <v>0</v>
      </c>
      <c r="M64" s="127">
        <f t="shared" si="24"/>
        <v>0</v>
      </c>
      <c r="N64" s="127">
        <f t="shared" si="24"/>
        <v>0</v>
      </c>
      <c r="O64" s="127">
        <f t="shared" si="24"/>
        <v>0</v>
      </c>
      <c r="P64" s="127">
        <f t="shared" si="24"/>
        <v>0</v>
      </c>
      <c r="Q64" s="127">
        <f t="shared" si="24"/>
        <v>0</v>
      </c>
      <c r="R64" s="127">
        <f t="shared" si="24"/>
        <v>0</v>
      </c>
      <c r="S64" s="127">
        <f t="shared" si="24"/>
        <v>0</v>
      </c>
      <c r="T64" s="127">
        <f t="shared" si="24"/>
        <v>0</v>
      </c>
      <c r="U64" s="127">
        <f t="shared" si="24"/>
        <v>0</v>
      </c>
      <c r="V64" s="127">
        <f t="shared" si="24"/>
        <v>0</v>
      </c>
      <c r="W64" s="127">
        <f t="shared" si="24"/>
        <v>0</v>
      </c>
      <c r="X64" s="127">
        <f t="shared" si="24"/>
        <v>0</v>
      </c>
      <c r="Y64" s="127">
        <f t="shared" si="24"/>
        <v>0</v>
      </c>
      <c r="Z64" s="127">
        <f t="shared" si="24"/>
        <v>0</v>
      </c>
      <c r="AA64" s="127">
        <f t="shared" si="24"/>
        <v>0</v>
      </c>
      <c r="AB64" s="127">
        <f t="shared" si="24"/>
        <v>0</v>
      </c>
      <c r="AC64" s="127">
        <f t="shared" si="24"/>
        <v>0</v>
      </c>
      <c r="AD64" s="127">
        <f t="shared" si="24"/>
        <v>0</v>
      </c>
      <c r="AE64" s="127">
        <f t="shared" si="24"/>
        <v>0</v>
      </c>
      <c r="AF64" s="127">
        <f t="shared" si="24"/>
        <v>0</v>
      </c>
      <c r="AG64" s="127">
        <f t="shared" si="24"/>
        <v>0</v>
      </c>
      <c r="AH64" s="127">
        <f t="shared" si="24"/>
        <v>0</v>
      </c>
      <c r="AI64" s="183">
        <f t="shared" si="16"/>
        <v>0</v>
      </c>
    </row>
    <row r="65" spans="2:35" x14ac:dyDescent="0.25">
      <c r="B65" s="51" t="s">
        <v>15</v>
      </c>
      <c r="C65" s="43" t="s">
        <v>11</v>
      </c>
      <c r="D65" s="52"/>
      <c r="E65" s="128">
        <f>SUM(E66:E70)</f>
        <v>355202960.34965414</v>
      </c>
      <c r="F65" s="128">
        <f>SUM(F66:F70)</f>
        <v>355202960.34965414</v>
      </c>
      <c r="G65" s="128">
        <f t="shared" ref="G65:AH65" si="25">SUM(G66:G70)</f>
        <v>355202960.34965414</v>
      </c>
      <c r="H65" s="128">
        <f t="shared" si="25"/>
        <v>355202960.34965414</v>
      </c>
      <c r="I65" s="128">
        <f t="shared" si="25"/>
        <v>355202960.34965414</v>
      </c>
      <c r="J65" s="128">
        <f t="shared" si="25"/>
        <v>355202960.34965414</v>
      </c>
      <c r="K65" s="128">
        <f t="shared" si="25"/>
        <v>355202960.34965414</v>
      </c>
      <c r="L65" s="128">
        <f t="shared" si="25"/>
        <v>355202960.34965414</v>
      </c>
      <c r="M65" s="128">
        <f t="shared" si="25"/>
        <v>355202960.34965414</v>
      </c>
      <c r="N65" s="128">
        <f t="shared" si="25"/>
        <v>355202960.34965414</v>
      </c>
      <c r="O65" s="128">
        <f t="shared" si="25"/>
        <v>355202960.34965414</v>
      </c>
      <c r="P65" s="128">
        <f t="shared" si="25"/>
        <v>355202960.34965414</v>
      </c>
      <c r="Q65" s="128">
        <f t="shared" si="25"/>
        <v>355202960.34965414</v>
      </c>
      <c r="R65" s="128">
        <f t="shared" si="25"/>
        <v>355202960.34965414</v>
      </c>
      <c r="S65" s="128">
        <f t="shared" si="25"/>
        <v>355202960.34965414</v>
      </c>
      <c r="T65" s="128">
        <f t="shared" si="25"/>
        <v>355202960.34965414</v>
      </c>
      <c r="U65" s="128">
        <f t="shared" si="25"/>
        <v>355202960.34965414</v>
      </c>
      <c r="V65" s="128">
        <f t="shared" si="25"/>
        <v>355202960.34965414</v>
      </c>
      <c r="W65" s="128">
        <f t="shared" si="25"/>
        <v>355202960.34965414</v>
      </c>
      <c r="X65" s="128">
        <f t="shared" si="25"/>
        <v>355202960.34965414</v>
      </c>
      <c r="Y65" s="128">
        <f t="shared" si="25"/>
        <v>355202960.34965414</v>
      </c>
      <c r="Z65" s="128">
        <f t="shared" si="25"/>
        <v>355202960.34965414</v>
      </c>
      <c r="AA65" s="128">
        <f t="shared" si="25"/>
        <v>355202960.34965414</v>
      </c>
      <c r="AB65" s="128">
        <f t="shared" si="25"/>
        <v>355202960.34965414</v>
      </c>
      <c r="AC65" s="128">
        <f t="shared" si="25"/>
        <v>355202960.34965414</v>
      </c>
      <c r="AD65" s="128">
        <f t="shared" si="25"/>
        <v>355202960.34965414</v>
      </c>
      <c r="AE65" s="128">
        <f t="shared" si="25"/>
        <v>355202960.34965414</v>
      </c>
      <c r="AF65" s="128">
        <f t="shared" si="25"/>
        <v>355202960.34965414</v>
      </c>
      <c r="AG65" s="128">
        <f t="shared" si="25"/>
        <v>355202960.34965414</v>
      </c>
      <c r="AH65" s="129">
        <f t="shared" si="25"/>
        <v>355202960.34965414</v>
      </c>
      <c r="AI65" s="45">
        <f t="shared" ref="AI65:AI71" si="26">SUM(E65:AH65)</f>
        <v>10656088810.48962</v>
      </c>
    </row>
    <row r="66" spans="2:35" x14ac:dyDescent="0.25">
      <c r="B66" s="102" t="str">
        <f>インプット!B67</f>
        <v>メンテナンス費</v>
      </c>
      <c r="C66" s="34" t="s">
        <v>11</v>
      </c>
      <c r="D66" s="105"/>
      <c r="E66" s="353">
        <f>インプット!$E67</f>
        <v>258880890.86578479</v>
      </c>
      <c r="F66" s="353">
        <f>インプット!$E67</f>
        <v>258880890.86578479</v>
      </c>
      <c r="G66" s="353">
        <f>インプット!$E67</f>
        <v>258880890.86578479</v>
      </c>
      <c r="H66" s="353">
        <f>インプット!$E67</f>
        <v>258880890.86578479</v>
      </c>
      <c r="I66" s="353">
        <f>インプット!$E67</f>
        <v>258880890.86578479</v>
      </c>
      <c r="J66" s="353">
        <f>インプット!$E67</f>
        <v>258880890.86578479</v>
      </c>
      <c r="K66" s="353">
        <f>インプット!$E67</f>
        <v>258880890.86578479</v>
      </c>
      <c r="L66" s="353">
        <f>インプット!$E67</f>
        <v>258880890.86578479</v>
      </c>
      <c r="M66" s="353">
        <f>インプット!$E67</f>
        <v>258880890.86578479</v>
      </c>
      <c r="N66" s="353">
        <f>インプット!$E67</f>
        <v>258880890.86578479</v>
      </c>
      <c r="O66" s="353">
        <f>インプット!$E67</f>
        <v>258880890.86578479</v>
      </c>
      <c r="P66" s="353">
        <f>インプット!$E67</f>
        <v>258880890.86578479</v>
      </c>
      <c r="Q66" s="353">
        <f>インプット!$E67</f>
        <v>258880890.86578479</v>
      </c>
      <c r="R66" s="353">
        <f>インプット!$E67</f>
        <v>258880890.86578479</v>
      </c>
      <c r="S66" s="353">
        <f>インプット!$E67</f>
        <v>258880890.86578479</v>
      </c>
      <c r="T66" s="353">
        <f>インプット!$E67</f>
        <v>258880890.86578479</v>
      </c>
      <c r="U66" s="353">
        <f>インプット!$E67</f>
        <v>258880890.86578479</v>
      </c>
      <c r="V66" s="353">
        <f>インプット!$E67</f>
        <v>258880890.86578479</v>
      </c>
      <c r="W66" s="353">
        <f>インプット!$E67</f>
        <v>258880890.86578479</v>
      </c>
      <c r="X66" s="353">
        <f>インプット!$E67</f>
        <v>258880890.86578479</v>
      </c>
      <c r="Y66" s="353">
        <f>インプット!$E67</f>
        <v>258880890.86578479</v>
      </c>
      <c r="Z66" s="353">
        <f>インプット!$E67</f>
        <v>258880890.86578479</v>
      </c>
      <c r="AA66" s="353">
        <f>インプット!$E67</f>
        <v>258880890.86578479</v>
      </c>
      <c r="AB66" s="353">
        <f>インプット!$E67</f>
        <v>258880890.86578479</v>
      </c>
      <c r="AC66" s="353">
        <f>インプット!$E67</f>
        <v>258880890.86578479</v>
      </c>
      <c r="AD66" s="353">
        <f>インプット!$E67</f>
        <v>258880890.86578479</v>
      </c>
      <c r="AE66" s="353">
        <f>インプット!$E67</f>
        <v>258880890.86578479</v>
      </c>
      <c r="AF66" s="353">
        <f>インプット!$E67</f>
        <v>258880890.86578479</v>
      </c>
      <c r="AG66" s="353">
        <f>インプット!$E67</f>
        <v>258880890.86578479</v>
      </c>
      <c r="AH66" s="353">
        <f>インプット!$E67</f>
        <v>258880890.86578479</v>
      </c>
      <c r="AI66" s="49">
        <f t="shared" si="26"/>
        <v>7766426725.9735413</v>
      </c>
    </row>
    <row r="67" spans="2:35" x14ac:dyDescent="0.25">
      <c r="B67" s="102" t="str">
        <f>インプット!B66</f>
        <v>人件費</v>
      </c>
      <c r="C67" s="34" t="s">
        <v>11</v>
      </c>
      <c r="D67" s="105"/>
      <c r="E67" s="353">
        <f>インプット!$E66</f>
        <v>72241552.11290203</v>
      </c>
      <c r="F67" s="353">
        <f>インプット!$E66</f>
        <v>72241552.11290203</v>
      </c>
      <c r="G67" s="353">
        <f>インプット!$E66</f>
        <v>72241552.11290203</v>
      </c>
      <c r="H67" s="353">
        <f>インプット!$E66</f>
        <v>72241552.11290203</v>
      </c>
      <c r="I67" s="353">
        <f>インプット!$E66</f>
        <v>72241552.11290203</v>
      </c>
      <c r="J67" s="353">
        <f>インプット!$E66</f>
        <v>72241552.11290203</v>
      </c>
      <c r="K67" s="353">
        <f>インプット!$E66</f>
        <v>72241552.11290203</v>
      </c>
      <c r="L67" s="353">
        <f>インプット!$E66</f>
        <v>72241552.11290203</v>
      </c>
      <c r="M67" s="353">
        <f>インプット!$E66</f>
        <v>72241552.11290203</v>
      </c>
      <c r="N67" s="353">
        <f>インプット!$E66</f>
        <v>72241552.11290203</v>
      </c>
      <c r="O67" s="353">
        <f>インプット!$E66</f>
        <v>72241552.11290203</v>
      </c>
      <c r="P67" s="353">
        <f>インプット!$E66</f>
        <v>72241552.11290203</v>
      </c>
      <c r="Q67" s="353">
        <f>インプット!$E66</f>
        <v>72241552.11290203</v>
      </c>
      <c r="R67" s="353">
        <f>インプット!$E66</f>
        <v>72241552.11290203</v>
      </c>
      <c r="S67" s="353">
        <f>インプット!$E66</f>
        <v>72241552.11290203</v>
      </c>
      <c r="T67" s="353">
        <f>インプット!$E66</f>
        <v>72241552.11290203</v>
      </c>
      <c r="U67" s="353">
        <f>インプット!$E66</f>
        <v>72241552.11290203</v>
      </c>
      <c r="V67" s="353">
        <f>インプット!$E66</f>
        <v>72241552.11290203</v>
      </c>
      <c r="W67" s="353">
        <f>インプット!$E66</f>
        <v>72241552.11290203</v>
      </c>
      <c r="X67" s="353">
        <f>インプット!$E66</f>
        <v>72241552.11290203</v>
      </c>
      <c r="Y67" s="353">
        <f>インプット!$E66</f>
        <v>72241552.11290203</v>
      </c>
      <c r="Z67" s="353">
        <f>インプット!$E66</f>
        <v>72241552.11290203</v>
      </c>
      <c r="AA67" s="353">
        <f>インプット!$E66</f>
        <v>72241552.11290203</v>
      </c>
      <c r="AB67" s="353">
        <f>インプット!$E66</f>
        <v>72241552.11290203</v>
      </c>
      <c r="AC67" s="353">
        <f>インプット!$E66</f>
        <v>72241552.11290203</v>
      </c>
      <c r="AD67" s="353">
        <f>インプット!$E66</f>
        <v>72241552.11290203</v>
      </c>
      <c r="AE67" s="353">
        <f>インプット!$E66</f>
        <v>72241552.11290203</v>
      </c>
      <c r="AF67" s="353">
        <f>インプット!$E66</f>
        <v>72241552.11290203</v>
      </c>
      <c r="AG67" s="353">
        <f>インプット!$E66</f>
        <v>72241552.11290203</v>
      </c>
      <c r="AH67" s="353">
        <f>インプット!$E66</f>
        <v>72241552.11290203</v>
      </c>
      <c r="AI67" s="49">
        <f t="shared" si="26"/>
        <v>2167246563.3870597</v>
      </c>
    </row>
    <row r="68" spans="2:35" x14ac:dyDescent="0.25">
      <c r="B68" s="102" t="str">
        <f>インプット!B68</f>
        <v>一般管理費</v>
      </c>
      <c r="C68" s="34" t="s">
        <v>11</v>
      </c>
      <c r="D68" s="105"/>
      <c r="E68" s="353">
        <f>インプット!$E68</f>
        <v>24080517.37096734</v>
      </c>
      <c r="F68" s="353">
        <f>インプット!$E68</f>
        <v>24080517.37096734</v>
      </c>
      <c r="G68" s="353">
        <f>インプット!$E68</f>
        <v>24080517.37096734</v>
      </c>
      <c r="H68" s="353">
        <f>インプット!$E68</f>
        <v>24080517.37096734</v>
      </c>
      <c r="I68" s="353">
        <f>インプット!$E68</f>
        <v>24080517.37096734</v>
      </c>
      <c r="J68" s="353">
        <f>インプット!$E68</f>
        <v>24080517.37096734</v>
      </c>
      <c r="K68" s="353">
        <f>インプット!$E68</f>
        <v>24080517.37096734</v>
      </c>
      <c r="L68" s="353">
        <f>インプット!$E68</f>
        <v>24080517.37096734</v>
      </c>
      <c r="M68" s="353">
        <f>インプット!$E68</f>
        <v>24080517.37096734</v>
      </c>
      <c r="N68" s="353">
        <f>インプット!$E68</f>
        <v>24080517.37096734</v>
      </c>
      <c r="O68" s="353">
        <f>インプット!$E68</f>
        <v>24080517.37096734</v>
      </c>
      <c r="P68" s="353">
        <f>インプット!$E68</f>
        <v>24080517.37096734</v>
      </c>
      <c r="Q68" s="353">
        <f>インプット!$E68</f>
        <v>24080517.37096734</v>
      </c>
      <c r="R68" s="353">
        <f>インプット!$E68</f>
        <v>24080517.37096734</v>
      </c>
      <c r="S68" s="353">
        <f>インプット!$E68</f>
        <v>24080517.37096734</v>
      </c>
      <c r="T68" s="353">
        <f>インプット!$E68</f>
        <v>24080517.37096734</v>
      </c>
      <c r="U68" s="353">
        <f>インプット!$E68</f>
        <v>24080517.37096734</v>
      </c>
      <c r="V68" s="353">
        <f>インプット!$E68</f>
        <v>24080517.37096734</v>
      </c>
      <c r="W68" s="353">
        <f>インプット!$E68</f>
        <v>24080517.37096734</v>
      </c>
      <c r="X68" s="353">
        <f>インプット!$E68</f>
        <v>24080517.37096734</v>
      </c>
      <c r="Y68" s="353">
        <f>インプット!$E68</f>
        <v>24080517.37096734</v>
      </c>
      <c r="Z68" s="353">
        <f>インプット!$E68</f>
        <v>24080517.37096734</v>
      </c>
      <c r="AA68" s="353">
        <f>インプット!$E68</f>
        <v>24080517.37096734</v>
      </c>
      <c r="AB68" s="353">
        <f>インプット!$E68</f>
        <v>24080517.37096734</v>
      </c>
      <c r="AC68" s="353">
        <f>インプット!$E68</f>
        <v>24080517.37096734</v>
      </c>
      <c r="AD68" s="353">
        <f>インプット!$E68</f>
        <v>24080517.37096734</v>
      </c>
      <c r="AE68" s="353">
        <f>インプット!$E68</f>
        <v>24080517.37096734</v>
      </c>
      <c r="AF68" s="353">
        <f>インプット!$E68</f>
        <v>24080517.37096734</v>
      </c>
      <c r="AG68" s="353">
        <f>インプット!$E68</f>
        <v>24080517.37096734</v>
      </c>
      <c r="AH68" s="353">
        <f>インプット!$E68</f>
        <v>24080517.37096734</v>
      </c>
      <c r="AI68" s="49">
        <f t="shared" si="26"/>
        <v>722415521.12902033</v>
      </c>
    </row>
    <row r="69" spans="2:35" x14ac:dyDescent="0.25">
      <c r="B69" s="102" t="str">
        <f>インプット!B69</f>
        <v>＜その他・費目を入力＞</v>
      </c>
      <c r="C69" s="34" t="s">
        <v>11</v>
      </c>
      <c r="D69" s="105"/>
      <c r="E69" s="353">
        <f>インプット!$E69</f>
        <v>0</v>
      </c>
      <c r="F69" s="353">
        <f>インプット!$E69</f>
        <v>0</v>
      </c>
      <c r="G69" s="353">
        <f>インプット!$E69</f>
        <v>0</v>
      </c>
      <c r="H69" s="353">
        <f>インプット!$E69</f>
        <v>0</v>
      </c>
      <c r="I69" s="353">
        <f>インプット!$E69</f>
        <v>0</v>
      </c>
      <c r="J69" s="353">
        <f>インプット!$E69</f>
        <v>0</v>
      </c>
      <c r="K69" s="353">
        <f>インプット!$E69</f>
        <v>0</v>
      </c>
      <c r="L69" s="353">
        <f>インプット!$E69</f>
        <v>0</v>
      </c>
      <c r="M69" s="353">
        <f>インプット!$E69</f>
        <v>0</v>
      </c>
      <c r="N69" s="353">
        <f>インプット!$E69</f>
        <v>0</v>
      </c>
      <c r="O69" s="353">
        <f>インプット!$E69</f>
        <v>0</v>
      </c>
      <c r="P69" s="353">
        <f>インプット!$E69</f>
        <v>0</v>
      </c>
      <c r="Q69" s="353">
        <f>インプット!$E69</f>
        <v>0</v>
      </c>
      <c r="R69" s="353">
        <f>インプット!$E69</f>
        <v>0</v>
      </c>
      <c r="S69" s="353">
        <f>インプット!$E69</f>
        <v>0</v>
      </c>
      <c r="T69" s="353">
        <f>インプット!$E69</f>
        <v>0</v>
      </c>
      <c r="U69" s="353">
        <f>インプット!$E69</f>
        <v>0</v>
      </c>
      <c r="V69" s="353">
        <f>インプット!$E69</f>
        <v>0</v>
      </c>
      <c r="W69" s="353">
        <f>インプット!$E69</f>
        <v>0</v>
      </c>
      <c r="X69" s="353">
        <f>インプット!$E69</f>
        <v>0</v>
      </c>
      <c r="Y69" s="353">
        <f>インプット!$E69</f>
        <v>0</v>
      </c>
      <c r="Z69" s="353">
        <f>インプット!$E69</f>
        <v>0</v>
      </c>
      <c r="AA69" s="353">
        <f>インプット!$E69</f>
        <v>0</v>
      </c>
      <c r="AB69" s="353">
        <f>インプット!$E69</f>
        <v>0</v>
      </c>
      <c r="AC69" s="353">
        <f>インプット!$E69</f>
        <v>0</v>
      </c>
      <c r="AD69" s="353">
        <f>インプット!$E69</f>
        <v>0</v>
      </c>
      <c r="AE69" s="353">
        <f>インプット!$E69</f>
        <v>0</v>
      </c>
      <c r="AF69" s="353">
        <f>インプット!$E69</f>
        <v>0</v>
      </c>
      <c r="AG69" s="353">
        <f>インプット!$E69</f>
        <v>0</v>
      </c>
      <c r="AH69" s="353">
        <f>インプット!$E69</f>
        <v>0</v>
      </c>
      <c r="AI69" s="49">
        <f t="shared" si="26"/>
        <v>0</v>
      </c>
    </row>
    <row r="70" spans="2:35" x14ac:dyDescent="0.25">
      <c r="B70" s="102" t="str">
        <f>インプット!B70</f>
        <v>＜その他・費目を入力＞</v>
      </c>
      <c r="C70" s="34" t="s">
        <v>11</v>
      </c>
      <c r="D70" s="105"/>
      <c r="E70" s="353">
        <f>インプット!$E70</f>
        <v>0</v>
      </c>
      <c r="F70" s="353">
        <f>インプット!$E70</f>
        <v>0</v>
      </c>
      <c r="G70" s="353">
        <f>インプット!$E70</f>
        <v>0</v>
      </c>
      <c r="H70" s="353">
        <f>インプット!$E70</f>
        <v>0</v>
      </c>
      <c r="I70" s="353">
        <f>インプット!$E70</f>
        <v>0</v>
      </c>
      <c r="J70" s="353">
        <f>インプット!$E70</f>
        <v>0</v>
      </c>
      <c r="K70" s="353">
        <f>インプット!$E70</f>
        <v>0</v>
      </c>
      <c r="L70" s="353">
        <f>インプット!$E70</f>
        <v>0</v>
      </c>
      <c r="M70" s="353">
        <f>インプット!$E70</f>
        <v>0</v>
      </c>
      <c r="N70" s="353">
        <f>インプット!$E70</f>
        <v>0</v>
      </c>
      <c r="O70" s="353">
        <f>インプット!$E70</f>
        <v>0</v>
      </c>
      <c r="P70" s="353">
        <f>インプット!$E70</f>
        <v>0</v>
      </c>
      <c r="Q70" s="353">
        <f>インプット!$E70</f>
        <v>0</v>
      </c>
      <c r="R70" s="353">
        <f>インプット!$E70</f>
        <v>0</v>
      </c>
      <c r="S70" s="353">
        <f>インプット!$E70</f>
        <v>0</v>
      </c>
      <c r="T70" s="353">
        <f>インプット!$E70</f>
        <v>0</v>
      </c>
      <c r="U70" s="353">
        <f>インプット!$E70</f>
        <v>0</v>
      </c>
      <c r="V70" s="353">
        <f>インプット!$E70</f>
        <v>0</v>
      </c>
      <c r="W70" s="353">
        <f>インプット!$E70</f>
        <v>0</v>
      </c>
      <c r="X70" s="353">
        <f>インプット!$E70</f>
        <v>0</v>
      </c>
      <c r="Y70" s="353">
        <f>インプット!$E70</f>
        <v>0</v>
      </c>
      <c r="Z70" s="353">
        <f>インプット!$E70</f>
        <v>0</v>
      </c>
      <c r="AA70" s="353">
        <f>インプット!$E70</f>
        <v>0</v>
      </c>
      <c r="AB70" s="353">
        <f>インプット!$E70</f>
        <v>0</v>
      </c>
      <c r="AC70" s="353">
        <f>インプット!$E70</f>
        <v>0</v>
      </c>
      <c r="AD70" s="353">
        <f>インプット!$E70</f>
        <v>0</v>
      </c>
      <c r="AE70" s="353">
        <f>インプット!$E70</f>
        <v>0</v>
      </c>
      <c r="AF70" s="353">
        <f>インプット!$E70</f>
        <v>0</v>
      </c>
      <c r="AG70" s="353">
        <f>インプット!$E70</f>
        <v>0</v>
      </c>
      <c r="AH70" s="353">
        <f>インプット!$E70</f>
        <v>0</v>
      </c>
      <c r="AI70" s="49">
        <f t="shared" si="26"/>
        <v>0</v>
      </c>
    </row>
    <row r="71" spans="2:35" x14ac:dyDescent="0.25">
      <c r="B71" s="38" t="s">
        <v>48</v>
      </c>
      <c r="C71" s="39" t="s">
        <v>16</v>
      </c>
      <c r="D71" s="40"/>
      <c r="E71" s="123">
        <f>SUM(E43,E65)</f>
        <v>994686064.57545829</v>
      </c>
      <c r="F71" s="123">
        <f t="shared" ref="F71:AH71" si="27">SUM(F43,F65)</f>
        <v>994686064.57545829</v>
      </c>
      <c r="G71" s="123">
        <f t="shared" si="27"/>
        <v>994686064.57545829</v>
      </c>
      <c r="H71" s="123">
        <f t="shared" si="27"/>
        <v>994686064.57545829</v>
      </c>
      <c r="I71" s="123">
        <f t="shared" si="27"/>
        <v>994686064.57545829</v>
      </c>
      <c r="J71" s="123">
        <f t="shared" si="27"/>
        <v>994686064.57545829</v>
      </c>
      <c r="K71" s="123">
        <f t="shared" si="27"/>
        <v>994686064.57545829</v>
      </c>
      <c r="L71" s="123">
        <f t="shared" si="27"/>
        <v>994686064.57545829</v>
      </c>
      <c r="M71" s="123">
        <f t="shared" si="27"/>
        <v>994686064.57545829</v>
      </c>
      <c r="N71" s="123">
        <f t="shared" si="27"/>
        <v>994686064.57545829</v>
      </c>
      <c r="O71" s="123">
        <f t="shared" si="27"/>
        <v>994686064.57545829</v>
      </c>
      <c r="P71" s="123">
        <f t="shared" si="27"/>
        <v>994686064.57545829</v>
      </c>
      <c r="Q71" s="123">
        <f t="shared" si="27"/>
        <v>994686064.57545829</v>
      </c>
      <c r="R71" s="123">
        <f t="shared" si="27"/>
        <v>994686064.57545829</v>
      </c>
      <c r="S71" s="123">
        <f t="shared" si="27"/>
        <v>994686064.57545829</v>
      </c>
      <c r="T71" s="123">
        <f t="shared" si="27"/>
        <v>994686064.57545829</v>
      </c>
      <c r="U71" s="123">
        <f t="shared" si="27"/>
        <v>994686064.57545829</v>
      </c>
      <c r="V71" s="123">
        <f t="shared" si="27"/>
        <v>994686064.57545829</v>
      </c>
      <c r="W71" s="123">
        <f t="shared" si="27"/>
        <v>994686064.57545829</v>
      </c>
      <c r="X71" s="123">
        <f t="shared" si="27"/>
        <v>994686064.57545829</v>
      </c>
      <c r="Y71" s="123">
        <f t="shared" si="27"/>
        <v>994686064.57545829</v>
      </c>
      <c r="Z71" s="123">
        <f t="shared" si="27"/>
        <v>994686064.57545829</v>
      </c>
      <c r="AA71" s="123">
        <f t="shared" si="27"/>
        <v>994686064.57545829</v>
      </c>
      <c r="AB71" s="123">
        <f t="shared" si="27"/>
        <v>994686064.57545829</v>
      </c>
      <c r="AC71" s="123">
        <f t="shared" si="27"/>
        <v>994686064.57545829</v>
      </c>
      <c r="AD71" s="123">
        <f t="shared" si="27"/>
        <v>994686064.57545829</v>
      </c>
      <c r="AE71" s="123">
        <f t="shared" si="27"/>
        <v>994686064.57545829</v>
      </c>
      <c r="AF71" s="123">
        <f t="shared" si="27"/>
        <v>994686064.57545829</v>
      </c>
      <c r="AG71" s="123">
        <f t="shared" si="27"/>
        <v>994686064.57545829</v>
      </c>
      <c r="AH71" s="125">
        <f t="shared" si="27"/>
        <v>994686064.57545829</v>
      </c>
      <c r="AI71" s="41">
        <f t="shared" si="26"/>
        <v>29840581937.263752</v>
      </c>
    </row>
    <row r="72" spans="2:35" ht="13" x14ac:dyDescent="0.3">
      <c r="B72" s="212" t="s">
        <v>49</v>
      </c>
      <c r="C72" s="213"/>
      <c r="D72" s="214"/>
      <c r="E72" s="215">
        <f t="shared" ref="E72:AH72" si="28">E42-E71</f>
        <v>488916179.17454171</v>
      </c>
      <c r="F72" s="215">
        <f t="shared" si="28"/>
        <v>488916179.17454171</v>
      </c>
      <c r="G72" s="215">
        <f t="shared" si="28"/>
        <v>488916179.17454171</v>
      </c>
      <c r="H72" s="215">
        <f t="shared" si="28"/>
        <v>488916179.17454171</v>
      </c>
      <c r="I72" s="215">
        <f t="shared" si="28"/>
        <v>488916179.17454171</v>
      </c>
      <c r="J72" s="215">
        <f t="shared" si="28"/>
        <v>488916179.17454171</v>
      </c>
      <c r="K72" s="215">
        <f t="shared" si="28"/>
        <v>488916179.17454171</v>
      </c>
      <c r="L72" s="215">
        <f t="shared" si="28"/>
        <v>488916179.17454171</v>
      </c>
      <c r="M72" s="215">
        <f t="shared" si="28"/>
        <v>488916179.17454171</v>
      </c>
      <c r="N72" s="215">
        <f t="shared" si="28"/>
        <v>488916179.17454171</v>
      </c>
      <c r="O72" s="215">
        <f t="shared" si="28"/>
        <v>488916179.17454171</v>
      </c>
      <c r="P72" s="215">
        <f t="shared" si="28"/>
        <v>488916179.17454171</v>
      </c>
      <c r="Q72" s="215">
        <f t="shared" si="28"/>
        <v>488916179.17454171</v>
      </c>
      <c r="R72" s="215">
        <f t="shared" si="28"/>
        <v>488916179.17454171</v>
      </c>
      <c r="S72" s="215">
        <f t="shared" si="28"/>
        <v>488916179.17454171</v>
      </c>
      <c r="T72" s="215">
        <f t="shared" si="28"/>
        <v>488916179.17454171</v>
      </c>
      <c r="U72" s="215">
        <f t="shared" si="28"/>
        <v>488916179.17454171</v>
      </c>
      <c r="V72" s="215">
        <f t="shared" si="28"/>
        <v>488916179.17454171</v>
      </c>
      <c r="W72" s="215">
        <f t="shared" si="28"/>
        <v>488916179.17454171</v>
      </c>
      <c r="X72" s="215">
        <f t="shared" si="28"/>
        <v>488916179.17454171</v>
      </c>
      <c r="Y72" s="215">
        <f t="shared" si="28"/>
        <v>488916179.17454171</v>
      </c>
      <c r="Z72" s="215">
        <f t="shared" si="28"/>
        <v>488916179.17454171</v>
      </c>
      <c r="AA72" s="215">
        <f t="shared" si="28"/>
        <v>488916179.17454171</v>
      </c>
      <c r="AB72" s="215">
        <f t="shared" si="28"/>
        <v>488916179.17454171</v>
      </c>
      <c r="AC72" s="215">
        <f t="shared" si="28"/>
        <v>488916179.17454171</v>
      </c>
      <c r="AD72" s="215">
        <f t="shared" si="28"/>
        <v>488916179.17454171</v>
      </c>
      <c r="AE72" s="215">
        <f t="shared" si="28"/>
        <v>488916179.17454171</v>
      </c>
      <c r="AF72" s="215">
        <f t="shared" si="28"/>
        <v>488916179.17454171</v>
      </c>
      <c r="AG72" s="215">
        <f t="shared" si="28"/>
        <v>488916179.17454171</v>
      </c>
      <c r="AH72" s="216">
        <f t="shared" si="28"/>
        <v>488916179.17454171</v>
      </c>
      <c r="AI72" s="217"/>
    </row>
    <row r="73" spans="2:35" ht="13" x14ac:dyDescent="0.3">
      <c r="B73" s="204" t="s">
        <v>75</v>
      </c>
      <c r="C73" s="28"/>
      <c r="D73" s="209"/>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211"/>
      <c r="AI73" s="210"/>
    </row>
    <row r="74" spans="2:35" x14ac:dyDescent="0.25">
      <c r="B74" s="115" t="s">
        <v>51</v>
      </c>
      <c r="C74" s="117" t="s">
        <v>46</v>
      </c>
      <c r="D74" s="205"/>
      <c r="E74" s="206">
        <f>E130</f>
        <v>-272721346.56589073</v>
      </c>
      <c r="F74" s="206">
        <f t="shared" ref="F74:AH74" si="29">F130</f>
        <v>-272721346.56589073</v>
      </c>
      <c r="G74" s="206">
        <f t="shared" si="29"/>
        <v>-272721346.56589073</v>
      </c>
      <c r="H74" s="206">
        <f t="shared" si="29"/>
        <v>-272721346.56589073</v>
      </c>
      <c r="I74" s="206">
        <f t="shared" si="29"/>
        <v>-272721346.56589073</v>
      </c>
      <c r="J74" s="206">
        <f t="shared" si="29"/>
        <v>-272721346.56589073</v>
      </c>
      <c r="K74" s="206">
        <f t="shared" si="29"/>
        <v>-272721346.56589073</v>
      </c>
      <c r="L74" s="206">
        <f t="shared" si="29"/>
        <v>-272721346.56589073</v>
      </c>
      <c r="M74" s="206">
        <f t="shared" si="29"/>
        <v>-272721346.56589073</v>
      </c>
      <c r="N74" s="206">
        <f t="shared" si="29"/>
        <v>-272721346.56589073</v>
      </c>
      <c r="O74" s="206">
        <f t="shared" si="29"/>
        <v>-272721346.56589073</v>
      </c>
      <c r="P74" s="206">
        <f t="shared" si="29"/>
        <v>-272721346.56589073</v>
      </c>
      <c r="Q74" s="206">
        <f t="shared" si="29"/>
        <v>-272721346.56589073</v>
      </c>
      <c r="R74" s="206">
        <f t="shared" si="29"/>
        <v>-272721346.56589073</v>
      </c>
      <c r="S74" s="206">
        <f t="shared" si="29"/>
        <v>-272721346.56589073</v>
      </c>
      <c r="T74" s="206">
        <f t="shared" si="29"/>
        <v>-31711784.484405901</v>
      </c>
      <c r="U74" s="206">
        <f t="shared" si="29"/>
        <v>-31711784.484405901</v>
      </c>
      <c r="V74" s="206">
        <f t="shared" si="29"/>
        <v>-31711784.484405901</v>
      </c>
      <c r="W74" s="206">
        <f t="shared" si="29"/>
        <v>-31711784.484405901</v>
      </c>
      <c r="X74" s="206">
        <f t="shared" si="29"/>
        <v>-31711784.484405901</v>
      </c>
      <c r="Y74" s="206">
        <f t="shared" si="29"/>
        <v>-31711784.484405901</v>
      </c>
      <c r="Z74" s="206">
        <f t="shared" si="29"/>
        <v>-31711784.484405901</v>
      </c>
      <c r="AA74" s="206">
        <f t="shared" si="29"/>
        <v>-31711784.484405901</v>
      </c>
      <c r="AB74" s="206">
        <f t="shared" si="29"/>
        <v>-31711784.484405901</v>
      </c>
      <c r="AC74" s="206">
        <f t="shared" si="29"/>
        <v>-31711784.484405901</v>
      </c>
      <c r="AD74" s="206">
        <f t="shared" si="29"/>
        <v>-31711784.484405901</v>
      </c>
      <c r="AE74" s="206">
        <f t="shared" si="29"/>
        <v>-31711784.484405901</v>
      </c>
      <c r="AF74" s="206">
        <f t="shared" si="29"/>
        <v>-31711784.484405901</v>
      </c>
      <c r="AG74" s="206">
        <f t="shared" si="29"/>
        <v>-31711784.484405901</v>
      </c>
      <c r="AH74" s="207">
        <f t="shared" si="29"/>
        <v>-31711784.484405901</v>
      </c>
      <c r="AI74" s="208"/>
    </row>
    <row r="75" spans="2:35" x14ac:dyDescent="0.25">
      <c r="B75" s="115" t="s">
        <v>52</v>
      </c>
      <c r="C75" s="34" t="s">
        <v>11</v>
      </c>
      <c r="D75" s="53"/>
      <c r="E75" s="130">
        <f>SUM(E189,E193,E197)</f>
        <v>0</v>
      </c>
      <c r="F75" s="130">
        <f t="shared" ref="F75:AH75" si="30">SUM(F189,F193,F197)</f>
        <v>0</v>
      </c>
      <c r="G75" s="130">
        <f t="shared" si="30"/>
        <v>0</v>
      </c>
      <c r="H75" s="130">
        <f t="shared" si="30"/>
        <v>0</v>
      </c>
      <c r="I75" s="130">
        <f t="shared" si="30"/>
        <v>0</v>
      </c>
      <c r="J75" s="130">
        <f t="shared" si="30"/>
        <v>0</v>
      </c>
      <c r="K75" s="130">
        <f t="shared" si="30"/>
        <v>0</v>
      </c>
      <c r="L75" s="130">
        <f t="shared" si="30"/>
        <v>0</v>
      </c>
      <c r="M75" s="130">
        <f t="shared" si="30"/>
        <v>0</v>
      </c>
      <c r="N75" s="130">
        <f t="shared" si="30"/>
        <v>0</v>
      </c>
      <c r="O75" s="130">
        <f t="shared" si="30"/>
        <v>0</v>
      </c>
      <c r="P75" s="130">
        <f t="shared" si="30"/>
        <v>0</v>
      </c>
      <c r="Q75" s="130">
        <f t="shared" si="30"/>
        <v>0</v>
      </c>
      <c r="R75" s="130">
        <f t="shared" si="30"/>
        <v>0</v>
      </c>
      <c r="S75" s="130">
        <f t="shared" si="30"/>
        <v>0</v>
      </c>
      <c r="T75" s="130">
        <f t="shared" si="30"/>
        <v>0</v>
      </c>
      <c r="U75" s="130">
        <f t="shared" si="30"/>
        <v>0</v>
      </c>
      <c r="V75" s="130">
        <f t="shared" si="30"/>
        <v>0</v>
      </c>
      <c r="W75" s="130">
        <f t="shared" si="30"/>
        <v>0</v>
      </c>
      <c r="X75" s="130">
        <f t="shared" si="30"/>
        <v>0</v>
      </c>
      <c r="Y75" s="130">
        <f t="shared" si="30"/>
        <v>0</v>
      </c>
      <c r="Z75" s="130">
        <f t="shared" si="30"/>
        <v>0</v>
      </c>
      <c r="AA75" s="130">
        <f t="shared" si="30"/>
        <v>0</v>
      </c>
      <c r="AB75" s="130">
        <f t="shared" si="30"/>
        <v>0</v>
      </c>
      <c r="AC75" s="130">
        <f t="shared" si="30"/>
        <v>0</v>
      </c>
      <c r="AD75" s="130">
        <f t="shared" si="30"/>
        <v>0</v>
      </c>
      <c r="AE75" s="130">
        <f t="shared" si="30"/>
        <v>0</v>
      </c>
      <c r="AF75" s="130">
        <f t="shared" si="30"/>
        <v>0</v>
      </c>
      <c r="AG75" s="130">
        <f t="shared" si="30"/>
        <v>0</v>
      </c>
      <c r="AH75" s="131">
        <f t="shared" si="30"/>
        <v>0</v>
      </c>
      <c r="AI75" s="49">
        <f>SUM(E75:AH75)</f>
        <v>0</v>
      </c>
    </row>
    <row r="76" spans="2:35" ht="13.5" hidden="1" customHeight="1" x14ac:dyDescent="0.25">
      <c r="B76" s="200" t="s">
        <v>73</v>
      </c>
      <c r="C76" s="98" t="s">
        <v>71</v>
      </c>
      <c r="D76" s="135"/>
      <c r="E76" s="46">
        <f>E75/(1-$E$77)-E75</f>
        <v>0</v>
      </c>
      <c r="F76" s="46">
        <f t="shared" ref="F76:AH76" si="31">F75/(1-$E$77)-F75</f>
        <v>0</v>
      </c>
      <c r="G76" s="46">
        <f t="shared" si="31"/>
        <v>0</v>
      </c>
      <c r="H76" s="46">
        <f t="shared" si="31"/>
        <v>0</v>
      </c>
      <c r="I76" s="46">
        <f t="shared" si="31"/>
        <v>0</v>
      </c>
      <c r="J76" s="46">
        <f t="shared" si="31"/>
        <v>0</v>
      </c>
      <c r="K76" s="46">
        <f t="shared" si="31"/>
        <v>0</v>
      </c>
      <c r="L76" s="46">
        <f t="shared" si="31"/>
        <v>0</v>
      </c>
      <c r="M76" s="46">
        <f t="shared" si="31"/>
        <v>0</v>
      </c>
      <c r="N76" s="46">
        <f t="shared" si="31"/>
        <v>0</v>
      </c>
      <c r="O76" s="46">
        <f t="shared" si="31"/>
        <v>0</v>
      </c>
      <c r="P76" s="46">
        <f t="shared" si="31"/>
        <v>0</v>
      </c>
      <c r="Q76" s="46">
        <f t="shared" si="31"/>
        <v>0</v>
      </c>
      <c r="R76" s="46">
        <f t="shared" si="31"/>
        <v>0</v>
      </c>
      <c r="S76" s="46">
        <f t="shared" si="31"/>
        <v>0</v>
      </c>
      <c r="T76" s="46">
        <f t="shared" si="31"/>
        <v>0</v>
      </c>
      <c r="U76" s="46">
        <f t="shared" si="31"/>
        <v>0</v>
      </c>
      <c r="V76" s="46">
        <f t="shared" si="31"/>
        <v>0</v>
      </c>
      <c r="W76" s="46">
        <f t="shared" si="31"/>
        <v>0</v>
      </c>
      <c r="X76" s="46">
        <f t="shared" si="31"/>
        <v>0</v>
      </c>
      <c r="Y76" s="46">
        <f t="shared" si="31"/>
        <v>0</v>
      </c>
      <c r="Z76" s="46">
        <f t="shared" si="31"/>
        <v>0</v>
      </c>
      <c r="AA76" s="46">
        <f t="shared" si="31"/>
        <v>0</v>
      </c>
      <c r="AB76" s="46">
        <f t="shared" si="31"/>
        <v>0</v>
      </c>
      <c r="AC76" s="46">
        <f t="shared" si="31"/>
        <v>0</v>
      </c>
      <c r="AD76" s="46">
        <f t="shared" si="31"/>
        <v>0</v>
      </c>
      <c r="AE76" s="46">
        <f t="shared" si="31"/>
        <v>0</v>
      </c>
      <c r="AF76" s="46">
        <f t="shared" si="31"/>
        <v>0</v>
      </c>
      <c r="AG76" s="46">
        <f t="shared" si="31"/>
        <v>0</v>
      </c>
      <c r="AH76" s="46">
        <f t="shared" si="31"/>
        <v>0</v>
      </c>
      <c r="AI76" s="201"/>
    </row>
    <row r="77" spans="2:35" hidden="1" x14ac:dyDescent="0.25">
      <c r="B77" s="200" t="s">
        <v>72</v>
      </c>
      <c r="C77" s="58" t="s">
        <v>36</v>
      </c>
      <c r="D77" s="135"/>
      <c r="E77" s="203">
        <v>0</v>
      </c>
      <c r="F77" s="203">
        <v>0</v>
      </c>
      <c r="G77" s="203">
        <v>0</v>
      </c>
      <c r="H77" s="203">
        <v>0</v>
      </c>
      <c r="I77" s="203">
        <v>0</v>
      </c>
      <c r="J77" s="203">
        <v>0</v>
      </c>
      <c r="K77" s="203">
        <v>0</v>
      </c>
      <c r="L77" s="203">
        <v>0</v>
      </c>
      <c r="M77" s="203">
        <v>0</v>
      </c>
      <c r="N77" s="203">
        <v>0</v>
      </c>
      <c r="O77" s="203">
        <v>0</v>
      </c>
      <c r="P77" s="203">
        <v>0</v>
      </c>
      <c r="Q77" s="203">
        <v>0</v>
      </c>
      <c r="R77" s="203">
        <v>0</v>
      </c>
      <c r="S77" s="203">
        <v>0</v>
      </c>
      <c r="T77" s="203">
        <v>0</v>
      </c>
      <c r="U77" s="203">
        <v>0</v>
      </c>
      <c r="V77" s="203">
        <v>0</v>
      </c>
      <c r="W77" s="203">
        <v>0</v>
      </c>
      <c r="X77" s="203">
        <v>0</v>
      </c>
      <c r="Y77" s="203">
        <v>0</v>
      </c>
      <c r="Z77" s="203">
        <v>0</v>
      </c>
      <c r="AA77" s="203">
        <v>0</v>
      </c>
      <c r="AB77" s="203">
        <v>0</v>
      </c>
      <c r="AC77" s="203">
        <v>0</v>
      </c>
      <c r="AD77" s="203">
        <v>0</v>
      </c>
      <c r="AE77" s="203">
        <v>0</v>
      </c>
      <c r="AF77" s="203">
        <v>0</v>
      </c>
      <c r="AG77" s="203">
        <v>0</v>
      </c>
      <c r="AH77" s="203">
        <v>0</v>
      </c>
      <c r="AI77" s="201"/>
    </row>
    <row r="78" spans="2:35" hidden="1" x14ac:dyDescent="0.25">
      <c r="B78" s="200" t="s">
        <v>76</v>
      </c>
      <c r="C78" s="58"/>
      <c r="D78" s="135"/>
      <c r="E78" s="46">
        <f t="shared" ref="E78:AG78" si="32">-E79*E80</f>
        <v>0</v>
      </c>
      <c r="F78" s="46">
        <f t="shared" si="32"/>
        <v>0</v>
      </c>
      <c r="G78" s="46">
        <f t="shared" si="32"/>
        <v>0</v>
      </c>
      <c r="H78" s="46">
        <f t="shared" si="32"/>
        <v>0</v>
      </c>
      <c r="I78" s="46">
        <f t="shared" si="32"/>
        <v>0</v>
      </c>
      <c r="J78" s="46">
        <f t="shared" si="32"/>
        <v>0</v>
      </c>
      <c r="K78" s="46">
        <f t="shared" si="32"/>
        <v>0</v>
      </c>
      <c r="L78" s="46">
        <f t="shared" si="32"/>
        <v>0</v>
      </c>
      <c r="M78" s="46">
        <f t="shared" si="32"/>
        <v>0</v>
      </c>
      <c r="N78" s="46">
        <f t="shared" si="32"/>
        <v>0</v>
      </c>
      <c r="O78" s="46">
        <f t="shared" si="32"/>
        <v>0</v>
      </c>
      <c r="P78" s="46">
        <f t="shared" si="32"/>
        <v>0</v>
      </c>
      <c r="Q78" s="46">
        <f t="shared" si="32"/>
        <v>0</v>
      </c>
      <c r="R78" s="46">
        <f t="shared" si="32"/>
        <v>0</v>
      </c>
      <c r="S78" s="46">
        <f t="shared" si="32"/>
        <v>0</v>
      </c>
      <c r="T78" s="46">
        <f t="shared" si="32"/>
        <v>0</v>
      </c>
      <c r="U78" s="46">
        <f t="shared" si="32"/>
        <v>0</v>
      </c>
      <c r="V78" s="46">
        <f t="shared" si="32"/>
        <v>0</v>
      </c>
      <c r="W78" s="46">
        <f t="shared" si="32"/>
        <v>0</v>
      </c>
      <c r="X78" s="46">
        <f t="shared" si="32"/>
        <v>0</v>
      </c>
      <c r="Y78" s="46">
        <f t="shared" si="32"/>
        <v>0</v>
      </c>
      <c r="Z78" s="46">
        <f t="shared" si="32"/>
        <v>0</v>
      </c>
      <c r="AA78" s="46">
        <f t="shared" si="32"/>
        <v>0</v>
      </c>
      <c r="AB78" s="46">
        <f t="shared" si="32"/>
        <v>0</v>
      </c>
      <c r="AC78" s="46">
        <f t="shared" si="32"/>
        <v>0</v>
      </c>
      <c r="AD78" s="46">
        <f t="shared" si="32"/>
        <v>0</v>
      </c>
      <c r="AE78" s="46">
        <f t="shared" si="32"/>
        <v>0</v>
      </c>
      <c r="AF78" s="46">
        <f t="shared" si="32"/>
        <v>0</v>
      </c>
      <c r="AG78" s="46">
        <f t="shared" si="32"/>
        <v>0</v>
      </c>
      <c r="AH78" s="218">
        <v>0</v>
      </c>
      <c r="AI78" s="201"/>
    </row>
    <row r="79" spans="2:35" hidden="1" x14ac:dyDescent="0.25">
      <c r="B79" s="200" t="s">
        <v>79</v>
      </c>
      <c r="C79" s="98" t="s">
        <v>71</v>
      </c>
      <c r="D79" s="135"/>
      <c r="E79" s="46">
        <f t="shared" ref="E79:AG79" si="33">-(F122+F75+F76)/2</f>
        <v>0</v>
      </c>
      <c r="F79" s="46">
        <f t="shared" si="33"/>
        <v>0</v>
      </c>
      <c r="G79" s="46">
        <f t="shared" si="33"/>
        <v>0</v>
      </c>
      <c r="H79" s="46">
        <f t="shared" si="33"/>
        <v>0</v>
      </c>
      <c r="I79" s="46">
        <f t="shared" si="33"/>
        <v>0</v>
      </c>
      <c r="J79" s="46">
        <f t="shared" si="33"/>
        <v>0</v>
      </c>
      <c r="K79" s="46">
        <f t="shared" si="33"/>
        <v>0</v>
      </c>
      <c r="L79" s="46">
        <f t="shared" si="33"/>
        <v>0</v>
      </c>
      <c r="M79" s="46">
        <f t="shared" si="33"/>
        <v>0</v>
      </c>
      <c r="N79" s="46">
        <f t="shared" si="33"/>
        <v>0</v>
      </c>
      <c r="O79" s="46">
        <f t="shared" si="33"/>
        <v>0</v>
      </c>
      <c r="P79" s="46">
        <f t="shared" si="33"/>
        <v>0</v>
      </c>
      <c r="Q79" s="46">
        <f t="shared" si="33"/>
        <v>0</v>
      </c>
      <c r="R79" s="46">
        <f t="shared" si="33"/>
        <v>0</v>
      </c>
      <c r="S79" s="46">
        <f t="shared" si="33"/>
        <v>0</v>
      </c>
      <c r="T79" s="46">
        <f t="shared" si="33"/>
        <v>0</v>
      </c>
      <c r="U79" s="46">
        <f t="shared" si="33"/>
        <v>0</v>
      </c>
      <c r="V79" s="46">
        <f t="shared" si="33"/>
        <v>0</v>
      </c>
      <c r="W79" s="46">
        <f t="shared" si="33"/>
        <v>0</v>
      </c>
      <c r="X79" s="46">
        <f t="shared" si="33"/>
        <v>0</v>
      </c>
      <c r="Y79" s="46">
        <f t="shared" si="33"/>
        <v>0</v>
      </c>
      <c r="Z79" s="46">
        <f t="shared" si="33"/>
        <v>0</v>
      </c>
      <c r="AA79" s="46">
        <f t="shared" si="33"/>
        <v>0</v>
      </c>
      <c r="AB79" s="46">
        <f t="shared" si="33"/>
        <v>0</v>
      </c>
      <c r="AC79" s="46">
        <f t="shared" si="33"/>
        <v>0</v>
      </c>
      <c r="AD79" s="46">
        <f t="shared" si="33"/>
        <v>0</v>
      </c>
      <c r="AE79" s="46">
        <f t="shared" si="33"/>
        <v>0</v>
      </c>
      <c r="AF79" s="46">
        <f t="shared" si="33"/>
        <v>0</v>
      </c>
      <c r="AG79" s="46">
        <f t="shared" si="33"/>
        <v>0</v>
      </c>
      <c r="AH79" s="218">
        <v>0</v>
      </c>
      <c r="AI79" s="201"/>
    </row>
    <row r="80" spans="2:35" hidden="1" x14ac:dyDescent="0.25">
      <c r="B80" s="219" t="s">
        <v>78</v>
      </c>
      <c r="C80" s="58" t="s">
        <v>77</v>
      </c>
      <c r="D80" s="135"/>
      <c r="E80" s="202">
        <v>0</v>
      </c>
      <c r="F80" s="202">
        <v>0</v>
      </c>
      <c r="G80" s="202">
        <v>0</v>
      </c>
      <c r="H80" s="202">
        <v>0</v>
      </c>
      <c r="I80" s="202">
        <v>0</v>
      </c>
      <c r="J80" s="202">
        <v>0</v>
      </c>
      <c r="K80" s="202">
        <v>0</v>
      </c>
      <c r="L80" s="202">
        <v>0</v>
      </c>
      <c r="M80" s="202">
        <v>0</v>
      </c>
      <c r="N80" s="202">
        <v>0</v>
      </c>
      <c r="O80" s="202">
        <v>0</v>
      </c>
      <c r="P80" s="202">
        <v>0</v>
      </c>
      <c r="Q80" s="202">
        <v>0</v>
      </c>
      <c r="R80" s="202">
        <v>0</v>
      </c>
      <c r="S80" s="202">
        <v>0</v>
      </c>
      <c r="T80" s="202">
        <v>0</v>
      </c>
      <c r="U80" s="202">
        <v>0</v>
      </c>
      <c r="V80" s="202">
        <v>0</v>
      </c>
      <c r="W80" s="202">
        <v>0</v>
      </c>
      <c r="X80" s="202">
        <v>0</v>
      </c>
      <c r="Y80" s="202">
        <v>0</v>
      </c>
      <c r="Z80" s="202">
        <v>0</v>
      </c>
      <c r="AA80" s="202">
        <v>0</v>
      </c>
      <c r="AB80" s="202">
        <v>0</v>
      </c>
      <c r="AC80" s="202">
        <v>0</v>
      </c>
      <c r="AD80" s="202">
        <v>0</v>
      </c>
      <c r="AE80" s="202">
        <v>0</v>
      </c>
      <c r="AF80" s="202">
        <v>0</v>
      </c>
      <c r="AG80" s="202">
        <v>0</v>
      </c>
      <c r="AH80" s="202">
        <v>0</v>
      </c>
      <c r="AI80" s="201"/>
    </row>
    <row r="81" spans="2:35" ht="13.5" thickBot="1" x14ac:dyDescent="0.35">
      <c r="B81" s="118" t="s">
        <v>50</v>
      </c>
      <c r="C81" s="119" t="s">
        <v>16</v>
      </c>
      <c r="D81" s="120"/>
      <c r="E81" s="136">
        <f t="shared" ref="E81:AH81" si="34">E72+E74+E75+E76+E78</f>
        <v>216194832.60865098</v>
      </c>
      <c r="F81" s="132">
        <f t="shared" si="34"/>
        <v>216194832.60865098</v>
      </c>
      <c r="G81" s="132">
        <f t="shared" si="34"/>
        <v>216194832.60865098</v>
      </c>
      <c r="H81" s="132">
        <f t="shared" si="34"/>
        <v>216194832.60865098</v>
      </c>
      <c r="I81" s="132">
        <f t="shared" si="34"/>
        <v>216194832.60865098</v>
      </c>
      <c r="J81" s="132">
        <f t="shared" si="34"/>
        <v>216194832.60865098</v>
      </c>
      <c r="K81" s="132">
        <f t="shared" si="34"/>
        <v>216194832.60865098</v>
      </c>
      <c r="L81" s="132">
        <f t="shared" si="34"/>
        <v>216194832.60865098</v>
      </c>
      <c r="M81" s="132">
        <f t="shared" si="34"/>
        <v>216194832.60865098</v>
      </c>
      <c r="N81" s="132">
        <f t="shared" si="34"/>
        <v>216194832.60865098</v>
      </c>
      <c r="O81" s="132">
        <f t="shared" si="34"/>
        <v>216194832.60865098</v>
      </c>
      <c r="P81" s="132">
        <f t="shared" si="34"/>
        <v>216194832.60865098</v>
      </c>
      <c r="Q81" s="132">
        <f t="shared" si="34"/>
        <v>216194832.60865098</v>
      </c>
      <c r="R81" s="132">
        <f t="shared" si="34"/>
        <v>216194832.60865098</v>
      </c>
      <c r="S81" s="132">
        <f t="shared" si="34"/>
        <v>216194832.60865098</v>
      </c>
      <c r="T81" s="132">
        <f t="shared" si="34"/>
        <v>457204394.69013584</v>
      </c>
      <c r="U81" s="132">
        <f t="shared" si="34"/>
        <v>457204394.69013584</v>
      </c>
      <c r="V81" s="132">
        <f t="shared" si="34"/>
        <v>457204394.69013584</v>
      </c>
      <c r="W81" s="132">
        <f t="shared" si="34"/>
        <v>457204394.69013584</v>
      </c>
      <c r="X81" s="132">
        <f t="shared" si="34"/>
        <v>457204394.69013584</v>
      </c>
      <c r="Y81" s="132">
        <f t="shared" si="34"/>
        <v>457204394.69013584</v>
      </c>
      <c r="Z81" s="132">
        <f t="shared" si="34"/>
        <v>457204394.69013584</v>
      </c>
      <c r="AA81" s="132">
        <f t="shared" si="34"/>
        <v>457204394.69013584</v>
      </c>
      <c r="AB81" s="132">
        <f t="shared" si="34"/>
        <v>457204394.69013584</v>
      </c>
      <c r="AC81" s="132">
        <f t="shared" si="34"/>
        <v>457204394.69013584</v>
      </c>
      <c r="AD81" s="132">
        <f t="shared" si="34"/>
        <v>457204394.69013584</v>
      </c>
      <c r="AE81" s="132">
        <f t="shared" si="34"/>
        <v>457204394.69013584</v>
      </c>
      <c r="AF81" s="132">
        <f t="shared" si="34"/>
        <v>457204394.69013584</v>
      </c>
      <c r="AG81" s="132">
        <f t="shared" si="34"/>
        <v>457204394.69013584</v>
      </c>
      <c r="AH81" s="133">
        <f t="shared" si="34"/>
        <v>457204394.69013584</v>
      </c>
      <c r="AI81" s="121">
        <f>SUM(E81:AH81)</f>
        <v>10100988409.481804</v>
      </c>
    </row>
    <row r="82" spans="2:35" x14ac:dyDescent="0.25">
      <c r="B82" s="115" t="s">
        <v>47</v>
      </c>
      <c r="C82" s="116" t="s">
        <v>11</v>
      </c>
      <c r="D82" s="137"/>
      <c r="E82" s="138">
        <f>-D131*インプット!$E$105</f>
        <v>-67482677.382815763</v>
      </c>
      <c r="F82" s="138">
        <f>-E131*インプット!$E$105</f>
        <v>-63664578.530893296</v>
      </c>
      <c r="G82" s="138">
        <f>-F131*インプット!$E$105</f>
        <v>-59846479.678970814</v>
      </c>
      <c r="H82" s="138">
        <f>-G131*インプット!$E$105</f>
        <v>-56028380.827048354</v>
      </c>
      <c r="I82" s="138">
        <f>-H131*インプット!$E$105</f>
        <v>-52210281.975125872</v>
      </c>
      <c r="J82" s="138">
        <f>-I131*インプット!$E$105</f>
        <v>-48392183.123203412</v>
      </c>
      <c r="K82" s="138">
        <f>-J131*インプット!$E$105</f>
        <v>-44574084.271280937</v>
      </c>
      <c r="L82" s="138">
        <f>-K131*インプット!$E$105</f>
        <v>-40755985.41935847</v>
      </c>
      <c r="M82" s="138">
        <f>-L131*インプット!$E$105</f>
        <v>-36937886.567436002</v>
      </c>
      <c r="N82" s="138">
        <f>-M131*インプット!$E$105</f>
        <v>-33119787.715513531</v>
      </c>
      <c r="O82" s="138">
        <f>-N131*インプット!$E$105</f>
        <v>-29301688.86359106</v>
      </c>
      <c r="P82" s="138">
        <f>-O131*インプット!$E$105</f>
        <v>-25483590.011668589</v>
      </c>
      <c r="Q82" s="138">
        <f>-P131*インプット!$E$105</f>
        <v>-21665491.159746122</v>
      </c>
      <c r="R82" s="138">
        <f>-Q131*インプット!$E$105</f>
        <v>-17847392.307823651</v>
      </c>
      <c r="S82" s="138">
        <f>-R131*インプット!$E$105</f>
        <v>-14029293.455901179</v>
      </c>
      <c r="T82" s="138">
        <f>-S131*インプット!$E$105</f>
        <v>-10211194.60397871</v>
      </c>
      <c r="U82" s="138">
        <f>-T131*インプット!$E$105</f>
        <v>-9767229.6211970262</v>
      </c>
      <c r="V82" s="138">
        <f>-U131*インプット!$E$105</f>
        <v>-9323264.6384153459</v>
      </c>
      <c r="W82" s="138">
        <f>-V131*インプット!$E$105</f>
        <v>-8879299.6556336619</v>
      </c>
      <c r="X82" s="138">
        <f>-W131*インプット!$E$105</f>
        <v>-8435334.6728519816</v>
      </c>
      <c r="Y82" s="138">
        <f>-X131*インプット!$E$105</f>
        <v>-7991369.6900702976</v>
      </c>
      <c r="Z82" s="138">
        <f>-Y131*インプット!$E$105</f>
        <v>-7547404.7072886173</v>
      </c>
      <c r="AA82" s="138">
        <f>-Z131*インプット!$E$105</f>
        <v>-7103439.7245069342</v>
      </c>
      <c r="AB82" s="138">
        <f>-AA131*インプット!$E$105</f>
        <v>-6659474.7417252511</v>
      </c>
      <c r="AC82" s="138">
        <f>-AB131*インプット!$E$105</f>
        <v>-6215509.7589435689</v>
      </c>
      <c r="AD82" s="138">
        <f>-AC131*インプット!$E$105</f>
        <v>-5771544.7761618868</v>
      </c>
      <c r="AE82" s="138">
        <f>-AD131*インプット!$E$105</f>
        <v>-5327579.7933802046</v>
      </c>
      <c r="AF82" s="138">
        <f>-AE131*インプット!$E$105</f>
        <v>-4883614.8105985224</v>
      </c>
      <c r="AG82" s="138">
        <f>-AF131*インプット!$E$105</f>
        <v>-4439649.8278168403</v>
      </c>
      <c r="AH82" s="139">
        <f>-AG131*インプット!$E$105</f>
        <v>-3995684.8450351581</v>
      </c>
      <c r="AI82" s="49">
        <f>SUM(E82:AH82)</f>
        <v>-717891377.15798116</v>
      </c>
    </row>
    <row r="83" spans="2:35" x14ac:dyDescent="0.25">
      <c r="B83" s="822" t="s">
        <v>101</v>
      </c>
      <c r="C83" s="54" t="s">
        <v>11</v>
      </c>
      <c r="D83" s="53"/>
      <c r="E83" s="130">
        <f>MIN(-E104*インプット!$E$106,0)</f>
        <v>-44613646.567750558</v>
      </c>
      <c r="F83" s="130">
        <f>MIN(-F104*インプット!$E$106,0)</f>
        <v>-45759076.223327301</v>
      </c>
      <c r="G83" s="130">
        <f>MIN(-G104*インプット!$E$106,0)</f>
        <v>-46904505.878904052</v>
      </c>
      <c r="H83" s="130">
        <f>MIN(-H104*インプット!$E$106,0)</f>
        <v>-48049935.534480788</v>
      </c>
      <c r="I83" s="130">
        <f>MIN(-I104*インプット!$E$106,0)</f>
        <v>-49195365.190057531</v>
      </c>
      <c r="J83" s="130">
        <f>MIN(-J104*インプット!$E$106,0)</f>
        <v>-50340794.845634274</v>
      </c>
      <c r="K83" s="130">
        <f>MIN(-K104*インプット!$E$106,0)</f>
        <v>-51486224.50121101</v>
      </c>
      <c r="L83" s="130">
        <f>MIN(-L104*インプット!$E$106,0)</f>
        <v>-52631654.156787753</v>
      </c>
      <c r="M83" s="130">
        <f>MIN(-M104*インプット!$E$106,0)</f>
        <v>-53777083.812364489</v>
      </c>
      <c r="N83" s="130">
        <f>MIN(-N104*インプット!$E$106,0)</f>
        <v>-54922513.467941232</v>
      </c>
      <c r="O83" s="130">
        <f>MIN(-O104*インプット!$E$106,0)</f>
        <v>-56067943.123517968</v>
      </c>
      <c r="P83" s="130">
        <f>MIN(-P104*インプット!$E$106,0)</f>
        <v>-57213372.779094718</v>
      </c>
      <c r="Q83" s="130">
        <f>MIN(-Q104*インプット!$E$106,0)</f>
        <v>-58358802.434671462</v>
      </c>
      <c r="R83" s="130">
        <f>MIN(-R104*インプット!$E$106,0)</f>
        <v>-59504232.090248197</v>
      </c>
      <c r="S83" s="130">
        <f>MIN(-S104*インプット!$E$106,0)</f>
        <v>-60649661.745824941</v>
      </c>
      <c r="T83" s="130">
        <f>MIN(-T104*インプット!$E$106,0)</f>
        <v>-134097960.02584714</v>
      </c>
      <c r="U83" s="130">
        <f>MIN(-U104*インプット!$E$106,0)</f>
        <v>-134231149.52068162</v>
      </c>
      <c r="V83" s="130">
        <f>MIN(-V104*インプット!$E$106,0)</f>
        <v>-134364339.01551613</v>
      </c>
      <c r="W83" s="130">
        <f>MIN(-W104*インプット!$E$106,0)</f>
        <v>-134497528.51035064</v>
      </c>
      <c r="X83" s="130">
        <f>MIN(-X104*インプット!$E$106,0)</f>
        <v>-134630718.00518516</v>
      </c>
      <c r="Y83" s="130">
        <f>MIN(-Y104*インプット!$E$106,0)</f>
        <v>-134763907.50001967</v>
      </c>
      <c r="Z83" s="130">
        <f>MIN(-Z104*インプット!$E$106,0)</f>
        <v>-134897096.99485415</v>
      </c>
      <c r="AA83" s="130">
        <f>MIN(-AA104*インプット!$E$106,0)</f>
        <v>-135030286.48968866</v>
      </c>
      <c r="AB83" s="130">
        <f>MIN(-AB104*インプット!$E$106,0)</f>
        <v>-135163475.98452318</v>
      </c>
      <c r="AC83" s="130">
        <f>MIN(-AC104*インプット!$E$106,0)</f>
        <v>-135296665.47935769</v>
      </c>
      <c r="AD83" s="130">
        <f>MIN(-AD104*インプット!$E$106,0)</f>
        <v>-135429854.97419217</v>
      </c>
      <c r="AE83" s="130">
        <f>MIN(-AE104*インプット!$E$106,0)</f>
        <v>-135563044.46902668</v>
      </c>
      <c r="AF83" s="130">
        <f>MIN(-AF104*インプット!$E$106,0)</f>
        <v>-135696233.9638612</v>
      </c>
      <c r="AG83" s="130">
        <f>MIN(-AG104*インプット!$E$106,0)</f>
        <v>-135829423.45869568</v>
      </c>
      <c r="AH83" s="130">
        <f>MIN(-AH104*インプット!$E$106,0)</f>
        <v>-135962612.95353019</v>
      </c>
      <c r="AI83" s="49">
        <f>SUM(E83:AH83)</f>
        <v>-2814929109.6971464</v>
      </c>
    </row>
    <row r="84" spans="2:35" x14ac:dyDescent="0.25">
      <c r="B84" s="222" t="s">
        <v>95</v>
      </c>
      <c r="C84" s="223" t="s">
        <v>71</v>
      </c>
      <c r="D84" s="224"/>
      <c r="E84" s="225">
        <f>IF(E81+E82&gt;0,E81+E82,0)</f>
        <v>148712155.2258352</v>
      </c>
      <c r="F84" s="225">
        <f t="shared" ref="F84:AH84" si="35">IF(F81+F82&gt;0,F81+F82,0)</f>
        <v>152530254.07775769</v>
      </c>
      <c r="G84" s="225">
        <f t="shared" si="35"/>
        <v>156348352.92968017</v>
      </c>
      <c r="H84" s="225">
        <f t="shared" si="35"/>
        <v>160166451.78160262</v>
      </c>
      <c r="I84" s="225">
        <f t="shared" si="35"/>
        <v>163984550.6335251</v>
      </c>
      <c r="J84" s="225">
        <f t="shared" si="35"/>
        <v>167802649.48544759</v>
      </c>
      <c r="K84" s="225">
        <f t="shared" si="35"/>
        <v>171620748.33737004</v>
      </c>
      <c r="L84" s="225">
        <f t="shared" si="35"/>
        <v>175438847.18929252</v>
      </c>
      <c r="M84" s="225">
        <f t="shared" si="35"/>
        <v>179256946.04121497</v>
      </c>
      <c r="N84" s="225">
        <f t="shared" si="35"/>
        <v>183075044.89313745</v>
      </c>
      <c r="O84" s="225">
        <f t="shared" si="35"/>
        <v>186893143.74505991</v>
      </c>
      <c r="P84" s="225">
        <f t="shared" si="35"/>
        <v>190711242.59698239</v>
      </c>
      <c r="Q84" s="225">
        <f t="shared" si="35"/>
        <v>194529341.44890487</v>
      </c>
      <c r="R84" s="225">
        <f t="shared" si="35"/>
        <v>198347440.30082732</v>
      </c>
      <c r="S84" s="225">
        <f t="shared" si="35"/>
        <v>202165539.15274981</v>
      </c>
      <c r="T84" s="225">
        <f t="shared" si="35"/>
        <v>446993200.08615714</v>
      </c>
      <c r="U84" s="225">
        <f t="shared" si="35"/>
        <v>447437165.06893879</v>
      </c>
      <c r="V84" s="225">
        <f t="shared" si="35"/>
        <v>447881130.0517205</v>
      </c>
      <c r="W84" s="225">
        <f t="shared" si="35"/>
        <v>448325095.03450215</v>
      </c>
      <c r="X84" s="225">
        <f t="shared" si="35"/>
        <v>448769060.01728386</v>
      </c>
      <c r="Y84" s="225">
        <f t="shared" si="35"/>
        <v>449213025.00006557</v>
      </c>
      <c r="Z84" s="225">
        <f t="shared" si="35"/>
        <v>449656989.98284721</v>
      </c>
      <c r="AA84" s="225">
        <f t="shared" si="35"/>
        <v>450100954.96562892</v>
      </c>
      <c r="AB84" s="225">
        <f t="shared" si="35"/>
        <v>450544919.94841057</v>
      </c>
      <c r="AC84" s="225">
        <f t="shared" si="35"/>
        <v>450988884.93119228</v>
      </c>
      <c r="AD84" s="225">
        <f t="shared" si="35"/>
        <v>451432849.91397393</v>
      </c>
      <c r="AE84" s="225">
        <f t="shared" si="35"/>
        <v>451876814.89675564</v>
      </c>
      <c r="AF84" s="225">
        <f t="shared" si="35"/>
        <v>452320779.87953734</v>
      </c>
      <c r="AG84" s="225">
        <f t="shared" si="35"/>
        <v>452764744.86231899</v>
      </c>
      <c r="AH84" s="226">
        <f t="shared" si="35"/>
        <v>453208709.8451007</v>
      </c>
      <c r="AI84" s="227"/>
    </row>
    <row r="85" spans="2:35" x14ac:dyDescent="0.25">
      <c r="B85" s="229" t="s">
        <v>96</v>
      </c>
      <c r="C85" s="230" t="s">
        <v>71</v>
      </c>
      <c r="D85" s="231"/>
      <c r="E85" s="232">
        <f>IF(E81+E82&lt;0,-E81+E82,0)</f>
        <v>0</v>
      </c>
      <c r="F85" s="232">
        <f t="shared" ref="F85:AH85" si="36">IF(F81+F82&lt;0,-F81+F82,0)</f>
        <v>0</v>
      </c>
      <c r="G85" s="232">
        <f t="shared" si="36"/>
        <v>0</v>
      </c>
      <c r="H85" s="232">
        <f t="shared" si="36"/>
        <v>0</v>
      </c>
      <c r="I85" s="232">
        <f t="shared" si="36"/>
        <v>0</v>
      </c>
      <c r="J85" s="232">
        <f t="shared" si="36"/>
        <v>0</v>
      </c>
      <c r="K85" s="232">
        <f t="shared" si="36"/>
        <v>0</v>
      </c>
      <c r="L85" s="232">
        <f t="shared" si="36"/>
        <v>0</v>
      </c>
      <c r="M85" s="232">
        <f t="shared" si="36"/>
        <v>0</v>
      </c>
      <c r="N85" s="232">
        <f t="shared" si="36"/>
        <v>0</v>
      </c>
      <c r="O85" s="232">
        <f t="shared" si="36"/>
        <v>0</v>
      </c>
      <c r="P85" s="232">
        <f t="shared" si="36"/>
        <v>0</v>
      </c>
      <c r="Q85" s="232">
        <f t="shared" si="36"/>
        <v>0</v>
      </c>
      <c r="R85" s="232">
        <f t="shared" si="36"/>
        <v>0</v>
      </c>
      <c r="S85" s="232">
        <f t="shared" si="36"/>
        <v>0</v>
      </c>
      <c r="T85" s="232">
        <f t="shared" si="36"/>
        <v>0</v>
      </c>
      <c r="U85" s="232">
        <f t="shared" si="36"/>
        <v>0</v>
      </c>
      <c r="V85" s="232">
        <f t="shared" si="36"/>
        <v>0</v>
      </c>
      <c r="W85" s="232">
        <f t="shared" si="36"/>
        <v>0</v>
      </c>
      <c r="X85" s="232">
        <f t="shared" si="36"/>
        <v>0</v>
      </c>
      <c r="Y85" s="232">
        <f t="shared" si="36"/>
        <v>0</v>
      </c>
      <c r="Z85" s="232">
        <f t="shared" si="36"/>
        <v>0</v>
      </c>
      <c r="AA85" s="232">
        <f t="shared" si="36"/>
        <v>0</v>
      </c>
      <c r="AB85" s="232">
        <f t="shared" si="36"/>
        <v>0</v>
      </c>
      <c r="AC85" s="232">
        <f t="shared" si="36"/>
        <v>0</v>
      </c>
      <c r="AD85" s="232">
        <f t="shared" si="36"/>
        <v>0</v>
      </c>
      <c r="AE85" s="232">
        <f t="shared" si="36"/>
        <v>0</v>
      </c>
      <c r="AF85" s="232">
        <f t="shared" si="36"/>
        <v>0</v>
      </c>
      <c r="AG85" s="232">
        <f t="shared" si="36"/>
        <v>0</v>
      </c>
      <c r="AH85" s="233">
        <f t="shared" si="36"/>
        <v>0</v>
      </c>
      <c r="AI85" s="234"/>
    </row>
    <row r="86" spans="2:35" x14ac:dyDescent="0.25">
      <c r="B86" s="222" t="s">
        <v>82</v>
      </c>
      <c r="C86" s="223" t="s">
        <v>71</v>
      </c>
      <c r="D86" s="224"/>
      <c r="E86" s="228" t="s">
        <v>80</v>
      </c>
      <c r="F86" s="225">
        <f>IF(E85&gt;0,E85,0)</f>
        <v>0</v>
      </c>
      <c r="G86" s="225">
        <f t="shared" ref="G86:AH86" si="37">IF(F85&gt;0,F85,0)</f>
        <v>0</v>
      </c>
      <c r="H86" s="225">
        <f t="shared" si="37"/>
        <v>0</v>
      </c>
      <c r="I86" s="225">
        <f t="shared" si="37"/>
        <v>0</v>
      </c>
      <c r="J86" s="225">
        <f t="shared" si="37"/>
        <v>0</v>
      </c>
      <c r="K86" s="225">
        <f t="shared" si="37"/>
        <v>0</v>
      </c>
      <c r="L86" s="225">
        <f t="shared" si="37"/>
        <v>0</v>
      </c>
      <c r="M86" s="225">
        <f t="shared" si="37"/>
        <v>0</v>
      </c>
      <c r="N86" s="225">
        <f t="shared" si="37"/>
        <v>0</v>
      </c>
      <c r="O86" s="225">
        <f t="shared" si="37"/>
        <v>0</v>
      </c>
      <c r="P86" s="225">
        <f t="shared" si="37"/>
        <v>0</v>
      </c>
      <c r="Q86" s="225">
        <f t="shared" si="37"/>
        <v>0</v>
      </c>
      <c r="R86" s="225">
        <f t="shared" si="37"/>
        <v>0</v>
      </c>
      <c r="S86" s="225">
        <f t="shared" si="37"/>
        <v>0</v>
      </c>
      <c r="T86" s="225">
        <f t="shared" si="37"/>
        <v>0</v>
      </c>
      <c r="U86" s="225">
        <f t="shared" si="37"/>
        <v>0</v>
      </c>
      <c r="V86" s="225">
        <f t="shared" si="37"/>
        <v>0</v>
      </c>
      <c r="W86" s="225">
        <f t="shared" si="37"/>
        <v>0</v>
      </c>
      <c r="X86" s="225">
        <f t="shared" si="37"/>
        <v>0</v>
      </c>
      <c r="Y86" s="225">
        <f t="shared" si="37"/>
        <v>0</v>
      </c>
      <c r="Z86" s="225">
        <f t="shared" si="37"/>
        <v>0</v>
      </c>
      <c r="AA86" s="225">
        <f t="shared" si="37"/>
        <v>0</v>
      </c>
      <c r="AB86" s="225">
        <f t="shared" si="37"/>
        <v>0</v>
      </c>
      <c r="AC86" s="225">
        <f t="shared" si="37"/>
        <v>0</v>
      </c>
      <c r="AD86" s="225">
        <f t="shared" si="37"/>
        <v>0</v>
      </c>
      <c r="AE86" s="225">
        <f t="shared" si="37"/>
        <v>0</v>
      </c>
      <c r="AF86" s="225">
        <f t="shared" si="37"/>
        <v>0</v>
      </c>
      <c r="AG86" s="225">
        <f t="shared" si="37"/>
        <v>0</v>
      </c>
      <c r="AH86" s="226">
        <f t="shared" si="37"/>
        <v>0</v>
      </c>
      <c r="AI86" s="227"/>
    </row>
    <row r="87" spans="2:35" x14ac:dyDescent="0.25">
      <c r="B87" s="222" t="s">
        <v>83</v>
      </c>
      <c r="C87" s="223" t="s">
        <v>71</v>
      </c>
      <c r="D87" s="224"/>
      <c r="E87" s="228" t="s">
        <v>80</v>
      </c>
      <c r="F87" s="225">
        <f>MIN(0,-MIN(F$84,F86))</f>
        <v>0</v>
      </c>
      <c r="G87" s="225">
        <f>MIN(0,-MIN(G90+G$84,G86))</f>
        <v>0</v>
      </c>
      <c r="H87" s="225">
        <f>MIN(0,-MIN(H$84+H90+H93,H86))</f>
        <v>0</v>
      </c>
      <c r="I87" s="225">
        <f t="shared" ref="I87:AH87" si="38">MIN(0,-MIN(I96+I93+I90+I$84,I86))</f>
        <v>0</v>
      </c>
      <c r="J87" s="225">
        <f t="shared" si="38"/>
        <v>0</v>
      </c>
      <c r="K87" s="225">
        <f t="shared" si="38"/>
        <v>0</v>
      </c>
      <c r="L87" s="225">
        <f t="shared" si="38"/>
        <v>0</v>
      </c>
      <c r="M87" s="225">
        <f t="shared" si="38"/>
        <v>0</v>
      </c>
      <c r="N87" s="225">
        <f t="shared" si="38"/>
        <v>0</v>
      </c>
      <c r="O87" s="225">
        <f t="shared" si="38"/>
        <v>0</v>
      </c>
      <c r="P87" s="225">
        <f t="shared" si="38"/>
        <v>0</v>
      </c>
      <c r="Q87" s="225">
        <f t="shared" si="38"/>
        <v>0</v>
      </c>
      <c r="R87" s="225">
        <f t="shared" si="38"/>
        <v>0</v>
      </c>
      <c r="S87" s="225">
        <f t="shared" si="38"/>
        <v>0</v>
      </c>
      <c r="T87" s="225">
        <f t="shared" si="38"/>
        <v>0</v>
      </c>
      <c r="U87" s="225">
        <f t="shared" si="38"/>
        <v>0</v>
      </c>
      <c r="V87" s="225">
        <f t="shared" si="38"/>
        <v>0</v>
      </c>
      <c r="W87" s="225">
        <f t="shared" si="38"/>
        <v>0</v>
      </c>
      <c r="X87" s="225">
        <f t="shared" si="38"/>
        <v>0</v>
      </c>
      <c r="Y87" s="225">
        <f t="shared" si="38"/>
        <v>0</v>
      </c>
      <c r="Z87" s="225">
        <f t="shared" si="38"/>
        <v>0</v>
      </c>
      <c r="AA87" s="225">
        <f t="shared" si="38"/>
        <v>0</v>
      </c>
      <c r="AB87" s="225">
        <f t="shared" si="38"/>
        <v>0</v>
      </c>
      <c r="AC87" s="225">
        <f t="shared" si="38"/>
        <v>0</v>
      </c>
      <c r="AD87" s="225">
        <f t="shared" si="38"/>
        <v>0</v>
      </c>
      <c r="AE87" s="225">
        <f t="shared" si="38"/>
        <v>0</v>
      </c>
      <c r="AF87" s="225">
        <f t="shared" si="38"/>
        <v>0</v>
      </c>
      <c r="AG87" s="225">
        <f t="shared" si="38"/>
        <v>0</v>
      </c>
      <c r="AH87" s="225">
        <f t="shared" si="38"/>
        <v>0</v>
      </c>
      <c r="AI87" s="227"/>
    </row>
    <row r="88" spans="2:35" x14ac:dyDescent="0.25">
      <c r="B88" s="222" t="s">
        <v>84</v>
      </c>
      <c r="C88" s="223" t="s">
        <v>71</v>
      </c>
      <c r="D88" s="224"/>
      <c r="E88" s="228" t="str">
        <f>E86</f>
        <v>-</v>
      </c>
      <c r="F88" s="225">
        <f t="shared" ref="F88:AH88" si="39">SUM(F86:F87)</f>
        <v>0</v>
      </c>
      <c r="G88" s="225">
        <f t="shared" si="39"/>
        <v>0</v>
      </c>
      <c r="H88" s="225">
        <f t="shared" si="39"/>
        <v>0</v>
      </c>
      <c r="I88" s="225">
        <f t="shared" si="39"/>
        <v>0</v>
      </c>
      <c r="J88" s="225">
        <f t="shared" si="39"/>
        <v>0</v>
      </c>
      <c r="K88" s="225">
        <f t="shared" si="39"/>
        <v>0</v>
      </c>
      <c r="L88" s="225">
        <f t="shared" si="39"/>
        <v>0</v>
      </c>
      <c r="M88" s="225">
        <f t="shared" si="39"/>
        <v>0</v>
      </c>
      <c r="N88" s="225">
        <f t="shared" si="39"/>
        <v>0</v>
      </c>
      <c r="O88" s="225">
        <f t="shared" si="39"/>
        <v>0</v>
      </c>
      <c r="P88" s="225">
        <f t="shared" si="39"/>
        <v>0</v>
      </c>
      <c r="Q88" s="225">
        <f t="shared" si="39"/>
        <v>0</v>
      </c>
      <c r="R88" s="225">
        <f t="shared" si="39"/>
        <v>0</v>
      </c>
      <c r="S88" s="225">
        <f t="shared" si="39"/>
        <v>0</v>
      </c>
      <c r="T88" s="225">
        <f t="shared" si="39"/>
        <v>0</v>
      </c>
      <c r="U88" s="225">
        <f t="shared" si="39"/>
        <v>0</v>
      </c>
      <c r="V88" s="225">
        <f t="shared" si="39"/>
        <v>0</v>
      </c>
      <c r="W88" s="225">
        <f t="shared" si="39"/>
        <v>0</v>
      </c>
      <c r="X88" s="225">
        <f t="shared" si="39"/>
        <v>0</v>
      </c>
      <c r="Y88" s="225">
        <f t="shared" si="39"/>
        <v>0</v>
      </c>
      <c r="Z88" s="225">
        <f t="shared" si="39"/>
        <v>0</v>
      </c>
      <c r="AA88" s="225">
        <f t="shared" si="39"/>
        <v>0</v>
      </c>
      <c r="AB88" s="225">
        <f t="shared" si="39"/>
        <v>0</v>
      </c>
      <c r="AC88" s="225">
        <f t="shared" si="39"/>
        <v>0</v>
      </c>
      <c r="AD88" s="225">
        <f t="shared" si="39"/>
        <v>0</v>
      </c>
      <c r="AE88" s="225">
        <f t="shared" si="39"/>
        <v>0</v>
      </c>
      <c r="AF88" s="225">
        <f t="shared" si="39"/>
        <v>0</v>
      </c>
      <c r="AG88" s="225">
        <f t="shared" si="39"/>
        <v>0</v>
      </c>
      <c r="AH88" s="226">
        <f t="shared" si="39"/>
        <v>0</v>
      </c>
      <c r="AI88" s="227"/>
    </row>
    <row r="89" spans="2:35" x14ac:dyDescent="0.25">
      <c r="B89" s="222" t="s">
        <v>85</v>
      </c>
      <c r="C89" s="223" t="s">
        <v>71</v>
      </c>
      <c r="D89" s="224"/>
      <c r="E89" s="228" t="s">
        <v>80</v>
      </c>
      <c r="F89" s="228" t="s">
        <v>80</v>
      </c>
      <c r="G89" s="225">
        <f t="shared" ref="G89:AH89" si="40">F88</f>
        <v>0</v>
      </c>
      <c r="H89" s="225">
        <f t="shared" si="40"/>
        <v>0</v>
      </c>
      <c r="I89" s="225">
        <f t="shared" si="40"/>
        <v>0</v>
      </c>
      <c r="J89" s="225">
        <f t="shared" si="40"/>
        <v>0</v>
      </c>
      <c r="K89" s="225">
        <f t="shared" si="40"/>
        <v>0</v>
      </c>
      <c r="L89" s="225">
        <f t="shared" si="40"/>
        <v>0</v>
      </c>
      <c r="M89" s="225">
        <f t="shared" si="40"/>
        <v>0</v>
      </c>
      <c r="N89" s="225">
        <f t="shared" si="40"/>
        <v>0</v>
      </c>
      <c r="O89" s="225">
        <f t="shared" si="40"/>
        <v>0</v>
      </c>
      <c r="P89" s="225">
        <f t="shared" si="40"/>
        <v>0</v>
      </c>
      <c r="Q89" s="225">
        <f t="shared" si="40"/>
        <v>0</v>
      </c>
      <c r="R89" s="225">
        <f t="shared" si="40"/>
        <v>0</v>
      </c>
      <c r="S89" s="225">
        <f t="shared" si="40"/>
        <v>0</v>
      </c>
      <c r="T89" s="225">
        <f t="shared" si="40"/>
        <v>0</v>
      </c>
      <c r="U89" s="225">
        <f t="shared" si="40"/>
        <v>0</v>
      </c>
      <c r="V89" s="225">
        <f t="shared" si="40"/>
        <v>0</v>
      </c>
      <c r="W89" s="225">
        <f t="shared" si="40"/>
        <v>0</v>
      </c>
      <c r="X89" s="225">
        <f t="shared" si="40"/>
        <v>0</v>
      </c>
      <c r="Y89" s="225">
        <f t="shared" si="40"/>
        <v>0</v>
      </c>
      <c r="Z89" s="225">
        <f t="shared" si="40"/>
        <v>0</v>
      </c>
      <c r="AA89" s="225">
        <f t="shared" si="40"/>
        <v>0</v>
      </c>
      <c r="AB89" s="225">
        <f t="shared" si="40"/>
        <v>0</v>
      </c>
      <c r="AC89" s="225">
        <f t="shared" si="40"/>
        <v>0</v>
      </c>
      <c r="AD89" s="225">
        <f t="shared" si="40"/>
        <v>0</v>
      </c>
      <c r="AE89" s="225">
        <f t="shared" si="40"/>
        <v>0</v>
      </c>
      <c r="AF89" s="225">
        <f t="shared" si="40"/>
        <v>0</v>
      </c>
      <c r="AG89" s="225">
        <f t="shared" si="40"/>
        <v>0</v>
      </c>
      <c r="AH89" s="226">
        <f t="shared" si="40"/>
        <v>0</v>
      </c>
      <c r="AI89" s="227"/>
    </row>
    <row r="90" spans="2:35" x14ac:dyDescent="0.25">
      <c r="B90" s="222" t="s">
        <v>83</v>
      </c>
      <c r="C90" s="223" t="s">
        <v>71</v>
      </c>
      <c r="D90" s="224"/>
      <c r="E90" s="228" t="s">
        <v>80</v>
      </c>
      <c r="F90" s="228" t="s">
        <v>80</v>
      </c>
      <c r="G90" s="225">
        <f>MIN(0,-MIN(G$84,G89))</f>
        <v>0</v>
      </c>
      <c r="H90" s="225">
        <f>MIN(0,-MIN(H93+H$84,H89))</f>
        <v>0</v>
      </c>
      <c r="I90" s="225">
        <f>MIN(0,-MIN(I96+I93+I$84,I89))</f>
        <v>0</v>
      </c>
      <c r="J90" s="225">
        <f t="shared" ref="J90:AH90" si="41">MIN(0,-MIN(J99+J96+J93+J$84,J89))</f>
        <v>0</v>
      </c>
      <c r="K90" s="225">
        <f t="shared" si="41"/>
        <v>0</v>
      </c>
      <c r="L90" s="225">
        <f t="shared" si="41"/>
        <v>0</v>
      </c>
      <c r="M90" s="225">
        <f t="shared" si="41"/>
        <v>0</v>
      </c>
      <c r="N90" s="225">
        <f t="shared" si="41"/>
        <v>0</v>
      </c>
      <c r="O90" s="225">
        <f t="shared" si="41"/>
        <v>0</v>
      </c>
      <c r="P90" s="225">
        <f t="shared" si="41"/>
        <v>0</v>
      </c>
      <c r="Q90" s="225">
        <f t="shared" si="41"/>
        <v>0</v>
      </c>
      <c r="R90" s="225">
        <f t="shared" si="41"/>
        <v>0</v>
      </c>
      <c r="S90" s="225">
        <f t="shared" si="41"/>
        <v>0</v>
      </c>
      <c r="T90" s="225">
        <f t="shared" si="41"/>
        <v>0</v>
      </c>
      <c r="U90" s="225">
        <f t="shared" si="41"/>
        <v>0</v>
      </c>
      <c r="V90" s="225">
        <f t="shared" si="41"/>
        <v>0</v>
      </c>
      <c r="W90" s="225">
        <f t="shared" si="41"/>
        <v>0</v>
      </c>
      <c r="X90" s="225">
        <f t="shared" si="41"/>
        <v>0</v>
      </c>
      <c r="Y90" s="225">
        <f t="shared" si="41"/>
        <v>0</v>
      </c>
      <c r="Z90" s="225">
        <f t="shared" si="41"/>
        <v>0</v>
      </c>
      <c r="AA90" s="225">
        <f t="shared" si="41"/>
        <v>0</v>
      </c>
      <c r="AB90" s="225">
        <f t="shared" si="41"/>
        <v>0</v>
      </c>
      <c r="AC90" s="225">
        <f t="shared" si="41"/>
        <v>0</v>
      </c>
      <c r="AD90" s="225">
        <f t="shared" si="41"/>
        <v>0</v>
      </c>
      <c r="AE90" s="225">
        <f t="shared" si="41"/>
        <v>0</v>
      </c>
      <c r="AF90" s="225">
        <f t="shared" si="41"/>
        <v>0</v>
      </c>
      <c r="AG90" s="225">
        <f t="shared" si="41"/>
        <v>0</v>
      </c>
      <c r="AH90" s="225">
        <f t="shared" si="41"/>
        <v>0</v>
      </c>
      <c r="AI90" s="227"/>
    </row>
    <row r="91" spans="2:35" x14ac:dyDescent="0.25">
      <c r="B91" s="222" t="s">
        <v>86</v>
      </c>
      <c r="C91" s="223" t="s">
        <v>71</v>
      </c>
      <c r="D91" s="224"/>
      <c r="E91" s="228" t="s">
        <v>80</v>
      </c>
      <c r="F91" s="228" t="s">
        <v>80</v>
      </c>
      <c r="G91" s="225">
        <f t="shared" ref="G91:AH91" si="42">G89+G90</f>
        <v>0</v>
      </c>
      <c r="H91" s="225">
        <f t="shared" si="42"/>
        <v>0</v>
      </c>
      <c r="I91" s="225">
        <f t="shared" si="42"/>
        <v>0</v>
      </c>
      <c r="J91" s="225">
        <f t="shared" si="42"/>
        <v>0</v>
      </c>
      <c r="K91" s="225">
        <f t="shared" si="42"/>
        <v>0</v>
      </c>
      <c r="L91" s="225">
        <f t="shared" si="42"/>
        <v>0</v>
      </c>
      <c r="M91" s="225">
        <f t="shared" si="42"/>
        <v>0</v>
      </c>
      <c r="N91" s="225">
        <f t="shared" si="42"/>
        <v>0</v>
      </c>
      <c r="O91" s="225">
        <f t="shared" si="42"/>
        <v>0</v>
      </c>
      <c r="P91" s="225">
        <f t="shared" si="42"/>
        <v>0</v>
      </c>
      <c r="Q91" s="225">
        <f t="shared" si="42"/>
        <v>0</v>
      </c>
      <c r="R91" s="225">
        <f t="shared" si="42"/>
        <v>0</v>
      </c>
      <c r="S91" s="225">
        <f t="shared" si="42"/>
        <v>0</v>
      </c>
      <c r="T91" s="225">
        <f t="shared" si="42"/>
        <v>0</v>
      </c>
      <c r="U91" s="225">
        <f t="shared" si="42"/>
        <v>0</v>
      </c>
      <c r="V91" s="225">
        <f t="shared" si="42"/>
        <v>0</v>
      </c>
      <c r="W91" s="225">
        <f t="shared" si="42"/>
        <v>0</v>
      </c>
      <c r="X91" s="225">
        <f t="shared" si="42"/>
        <v>0</v>
      </c>
      <c r="Y91" s="225">
        <f t="shared" si="42"/>
        <v>0</v>
      </c>
      <c r="Z91" s="225">
        <f t="shared" si="42"/>
        <v>0</v>
      </c>
      <c r="AA91" s="225">
        <f t="shared" si="42"/>
        <v>0</v>
      </c>
      <c r="AB91" s="225">
        <f t="shared" si="42"/>
        <v>0</v>
      </c>
      <c r="AC91" s="225">
        <f t="shared" si="42"/>
        <v>0</v>
      </c>
      <c r="AD91" s="225">
        <f t="shared" si="42"/>
        <v>0</v>
      </c>
      <c r="AE91" s="225">
        <f t="shared" si="42"/>
        <v>0</v>
      </c>
      <c r="AF91" s="225">
        <f t="shared" si="42"/>
        <v>0</v>
      </c>
      <c r="AG91" s="225">
        <f t="shared" si="42"/>
        <v>0</v>
      </c>
      <c r="AH91" s="226">
        <f t="shared" si="42"/>
        <v>0</v>
      </c>
      <c r="AI91" s="227"/>
    </row>
    <row r="92" spans="2:35" x14ac:dyDescent="0.25">
      <c r="B92" s="222" t="s">
        <v>87</v>
      </c>
      <c r="C92" s="223" t="s">
        <v>71</v>
      </c>
      <c r="D92" s="224"/>
      <c r="E92" s="228" t="s">
        <v>80</v>
      </c>
      <c r="F92" s="228" t="s">
        <v>80</v>
      </c>
      <c r="G92" s="228" t="s">
        <v>80</v>
      </c>
      <c r="H92" s="225">
        <f t="shared" ref="H92:AH92" si="43">G91</f>
        <v>0</v>
      </c>
      <c r="I92" s="225">
        <f t="shared" si="43"/>
        <v>0</v>
      </c>
      <c r="J92" s="225">
        <f t="shared" si="43"/>
        <v>0</v>
      </c>
      <c r="K92" s="225">
        <f t="shared" si="43"/>
        <v>0</v>
      </c>
      <c r="L92" s="225">
        <f t="shared" si="43"/>
        <v>0</v>
      </c>
      <c r="M92" s="225">
        <f t="shared" si="43"/>
        <v>0</v>
      </c>
      <c r="N92" s="225">
        <f t="shared" si="43"/>
        <v>0</v>
      </c>
      <c r="O92" s="225">
        <f t="shared" si="43"/>
        <v>0</v>
      </c>
      <c r="P92" s="225">
        <f t="shared" si="43"/>
        <v>0</v>
      </c>
      <c r="Q92" s="225">
        <f t="shared" si="43"/>
        <v>0</v>
      </c>
      <c r="R92" s="225">
        <f t="shared" si="43"/>
        <v>0</v>
      </c>
      <c r="S92" s="225">
        <f t="shared" si="43"/>
        <v>0</v>
      </c>
      <c r="T92" s="225">
        <f t="shared" si="43"/>
        <v>0</v>
      </c>
      <c r="U92" s="225">
        <f t="shared" si="43"/>
        <v>0</v>
      </c>
      <c r="V92" s="225">
        <f t="shared" si="43"/>
        <v>0</v>
      </c>
      <c r="W92" s="225">
        <f t="shared" si="43"/>
        <v>0</v>
      </c>
      <c r="X92" s="225">
        <f t="shared" si="43"/>
        <v>0</v>
      </c>
      <c r="Y92" s="225">
        <f t="shared" si="43"/>
        <v>0</v>
      </c>
      <c r="Z92" s="225">
        <f t="shared" si="43"/>
        <v>0</v>
      </c>
      <c r="AA92" s="225">
        <f t="shared" si="43"/>
        <v>0</v>
      </c>
      <c r="AB92" s="225">
        <f t="shared" si="43"/>
        <v>0</v>
      </c>
      <c r="AC92" s="225">
        <f t="shared" si="43"/>
        <v>0</v>
      </c>
      <c r="AD92" s="225">
        <f t="shared" si="43"/>
        <v>0</v>
      </c>
      <c r="AE92" s="225">
        <f t="shared" si="43"/>
        <v>0</v>
      </c>
      <c r="AF92" s="225">
        <f t="shared" si="43"/>
        <v>0</v>
      </c>
      <c r="AG92" s="225">
        <f t="shared" si="43"/>
        <v>0</v>
      </c>
      <c r="AH92" s="226">
        <f t="shared" si="43"/>
        <v>0</v>
      </c>
      <c r="AI92" s="227"/>
    </row>
    <row r="93" spans="2:35" x14ac:dyDescent="0.25">
      <c r="B93" s="222" t="s">
        <v>83</v>
      </c>
      <c r="C93" s="223" t="s">
        <v>71</v>
      </c>
      <c r="D93" s="224"/>
      <c r="E93" s="228" t="s">
        <v>80</v>
      </c>
      <c r="F93" s="228" t="s">
        <v>80</v>
      </c>
      <c r="G93" s="228" t="s">
        <v>80</v>
      </c>
      <c r="H93" s="225">
        <f>MIN(0,-MIN(H$84,H92))</f>
        <v>0</v>
      </c>
      <c r="I93" s="225">
        <f t="shared" ref="I93:AH93" si="44">MIN(0,-MIN(I96+I$84,I92))</f>
        <v>0</v>
      </c>
      <c r="J93" s="225">
        <f t="shared" si="44"/>
        <v>0</v>
      </c>
      <c r="K93" s="225">
        <f t="shared" si="44"/>
        <v>0</v>
      </c>
      <c r="L93" s="225">
        <f t="shared" si="44"/>
        <v>0</v>
      </c>
      <c r="M93" s="225">
        <f t="shared" si="44"/>
        <v>0</v>
      </c>
      <c r="N93" s="225">
        <f t="shared" si="44"/>
        <v>0</v>
      </c>
      <c r="O93" s="225">
        <f t="shared" si="44"/>
        <v>0</v>
      </c>
      <c r="P93" s="225">
        <f t="shared" si="44"/>
        <v>0</v>
      </c>
      <c r="Q93" s="225">
        <f t="shared" si="44"/>
        <v>0</v>
      </c>
      <c r="R93" s="225">
        <f t="shared" si="44"/>
        <v>0</v>
      </c>
      <c r="S93" s="225">
        <f t="shared" si="44"/>
        <v>0</v>
      </c>
      <c r="T93" s="225">
        <f t="shared" si="44"/>
        <v>0</v>
      </c>
      <c r="U93" s="225">
        <f t="shared" si="44"/>
        <v>0</v>
      </c>
      <c r="V93" s="225">
        <f t="shared" si="44"/>
        <v>0</v>
      </c>
      <c r="W93" s="225">
        <f t="shared" si="44"/>
        <v>0</v>
      </c>
      <c r="X93" s="225">
        <f t="shared" si="44"/>
        <v>0</v>
      </c>
      <c r="Y93" s="225">
        <f t="shared" si="44"/>
        <v>0</v>
      </c>
      <c r="Z93" s="225">
        <f t="shared" si="44"/>
        <v>0</v>
      </c>
      <c r="AA93" s="225">
        <f t="shared" si="44"/>
        <v>0</v>
      </c>
      <c r="AB93" s="225">
        <f t="shared" si="44"/>
        <v>0</v>
      </c>
      <c r="AC93" s="225">
        <f t="shared" si="44"/>
        <v>0</v>
      </c>
      <c r="AD93" s="225">
        <f t="shared" si="44"/>
        <v>0</v>
      </c>
      <c r="AE93" s="225">
        <f t="shared" si="44"/>
        <v>0</v>
      </c>
      <c r="AF93" s="225">
        <f t="shared" si="44"/>
        <v>0</v>
      </c>
      <c r="AG93" s="225">
        <f t="shared" si="44"/>
        <v>0</v>
      </c>
      <c r="AH93" s="225">
        <f t="shared" si="44"/>
        <v>0</v>
      </c>
      <c r="AI93" s="227"/>
    </row>
    <row r="94" spans="2:35" x14ac:dyDescent="0.25">
      <c r="B94" s="222" t="s">
        <v>88</v>
      </c>
      <c r="C94" s="223" t="s">
        <v>71</v>
      </c>
      <c r="D94" s="224"/>
      <c r="E94" s="228" t="s">
        <v>80</v>
      </c>
      <c r="F94" s="228" t="s">
        <v>80</v>
      </c>
      <c r="G94" s="228" t="s">
        <v>80</v>
      </c>
      <c r="H94" s="225">
        <f t="shared" ref="H94:AH94" si="45">H92+H93</f>
        <v>0</v>
      </c>
      <c r="I94" s="225">
        <f t="shared" si="45"/>
        <v>0</v>
      </c>
      <c r="J94" s="225">
        <f t="shared" si="45"/>
        <v>0</v>
      </c>
      <c r="K94" s="225">
        <f t="shared" si="45"/>
        <v>0</v>
      </c>
      <c r="L94" s="225">
        <f t="shared" si="45"/>
        <v>0</v>
      </c>
      <c r="M94" s="225">
        <f t="shared" si="45"/>
        <v>0</v>
      </c>
      <c r="N94" s="225">
        <f t="shared" si="45"/>
        <v>0</v>
      </c>
      <c r="O94" s="225">
        <f t="shared" si="45"/>
        <v>0</v>
      </c>
      <c r="P94" s="225">
        <f t="shared" si="45"/>
        <v>0</v>
      </c>
      <c r="Q94" s="225">
        <f t="shared" si="45"/>
        <v>0</v>
      </c>
      <c r="R94" s="225">
        <f t="shared" si="45"/>
        <v>0</v>
      </c>
      <c r="S94" s="225">
        <f t="shared" si="45"/>
        <v>0</v>
      </c>
      <c r="T94" s="225">
        <f t="shared" si="45"/>
        <v>0</v>
      </c>
      <c r="U94" s="225">
        <f t="shared" si="45"/>
        <v>0</v>
      </c>
      <c r="V94" s="225">
        <f t="shared" si="45"/>
        <v>0</v>
      </c>
      <c r="W94" s="225">
        <f t="shared" si="45"/>
        <v>0</v>
      </c>
      <c r="X94" s="225">
        <f t="shared" si="45"/>
        <v>0</v>
      </c>
      <c r="Y94" s="225">
        <f t="shared" si="45"/>
        <v>0</v>
      </c>
      <c r="Z94" s="225">
        <f t="shared" si="45"/>
        <v>0</v>
      </c>
      <c r="AA94" s="225">
        <f t="shared" si="45"/>
        <v>0</v>
      </c>
      <c r="AB94" s="225">
        <f t="shared" si="45"/>
        <v>0</v>
      </c>
      <c r="AC94" s="225">
        <f t="shared" si="45"/>
        <v>0</v>
      </c>
      <c r="AD94" s="225">
        <f t="shared" si="45"/>
        <v>0</v>
      </c>
      <c r="AE94" s="225">
        <f t="shared" si="45"/>
        <v>0</v>
      </c>
      <c r="AF94" s="225">
        <f t="shared" si="45"/>
        <v>0</v>
      </c>
      <c r="AG94" s="225">
        <f t="shared" si="45"/>
        <v>0</v>
      </c>
      <c r="AH94" s="226">
        <f t="shared" si="45"/>
        <v>0</v>
      </c>
      <c r="AI94" s="227"/>
    </row>
    <row r="95" spans="2:35" x14ac:dyDescent="0.25">
      <c r="B95" s="222" t="s">
        <v>90</v>
      </c>
      <c r="C95" s="223" t="s">
        <v>71</v>
      </c>
      <c r="D95" s="224"/>
      <c r="E95" s="228" t="s">
        <v>80</v>
      </c>
      <c r="F95" s="228" t="s">
        <v>80</v>
      </c>
      <c r="G95" s="228" t="s">
        <v>80</v>
      </c>
      <c r="H95" s="228" t="s">
        <v>80</v>
      </c>
      <c r="I95" s="225">
        <f t="shared" ref="I95:AH95" si="46">H94</f>
        <v>0</v>
      </c>
      <c r="J95" s="225">
        <f t="shared" si="46"/>
        <v>0</v>
      </c>
      <c r="K95" s="225">
        <f t="shared" si="46"/>
        <v>0</v>
      </c>
      <c r="L95" s="225">
        <f t="shared" si="46"/>
        <v>0</v>
      </c>
      <c r="M95" s="225">
        <f t="shared" si="46"/>
        <v>0</v>
      </c>
      <c r="N95" s="225">
        <f t="shared" si="46"/>
        <v>0</v>
      </c>
      <c r="O95" s="225">
        <f t="shared" si="46"/>
        <v>0</v>
      </c>
      <c r="P95" s="225">
        <f t="shared" si="46"/>
        <v>0</v>
      </c>
      <c r="Q95" s="225">
        <f t="shared" si="46"/>
        <v>0</v>
      </c>
      <c r="R95" s="225">
        <f t="shared" si="46"/>
        <v>0</v>
      </c>
      <c r="S95" s="225">
        <f t="shared" si="46"/>
        <v>0</v>
      </c>
      <c r="T95" s="225">
        <f t="shared" si="46"/>
        <v>0</v>
      </c>
      <c r="U95" s="225">
        <f t="shared" si="46"/>
        <v>0</v>
      </c>
      <c r="V95" s="225">
        <f t="shared" si="46"/>
        <v>0</v>
      </c>
      <c r="W95" s="225">
        <f t="shared" si="46"/>
        <v>0</v>
      </c>
      <c r="X95" s="225">
        <f t="shared" si="46"/>
        <v>0</v>
      </c>
      <c r="Y95" s="225">
        <f t="shared" si="46"/>
        <v>0</v>
      </c>
      <c r="Z95" s="225">
        <f t="shared" si="46"/>
        <v>0</v>
      </c>
      <c r="AA95" s="225">
        <f t="shared" si="46"/>
        <v>0</v>
      </c>
      <c r="AB95" s="225">
        <f t="shared" si="46"/>
        <v>0</v>
      </c>
      <c r="AC95" s="225">
        <f t="shared" si="46"/>
        <v>0</v>
      </c>
      <c r="AD95" s="225">
        <f t="shared" si="46"/>
        <v>0</v>
      </c>
      <c r="AE95" s="225">
        <f t="shared" si="46"/>
        <v>0</v>
      </c>
      <c r="AF95" s="225">
        <f t="shared" si="46"/>
        <v>0</v>
      </c>
      <c r="AG95" s="225">
        <f t="shared" si="46"/>
        <v>0</v>
      </c>
      <c r="AH95" s="225">
        <f t="shared" si="46"/>
        <v>0</v>
      </c>
      <c r="AI95" s="227"/>
    </row>
    <row r="96" spans="2:35" x14ac:dyDescent="0.25">
      <c r="B96" s="222" t="s">
        <v>83</v>
      </c>
      <c r="C96" s="223" t="s">
        <v>71</v>
      </c>
      <c r="D96" s="224"/>
      <c r="E96" s="228" t="s">
        <v>80</v>
      </c>
      <c r="F96" s="228" t="s">
        <v>80</v>
      </c>
      <c r="G96" s="228" t="s">
        <v>80</v>
      </c>
      <c r="H96" s="228" t="s">
        <v>80</v>
      </c>
      <c r="I96" s="225">
        <f t="shared" ref="I96:AH96" si="47">MIN(0,-MIN(I$84,I95))</f>
        <v>0</v>
      </c>
      <c r="J96" s="225">
        <f t="shared" si="47"/>
        <v>0</v>
      </c>
      <c r="K96" s="225">
        <f t="shared" si="47"/>
        <v>0</v>
      </c>
      <c r="L96" s="225">
        <f t="shared" si="47"/>
        <v>0</v>
      </c>
      <c r="M96" s="225">
        <f t="shared" si="47"/>
        <v>0</v>
      </c>
      <c r="N96" s="225">
        <f t="shared" si="47"/>
        <v>0</v>
      </c>
      <c r="O96" s="225">
        <f t="shared" si="47"/>
        <v>0</v>
      </c>
      <c r="P96" s="225">
        <f t="shared" si="47"/>
        <v>0</v>
      </c>
      <c r="Q96" s="225">
        <f t="shared" si="47"/>
        <v>0</v>
      </c>
      <c r="R96" s="225">
        <f t="shared" si="47"/>
        <v>0</v>
      </c>
      <c r="S96" s="225">
        <f t="shared" si="47"/>
        <v>0</v>
      </c>
      <c r="T96" s="225">
        <f t="shared" si="47"/>
        <v>0</v>
      </c>
      <c r="U96" s="225">
        <f t="shared" si="47"/>
        <v>0</v>
      </c>
      <c r="V96" s="225">
        <f t="shared" si="47"/>
        <v>0</v>
      </c>
      <c r="W96" s="225">
        <f t="shared" si="47"/>
        <v>0</v>
      </c>
      <c r="X96" s="225">
        <f t="shared" si="47"/>
        <v>0</v>
      </c>
      <c r="Y96" s="225">
        <f t="shared" si="47"/>
        <v>0</v>
      </c>
      <c r="Z96" s="225">
        <f t="shared" si="47"/>
        <v>0</v>
      </c>
      <c r="AA96" s="225">
        <f t="shared" si="47"/>
        <v>0</v>
      </c>
      <c r="AB96" s="225">
        <f t="shared" si="47"/>
        <v>0</v>
      </c>
      <c r="AC96" s="225">
        <f t="shared" si="47"/>
        <v>0</v>
      </c>
      <c r="AD96" s="225">
        <f t="shared" si="47"/>
        <v>0</v>
      </c>
      <c r="AE96" s="225">
        <f t="shared" si="47"/>
        <v>0</v>
      </c>
      <c r="AF96" s="225">
        <f t="shared" si="47"/>
        <v>0</v>
      </c>
      <c r="AG96" s="225">
        <f t="shared" si="47"/>
        <v>0</v>
      </c>
      <c r="AH96" s="225">
        <f t="shared" si="47"/>
        <v>0</v>
      </c>
      <c r="AI96" s="227"/>
    </row>
    <row r="97" spans="1:35" x14ac:dyDescent="0.25">
      <c r="B97" s="222" t="s">
        <v>91</v>
      </c>
      <c r="C97" s="223" t="s">
        <v>71</v>
      </c>
      <c r="D97" s="224"/>
      <c r="E97" s="228" t="s">
        <v>80</v>
      </c>
      <c r="F97" s="228" t="s">
        <v>80</v>
      </c>
      <c r="G97" s="228" t="s">
        <v>80</v>
      </c>
      <c r="H97" s="228" t="s">
        <v>80</v>
      </c>
      <c r="I97" s="225">
        <f t="shared" ref="I97:AH97" si="48">I95+I96</f>
        <v>0</v>
      </c>
      <c r="J97" s="225">
        <f t="shared" si="48"/>
        <v>0</v>
      </c>
      <c r="K97" s="225">
        <f t="shared" si="48"/>
        <v>0</v>
      </c>
      <c r="L97" s="225">
        <f t="shared" si="48"/>
        <v>0</v>
      </c>
      <c r="M97" s="225">
        <f t="shared" si="48"/>
        <v>0</v>
      </c>
      <c r="N97" s="225">
        <f t="shared" si="48"/>
        <v>0</v>
      </c>
      <c r="O97" s="225">
        <f t="shared" si="48"/>
        <v>0</v>
      </c>
      <c r="P97" s="225">
        <f t="shared" si="48"/>
        <v>0</v>
      </c>
      <c r="Q97" s="225">
        <f t="shared" si="48"/>
        <v>0</v>
      </c>
      <c r="R97" s="225">
        <f t="shared" si="48"/>
        <v>0</v>
      </c>
      <c r="S97" s="225">
        <f t="shared" si="48"/>
        <v>0</v>
      </c>
      <c r="T97" s="225">
        <f t="shared" si="48"/>
        <v>0</v>
      </c>
      <c r="U97" s="225">
        <f t="shared" si="48"/>
        <v>0</v>
      </c>
      <c r="V97" s="225">
        <f t="shared" si="48"/>
        <v>0</v>
      </c>
      <c r="W97" s="225">
        <f t="shared" si="48"/>
        <v>0</v>
      </c>
      <c r="X97" s="225">
        <f t="shared" si="48"/>
        <v>0</v>
      </c>
      <c r="Y97" s="225">
        <f t="shared" si="48"/>
        <v>0</v>
      </c>
      <c r="Z97" s="225">
        <f t="shared" si="48"/>
        <v>0</v>
      </c>
      <c r="AA97" s="225">
        <f t="shared" si="48"/>
        <v>0</v>
      </c>
      <c r="AB97" s="225">
        <f t="shared" si="48"/>
        <v>0</v>
      </c>
      <c r="AC97" s="225">
        <f t="shared" si="48"/>
        <v>0</v>
      </c>
      <c r="AD97" s="225">
        <f t="shared" si="48"/>
        <v>0</v>
      </c>
      <c r="AE97" s="225">
        <f t="shared" si="48"/>
        <v>0</v>
      </c>
      <c r="AF97" s="225">
        <f t="shared" si="48"/>
        <v>0</v>
      </c>
      <c r="AG97" s="225">
        <f t="shared" si="48"/>
        <v>0</v>
      </c>
      <c r="AH97" s="226">
        <f t="shared" si="48"/>
        <v>0</v>
      </c>
      <c r="AI97" s="227"/>
    </row>
    <row r="98" spans="1:35" x14ac:dyDescent="0.25">
      <c r="B98" s="222" t="s">
        <v>92</v>
      </c>
      <c r="C98" s="223" t="s">
        <v>71</v>
      </c>
      <c r="D98" s="224"/>
      <c r="E98" s="228" t="s">
        <v>80</v>
      </c>
      <c r="F98" s="228" t="s">
        <v>80</v>
      </c>
      <c r="G98" s="228" t="s">
        <v>80</v>
      </c>
      <c r="H98" s="228" t="s">
        <v>80</v>
      </c>
      <c r="I98" s="228" t="s">
        <v>80</v>
      </c>
      <c r="J98" s="225">
        <f t="shared" ref="J98:AH98" si="49">I97</f>
        <v>0</v>
      </c>
      <c r="K98" s="225">
        <f t="shared" si="49"/>
        <v>0</v>
      </c>
      <c r="L98" s="225">
        <f t="shared" si="49"/>
        <v>0</v>
      </c>
      <c r="M98" s="225">
        <f t="shared" si="49"/>
        <v>0</v>
      </c>
      <c r="N98" s="225">
        <f t="shared" si="49"/>
        <v>0</v>
      </c>
      <c r="O98" s="225">
        <f t="shared" si="49"/>
        <v>0</v>
      </c>
      <c r="P98" s="225">
        <f t="shared" si="49"/>
        <v>0</v>
      </c>
      <c r="Q98" s="225">
        <f t="shared" si="49"/>
        <v>0</v>
      </c>
      <c r="R98" s="225">
        <f t="shared" si="49"/>
        <v>0</v>
      </c>
      <c r="S98" s="225">
        <f t="shared" si="49"/>
        <v>0</v>
      </c>
      <c r="T98" s="225">
        <f t="shared" si="49"/>
        <v>0</v>
      </c>
      <c r="U98" s="225">
        <f t="shared" si="49"/>
        <v>0</v>
      </c>
      <c r="V98" s="225">
        <f t="shared" si="49"/>
        <v>0</v>
      </c>
      <c r="W98" s="225">
        <f t="shared" si="49"/>
        <v>0</v>
      </c>
      <c r="X98" s="225">
        <f t="shared" si="49"/>
        <v>0</v>
      </c>
      <c r="Y98" s="225">
        <f t="shared" si="49"/>
        <v>0</v>
      </c>
      <c r="Z98" s="225">
        <f t="shared" si="49"/>
        <v>0</v>
      </c>
      <c r="AA98" s="225">
        <f t="shared" si="49"/>
        <v>0</v>
      </c>
      <c r="AB98" s="225">
        <f t="shared" si="49"/>
        <v>0</v>
      </c>
      <c r="AC98" s="225">
        <f t="shared" si="49"/>
        <v>0</v>
      </c>
      <c r="AD98" s="225">
        <f t="shared" si="49"/>
        <v>0</v>
      </c>
      <c r="AE98" s="225">
        <f t="shared" si="49"/>
        <v>0</v>
      </c>
      <c r="AF98" s="225">
        <f t="shared" si="49"/>
        <v>0</v>
      </c>
      <c r="AG98" s="225">
        <f t="shared" si="49"/>
        <v>0</v>
      </c>
      <c r="AH98" s="226">
        <f t="shared" si="49"/>
        <v>0</v>
      </c>
      <c r="AI98" s="227"/>
    </row>
    <row r="99" spans="1:35" x14ac:dyDescent="0.25">
      <c r="B99" s="222" t="s">
        <v>83</v>
      </c>
      <c r="C99" s="223" t="s">
        <v>71</v>
      </c>
      <c r="D99" s="224"/>
      <c r="E99" s="228" t="s">
        <v>80</v>
      </c>
      <c r="F99" s="228" t="s">
        <v>80</v>
      </c>
      <c r="G99" s="228" t="s">
        <v>80</v>
      </c>
      <c r="H99" s="228" t="s">
        <v>80</v>
      </c>
      <c r="I99" s="228" t="s">
        <v>80</v>
      </c>
      <c r="J99" s="225">
        <f t="shared" ref="J99:AH99" si="50">MIN(0,-MIN(J98,J84))</f>
        <v>0</v>
      </c>
      <c r="K99" s="225">
        <f t="shared" si="50"/>
        <v>0</v>
      </c>
      <c r="L99" s="225">
        <f t="shared" si="50"/>
        <v>0</v>
      </c>
      <c r="M99" s="225">
        <f t="shared" si="50"/>
        <v>0</v>
      </c>
      <c r="N99" s="225">
        <f t="shared" si="50"/>
        <v>0</v>
      </c>
      <c r="O99" s="225">
        <f t="shared" si="50"/>
        <v>0</v>
      </c>
      <c r="P99" s="225">
        <f t="shared" si="50"/>
        <v>0</v>
      </c>
      <c r="Q99" s="225">
        <f t="shared" si="50"/>
        <v>0</v>
      </c>
      <c r="R99" s="225">
        <f t="shared" si="50"/>
        <v>0</v>
      </c>
      <c r="S99" s="225">
        <f t="shared" si="50"/>
        <v>0</v>
      </c>
      <c r="T99" s="225">
        <f t="shared" si="50"/>
        <v>0</v>
      </c>
      <c r="U99" s="225">
        <f t="shared" si="50"/>
        <v>0</v>
      </c>
      <c r="V99" s="225">
        <f t="shared" si="50"/>
        <v>0</v>
      </c>
      <c r="W99" s="225">
        <f t="shared" si="50"/>
        <v>0</v>
      </c>
      <c r="X99" s="225">
        <f t="shared" si="50"/>
        <v>0</v>
      </c>
      <c r="Y99" s="225">
        <f t="shared" si="50"/>
        <v>0</v>
      </c>
      <c r="Z99" s="225">
        <f t="shared" si="50"/>
        <v>0</v>
      </c>
      <c r="AA99" s="225">
        <f t="shared" si="50"/>
        <v>0</v>
      </c>
      <c r="AB99" s="225">
        <f t="shared" si="50"/>
        <v>0</v>
      </c>
      <c r="AC99" s="225">
        <f t="shared" si="50"/>
        <v>0</v>
      </c>
      <c r="AD99" s="225">
        <f t="shared" si="50"/>
        <v>0</v>
      </c>
      <c r="AE99" s="225">
        <f t="shared" si="50"/>
        <v>0</v>
      </c>
      <c r="AF99" s="225">
        <f t="shared" si="50"/>
        <v>0</v>
      </c>
      <c r="AG99" s="225">
        <f t="shared" si="50"/>
        <v>0</v>
      </c>
      <c r="AH99" s="225">
        <f t="shared" si="50"/>
        <v>0</v>
      </c>
      <c r="AI99" s="227"/>
    </row>
    <row r="100" spans="1:35" x14ac:dyDescent="0.25">
      <c r="B100" s="229" t="s">
        <v>93</v>
      </c>
      <c r="C100" s="230" t="s">
        <v>71</v>
      </c>
      <c r="D100" s="231"/>
      <c r="E100" s="235" t="s">
        <v>99</v>
      </c>
      <c r="F100" s="235" t="s">
        <v>99</v>
      </c>
      <c r="G100" s="235" t="s">
        <v>99</v>
      </c>
      <c r="H100" s="235" t="s">
        <v>99</v>
      </c>
      <c r="I100" s="235" t="s">
        <v>99</v>
      </c>
      <c r="J100" s="232">
        <f t="shared" ref="J100:AH100" si="51">J98+J99</f>
        <v>0</v>
      </c>
      <c r="K100" s="232">
        <f t="shared" si="51"/>
        <v>0</v>
      </c>
      <c r="L100" s="232">
        <f t="shared" si="51"/>
        <v>0</v>
      </c>
      <c r="M100" s="232">
        <f t="shared" si="51"/>
        <v>0</v>
      </c>
      <c r="N100" s="232">
        <f t="shared" si="51"/>
        <v>0</v>
      </c>
      <c r="O100" s="232">
        <f t="shared" si="51"/>
        <v>0</v>
      </c>
      <c r="P100" s="232">
        <f t="shared" si="51"/>
        <v>0</v>
      </c>
      <c r="Q100" s="232">
        <f t="shared" si="51"/>
        <v>0</v>
      </c>
      <c r="R100" s="232">
        <f t="shared" si="51"/>
        <v>0</v>
      </c>
      <c r="S100" s="232">
        <f t="shared" si="51"/>
        <v>0</v>
      </c>
      <c r="T100" s="232">
        <f t="shared" si="51"/>
        <v>0</v>
      </c>
      <c r="U100" s="232">
        <f t="shared" si="51"/>
        <v>0</v>
      </c>
      <c r="V100" s="232">
        <f t="shared" si="51"/>
        <v>0</v>
      </c>
      <c r="W100" s="232">
        <f t="shared" si="51"/>
        <v>0</v>
      </c>
      <c r="X100" s="232">
        <f t="shared" si="51"/>
        <v>0</v>
      </c>
      <c r="Y100" s="232">
        <f t="shared" si="51"/>
        <v>0</v>
      </c>
      <c r="Z100" s="232">
        <f t="shared" si="51"/>
        <v>0</v>
      </c>
      <c r="AA100" s="232">
        <f t="shared" si="51"/>
        <v>0</v>
      </c>
      <c r="AB100" s="232">
        <f t="shared" si="51"/>
        <v>0</v>
      </c>
      <c r="AC100" s="232">
        <f t="shared" si="51"/>
        <v>0</v>
      </c>
      <c r="AD100" s="232">
        <f t="shared" si="51"/>
        <v>0</v>
      </c>
      <c r="AE100" s="232">
        <f t="shared" si="51"/>
        <v>0</v>
      </c>
      <c r="AF100" s="232">
        <f t="shared" si="51"/>
        <v>0</v>
      </c>
      <c r="AG100" s="232">
        <f t="shared" si="51"/>
        <v>0</v>
      </c>
      <c r="AH100" s="233">
        <f t="shared" si="51"/>
        <v>0</v>
      </c>
      <c r="AI100" s="234"/>
    </row>
    <row r="101" spans="1:35" x14ac:dyDescent="0.25">
      <c r="B101" s="222" t="s">
        <v>94</v>
      </c>
      <c r="C101" s="223" t="s">
        <v>71</v>
      </c>
      <c r="D101" s="224"/>
      <c r="E101" s="228">
        <v>0</v>
      </c>
      <c r="F101" s="228">
        <f t="shared" ref="F101:AH101" si="52">E103+F85</f>
        <v>0</v>
      </c>
      <c r="G101" s="228">
        <f t="shared" si="52"/>
        <v>0</v>
      </c>
      <c r="H101" s="228">
        <f t="shared" si="52"/>
        <v>0</v>
      </c>
      <c r="I101" s="228">
        <f t="shared" si="52"/>
        <v>0</v>
      </c>
      <c r="J101" s="225">
        <f t="shared" si="52"/>
        <v>0</v>
      </c>
      <c r="K101" s="225">
        <f t="shared" si="52"/>
        <v>0</v>
      </c>
      <c r="L101" s="225">
        <f t="shared" si="52"/>
        <v>0</v>
      </c>
      <c r="M101" s="225">
        <f t="shared" si="52"/>
        <v>0</v>
      </c>
      <c r="N101" s="225">
        <f t="shared" si="52"/>
        <v>0</v>
      </c>
      <c r="O101" s="225">
        <f t="shared" si="52"/>
        <v>0</v>
      </c>
      <c r="P101" s="225">
        <f t="shared" si="52"/>
        <v>0</v>
      </c>
      <c r="Q101" s="225">
        <f t="shared" si="52"/>
        <v>0</v>
      </c>
      <c r="R101" s="225">
        <f t="shared" si="52"/>
        <v>0</v>
      </c>
      <c r="S101" s="225">
        <f t="shared" si="52"/>
        <v>0</v>
      </c>
      <c r="T101" s="225">
        <f t="shared" si="52"/>
        <v>0</v>
      </c>
      <c r="U101" s="225">
        <f t="shared" si="52"/>
        <v>0</v>
      </c>
      <c r="V101" s="225">
        <f t="shared" si="52"/>
        <v>0</v>
      </c>
      <c r="W101" s="225">
        <f t="shared" si="52"/>
        <v>0</v>
      </c>
      <c r="X101" s="225">
        <f t="shared" si="52"/>
        <v>0</v>
      </c>
      <c r="Y101" s="225">
        <f t="shared" si="52"/>
        <v>0</v>
      </c>
      <c r="Z101" s="225">
        <f t="shared" si="52"/>
        <v>0</v>
      </c>
      <c r="AA101" s="225">
        <f t="shared" si="52"/>
        <v>0</v>
      </c>
      <c r="AB101" s="225">
        <f t="shared" si="52"/>
        <v>0</v>
      </c>
      <c r="AC101" s="225">
        <f t="shared" si="52"/>
        <v>0</v>
      </c>
      <c r="AD101" s="225">
        <f t="shared" si="52"/>
        <v>0</v>
      </c>
      <c r="AE101" s="225">
        <f t="shared" si="52"/>
        <v>0</v>
      </c>
      <c r="AF101" s="225">
        <f t="shared" si="52"/>
        <v>0</v>
      </c>
      <c r="AG101" s="225">
        <f t="shared" si="52"/>
        <v>0</v>
      </c>
      <c r="AH101" s="226">
        <f t="shared" si="52"/>
        <v>0</v>
      </c>
      <c r="AI101" s="227"/>
    </row>
    <row r="102" spans="1:35" x14ac:dyDescent="0.25">
      <c r="B102" s="222" t="s">
        <v>97</v>
      </c>
      <c r="C102" s="223" t="s">
        <v>71</v>
      </c>
      <c r="D102" s="224"/>
      <c r="E102" s="228">
        <v>0</v>
      </c>
      <c r="F102" s="228">
        <f t="shared" ref="F102:AH102" si="53">SUM(F87,F90,F93,F96,F99)</f>
        <v>0</v>
      </c>
      <c r="G102" s="228">
        <f t="shared" si="53"/>
        <v>0</v>
      </c>
      <c r="H102" s="228">
        <f t="shared" si="53"/>
        <v>0</v>
      </c>
      <c r="I102" s="228">
        <f t="shared" si="53"/>
        <v>0</v>
      </c>
      <c r="J102" s="225">
        <f t="shared" si="53"/>
        <v>0</v>
      </c>
      <c r="K102" s="225">
        <f t="shared" si="53"/>
        <v>0</v>
      </c>
      <c r="L102" s="225">
        <f t="shared" si="53"/>
        <v>0</v>
      </c>
      <c r="M102" s="225">
        <f t="shared" si="53"/>
        <v>0</v>
      </c>
      <c r="N102" s="225">
        <f t="shared" si="53"/>
        <v>0</v>
      </c>
      <c r="O102" s="225">
        <f t="shared" si="53"/>
        <v>0</v>
      </c>
      <c r="P102" s="225">
        <f t="shared" si="53"/>
        <v>0</v>
      </c>
      <c r="Q102" s="225">
        <f t="shared" si="53"/>
        <v>0</v>
      </c>
      <c r="R102" s="225">
        <f t="shared" si="53"/>
        <v>0</v>
      </c>
      <c r="S102" s="225">
        <f t="shared" si="53"/>
        <v>0</v>
      </c>
      <c r="T102" s="225">
        <f t="shared" si="53"/>
        <v>0</v>
      </c>
      <c r="U102" s="225">
        <f t="shared" si="53"/>
        <v>0</v>
      </c>
      <c r="V102" s="225">
        <f t="shared" si="53"/>
        <v>0</v>
      </c>
      <c r="W102" s="225">
        <f t="shared" si="53"/>
        <v>0</v>
      </c>
      <c r="X102" s="225">
        <f t="shared" si="53"/>
        <v>0</v>
      </c>
      <c r="Y102" s="225">
        <f t="shared" si="53"/>
        <v>0</v>
      </c>
      <c r="Z102" s="225">
        <f t="shared" si="53"/>
        <v>0</v>
      </c>
      <c r="AA102" s="225">
        <f t="shared" si="53"/>
        <v>0</v>
      </c>
      <c r="AB102" s="225">
        <f t="shared" si="53"/>
        <v>0</v>
      </c>
      <c r="AC102" s="225">
        <f t="shared" si="53"/>
        <v>0</v>
      </c>
      <c r="AD102" s="225">
        <f t="shared" si="53"/>
        <v>0</v>
      </c>
      <c r="AE102" s="225">
        <f t="shared" si="53"/>
        <v>0</v>
      </c>
      <c r="AF102" s="225">
        <f t="shared" si="53"/>
        <v>0</v>
      </c>
      <c r="AG102" s="225">
        <f t="shared" si="53"/>
        <v>0</v>
      </c>
      <c r="AH102" s="226">
        <f t="shared" si="53"/>
        <v>0</v>
      </c>
      <c r="AI102" s="227"/>
    </row>
    <row r="103" spans="1:35" x14ac:dyDescent="0.25">
      <c r="B103" s="222" t="s">
        <v>98</v>
      </c>
      <c r="C103" s="223" t="s">
        <v>71</v>
      </c>
      <c r="D103" s="224"/>
      <c r="E103" s="228">
        <f>E85</f>
        <v>0</v>
      </c>
      <c r="F103" s="228">
        <f t="shared" ref="F103:AH103" si="54">SUM(F101:F102)</f>
        <v>0</v>
      </c>
      <c r="G103" s="228">
        <f t="shared" si="54"/>
        <v>0</v>
      </c>
      <c r="H103" s="228">
        <f t="shared" si="54"/>
        <v>0</v>
      </c>
      <c r="I103" s="228">
        <f t="shared" si="54"/>
        <v>0</v>
      </c>
      <c r="J103" s="225">
        <f t="shared" si="54"/>
        <v>0</v>
      </c>
      <c r="K103" s="225">
        <f t="shared" si="54"/>
        <v>0</v>
      </c>
      <c r="L103" s="225">
        <f t="shared" si="54"/>
        <v>0</v>
      </c>
      <c r="M103" s="225">
        <f t="shared" si="54"/>
        <v>0</v>
      </c>
      <c r="N103" s="225">
        <f t="shared" si="54"/>
        <v>0</v>
      </c>
      <c r="O103" s="225">
        <f t="shared" si="54"/>
        <v>0</v>
      </c>
      <c r="P103" s="225">
        <f t="shared" si="54"/>
        <v>0</v>
      </c>
      <c r="Q103" s="225">
        <f t="shared" si="54"/>
        <v>0</v>
      </c>
      <c r="R103" s="225">
        <f t="shared" si="54"/>
        <v>0</v>
      </c>
      <c r="S103" s="225">
        <f t="shared" si="54"/>
        <v>0</v>
      </c>
      <c r="T103" s="225">
        <f t="shared" si="54"/>
        <v>0</v>
      </c>
      <c r="U103" s="225">
        <f t="shared" si="54"/>
        <v>0</v>
      </c>
      <c r="V103" s="225">
        <f t="shared" si="54"/>
        <v>0</v>
      </c>
      <c r="W103" s="225">
        <f t="shared" si="54"/>
        <v>0</v>
      </c>
      <c r="X103" s="225">
        <f t="shared" si="54"/>
        <v>0</v>
      </c>
      <c r="Y103" s="225">
        <f t="shared" si="54"/>
        <v>0</v>
      </c>
      <c r="Z103" s="225">
        <f t="shared" si="54"/>
        <v>0</v>
      </c>
      <c r="AA103" s="225">
        <f t="shared" si="54"/>
        <v>0</v>
      </c>
      <c r="AB103" s="225">
        <f t="shared" si="54"/>
        <v>0</v>
      </c>
      <c r="AC103" s="225">
        <f t="shared" si="54"/>
        <v>0</v>
      </c>
      <c r="AD103" s="225">
        <f t="shared" si="54"/>
        <v>0</v>
      </c>
      <c r="AE103" s="225">
        <f t="shared" si="54"/>
        <v>0</v>
      </c>
      <c r="AF103" s="225">
        <f t="shared" si="54"/>
        <v>0</v>
      </c>
      <c r="AG103" s="225">
        <f t="shared" si="54"/>
        <v>0</v>
      </c>
      <c r="AH103" s="226">
        <f t="shared" si="54"/>
        <v>0</v>
      </c>
      <c r="AI103" s="227"/>
    </row>
    <row r="104" spans="1:35" ht="13" thickBot="1" x14ac:dyDescent="0.3">
      <c r="B104" s="222" t="s">
        <v>100</v>
      </c>
      <c r="C104" s="223" t="s">
        <v>71</v>
      </c>
      <c r="D104" s="224"/>
      <c r="E104" s="228">
        <f>E84+E102</f>
        <v>148712155.2258352</v>
      </c>
      <c r="F104" s="228">
        <f t="shared" ref="F104:AH104" si="55">F84+F102</f>
        <v>152530254.07775769</v>
      </c>
      <c r="G104" s="228">
        <f t="shared" si="55"/>
        <v>156348352.92968017</v>
      </c>
      <c r="H104" s="228">
        <f t="shared" si="55"/>
        <v>160166451.78160262</v>
      </c>
      <c r="I104" s="228">
        <f t="shared" si="55"/>
        <v>163984550.6335251</v>
      </c>
      <c r="J104" s="228">
        <f>J84+J102</f>
        <v>167802649.48544759</v>
      </c>
      <c r="K104" s="228">
        <f>K84+K102</f>
        <v>171620748.33737004</v>
      </c>
      <c r="L104" s="228">
        <f t="shared" si="55"/>
        <v>175438847.18929252</v>
      </c>
      <c r="M104" s="228">
        <f t="shared" si="55"/>
        <v>179256946.04121497</v>
      </c>
      <c r="N104" s="228">
        <f t="shared" si="55"/>
        <v>183075044.89313745</v>
      </c>
      <c r="O104" s="228">
        <f t="shared" si="55"/>
        <v>186893143.74505991</v>
      </c>
      <c r="P104" s="228">
        <f t="shared" si="55"/>
        <v>190711242.59698239</v>
      </c>
      <c r="Q104" s="228">
        <f t="shared" si="55"/>
        <v>194529341.44890487</v>
      </c>
      <c r="R104" s="228">
        <f t="shared" si="55"/>
        <v>198347440.30082732</v>
      </c>
      <c r="S104" s="228">
        <f t="shared" si="55"/>
        <v>202165539.15274981</v>
      </c>
      <c r="T104" s="228">
        <f t="shared" si="55"/>
        <v>446993200.08615714</v>
      </c>
      <c r="U104" s="228">
        <f t="shared" si="55"/>
        <v>447437165.06893879</v>
      </c>
      <c r="V104" s="228">
        <f t="shared" si="55"/>
        <v>447881130.0517205</v>
      </c>
      <c r="W104" s="228">
        <f t="shared" si="55"/>
        <v>448325095.03450215</v>
      </c>
      <c r="X104" s="228">
        <f t="shared" si="55"/>
        <v>448769060.01728386</v>
      </c>
      <c r="Y104" s="228">
        <f t="shared" si="55"/>
        <v>449213025.00006557</v>
      </c>
      <c r="Z104" s="228">
        <f t="shared" si="55"/>
        <v>449656989.98284721</v>
      </c>
      <c r="AA104" s="228">
        <f t="shared" si="55"/>
        <v>450100954.96562892</v>
      </c>
      <c r="AB104" s="228">
        <f t="shared" si="55"/>
        <v>450544919.94841057</v>
      </c>
      <c r="AC104" s="228">
        <f t="shared" si="55"/>
        <v>450988884.93119228</v>
      </c>
      <c r="AD104" s="228">
        <f t="shared" si="55"/>
        <v>451432849.91397393</v>
      </c>
      <c r="AE104" s="228">
        <f t="shared" si="55"/>
        <v>451876814.89675564</v>
      </c>
      <c r="AF104" s="228">
        <f t="shared" si="55"/>
        <v>452320779.87953734</v>
      </c>
      <c r="AG104" s="228">
        <f t="shared" si="55"/>
        <v>452764744.86231899</v>
      </c>
      <c r="AH104" s="228">
        <f t="shared" si="55"/>
        <v>453208709.8451007</v>
      </c>
      <c r="AI104" s="227"/>
    </row>
    <row r="105" spans="1:35" ht="13" thickBot="1" x14ac:dyDescent="0.3">
      <c r="B105" s="140" t="s">
        <v>63</v>
      </c>
      <c r="C105" s="56" t="s">
        <v>13</v>
      </c>
      <c r="D105" s="141"/>
      <c r="E105" s="142">
        <f t="shared" ref="E105:AH105" si="56">SUM(E81:E83)</f>
        <v>104098508.65808465</v>
      </c>
      <c r="F105" s="142">
        <f t="shared" si="56"/>
        <v>106771177.85443038</v>
      </c>
      <c r="G105" s="142">
        <f t="shared" si="56"/>
        <v>109443847.05077612</v>
      </c>
      <c r="H105" s="142">
        <f t="shared" si="56"/>
        <v>112116516.24712184</v>
      </c>
      <c r="I105" s="142">
        <f t="shared" si="56"/>
        <v>114789185.44346757</v>
      </c>
      <c r="J105" s="142">
        <f t="shared" si="56"/>
        <v>117461854.6398133</v>
      </c>
      <c r="K105" s="142">
        <f t="shared" si="56"/>
        <v>120134523.83615902</v>
      </c>
      <c r="L105" s="142">
        <f t="shared" si="56"/>
        <v>122807193.03250477</v>
      </c>
      <c r="M105" s="142">
        <f t="shared" si="56"/>
        <v>125479862.22885048</v>
      </c>
      <c r="N105" s="142">
        <f>SUM(N81:N83)</f>
        <v>128152531.42519623</v>
      </c>
      <c r="O105" s="142">
        <f t="shared" si="56"/>
        <v>130825200.62154195</v>
      </c>
      <c r="P105" s="142">
        <f t="shared" si="56"/>
        <v>133497869.81788766</v>
      </c>
      <c r="Q105" s="142">
        <f t="shared" si="56"/>
        <v>136170539.01423341</v>
      </c>
      <c r="R105" s="142">
        <f t="shared" si="56"/>
        <v>138843208.21057913</v>
      </c>
      <c r="S105" s="142">
        <f t="shared" si="56"/>
        <v>141515877.40692487</v>
      </c>
      <c r="T105" s="142">
        <f t="shared" si="56"/>
        <v>312895240.06031001</v>
      </c>
      <c r="U105" s="142">
        <f t="shared" si="56"/>
        <v>313206015.54825717</v>
      </c>
      <c r="V105" s="142">
        <f t="shared" si="56"/>
        <v>313516791.03620434</v>
      </c>
      <c r="W105" s="142">
        <f t="shared" si="56"/>
        <v>313827566.5241515</v>
      </c>
      <c r="X105" s="142">
        <f t="shared" si="56"/>
        <v>314138342.01209867</v>
      </c>
      <c r="Y105" s="142">
        <f t="shared" si="56"/>
        <v>314449117.5000459</v>
      </c>
      <c r="Z105" s="142">
        <f t="shared" si="56"/>
        <v>314759892.98799306</v>
      </c>
      <c r="AA105" s="142">
        <f t="shared" si="56"/>
        <v>315070668.47594023</v>
      </c>
      <c r="AB105" s="142">
        <f t="shared" si="56"/>
        <v>315381443.96388739</v>
      </c>
      <c r="AC105" s="142">
        <f t="shared" si="56"/>
        <v>315692219.45183456</v>
      </c>
      <c r="AD105" s="142">
        <f t="shared" si="56"/>
        <v>316002994.93978179</v>
      </c>
      <c r="AE105" s="142">
        <f t="shared" si="56"/>
        <v>316313770.42772895</v>
      </c>
      <c r="AF105" s="142">
        <f t="shared" si="56"/>
        <v>316624545.91567612</v>
      </c>
      <c r="AG105" s="142">
        <f t="shared" si="56"/>
        <v>316935321.40362334</v>
      </c>
      <c r="AH105" s="143">
        <f t="shared" si="56"/>
        <v>317246096.89157051</v>
      </c>
      <c r="AI105" s="57">
        <f>SUM(E105:AH105)</f>
        <v>6568167922.6266747</v>
      </c>
    </row>
    <row r="106" spans="1:35" x14ac:dyDescent="0.25">
      <c r="B106" s="97" t="s">
        <v>53</v>
      </c>
      <c r="C106" s="98" t="s">
        <v>46</v>
      </c>
      <c r="D106" s="53"/>
      <c r="E106" s="130">
        <f t="shared" ref="E106:AH106" si="57">D107</f>
        <v>-4820191241.6296968</v>
      </c>
      <c r="F106" s="130">
        <f t="shared" si="57"/>
        <v>-4716092732.971612</v>
      </c>
      <c r="G106" s="130">
        <f t="shared" si="57"/>
        <v>-4609321555.1171818</v>
      </c>
      <c r="H106" s="130">
        <f t="shared" si="57"/>
        <v>-4499877708.0664053</v>
      </c>
      <c r="I106" s="130">
        <f t="shared" si="57"/>
        <v>-4387761191.8192835</v>
      </c>
      <c r="J106" s="130">
        <f t="shared" si="57"/>
        <v>-4272972006.3758159</v>
      </c>
      <c r="K106" s="130">
        <f t="shared" si="57"/>
        <v>-4155510151.7360024</v>
      </c>
      <c r="L106" s="130">
        <f t="shared" si="57"/>
        <v>-4035375627.8998432</v>
      </c>
      <c r="M106" s="130">
        <f t="shared" si="57"/>
        <v>-3912568434.8673387</v>
      </c>
      <c r="N106" s="130">
        <f t="shared" si="57"/>
        <v>-3787088572.6384883</v>
      </c>
      <c r="O106" s="130">
        <f t="shared" si="57"/>
        <v>-3658936041.2132921</v>
      </c>
      <c r="P106" s="130">
        <f t="shared" si="57"/>
        <v>-3528110840.5917501</v>
      </c>
      <c r="Q106" s="130">
        <f t="shared" si="57"/>
        <v>-3394612970.7738624</v>
      </c>
      <c r="R106" s="130">
        <f t="shared" si="57"/>
        <v>-3258442431.7596288</v>
      </c>
      <c r="S106" s="130">
        <f t="shared" si="57"/>
        <v>-3119599223.5490499</v>
      </c>
      <c r="T106" s="130">
        <f t="shared" si="57"/>
        <v>-2978083346.1421251</v>
      </c>
      <c r="U106" s="130">
        <f t="shared" si="57"/>
        <v>-2665188106.0818152</v>
      </c>
      <c r="V106" s="130">
        <f t="shared" si="57"/>
        <v>-2351982090.5335579</v>
      </c>
      <c r="W106" s="130">
        <f t="shared" si="57"/>
        <v>-2038465299.4973536</v>
      </c>
      <c r="X106" s="130">
        <f t="shared" si="57"/>
        <v>-1724637732.973202</v>
      </c>
      <c r="Y106" s="130">
        <f t="shared" si="57"/>
        <v>-1410499390.9611034</v>
      </c>
      <c r="Z106" s="130">
        <f t="shared" si="57"/>
        <v>-1096050273.4610577</v>
      </c>
      <c r="AA106" s="130">
        <f t="shared" si="57"/>
        <v>-781290380.47306466</v>
      </c>
      <c r="AB106" s="130">
        <f t="shared" si="57"/>
        <v>-466219711.99712443</v>
      </c>
      <c r="AC106" s="130">
        <f t="shared" si="57"/>
        <v>-150838268.03323704</v>
      </c>
      <c r="AD106" s="130">
        <f t="shared" si="57"/>
        <v>164853951.41859752</v>
      </c>
      <c r="AE106" s="130">
        <f t="shared" si="57"/>
        <v>480856946.3583793</v>
      </c>
      <c r="AF106" s="130">
        <f t="shared" si="57"/>
        <v>797170716.78610826</v>
      </c>
      <c r="AG106" s="130">
        <f t="shared" si="57"/>
        <v>1113795262.7017844</v>
      </c>
      <c r="AH106" s="131">
        <f t="shared" si="57"/>
        <v>1430730584.1054077</v>
      </c>
      <c r="AI106" s="60"/>
    </row>
    <row r="107" spans="1:35" s="68" customFormat="1" ht="13" thickBot="1" x14ac:dyDescent="0.3">
      <c r="B107" s="220" t="s">
        <v>54</v>
      </c>
      <c r="C107" s="236" t="s">
        <v>64</v>
      </c>
      <c r="D107" s="237">
        <f>D118</f>
        <v>-4820191241.6296968</v>
      </c>
      <c r="E107" s="238">
        <f t="shared" ref="E107:AH107" si="58">E105+E106</f>
        <v>-4716092732.971612</v>
      </c>
      <c r="F107" s="238">
        <f t="shared" si="58"/>
        <v>-4609321555.1171818</v>
      </c>
      <c r="G107" s="238">
        <f>G105+G106</f>
        <v>-4499877708.0664053</v>
      </c>
      <c r="H107" s="238">
        <f t="shared" si="58"/>
        <v>-4387761191.8192835</v>
      </c>
      <c r="I107" s="238">
        <f t="shared" si="58"/>
        <v>-4272972006.3758159</v>
      </c>
      <c r="J107" s="238">
        <f t="shared" si="58"/>
        <v>-4155510151.7360024</v>
      </c>
      <c r="K107" s="238">
        <f t="shared" si="58"/>
        <v>-4035375627.8998432</v>
      </c>
      <c r="L107" s="238">
        <f t="shared" si="58"/>
        <v>-3912568434.8673387</v>
      </c>
      <c r="M107" s="238">
        <f t="shared" si="58"/>
        <v>-3787088572.6384883</v>
      </c>
      <c r="N107" s="238">
        <f t="shared" si="58"/>
        <v>-3658936041.2132921</v>
      </c>
      <c r="O107" s="238">
        <f t="shared" si="58"/>
        <v>-3528110840.5917501</v>
      </c>
      <c r="P107" s="238">
        <f t="shared" si="58"/>
        <v>-3394612970.7738624</v>
      </c>
      <c r="Q107" s="238">
        <f t="shared" si="58"/>
        <v>-3258442431.7596288</v>
      </c>
      <c r="R107" s="238">
        <f t="shared" si="58"/>
        <v>-3119599223.5490499</v>
      </c>
      <c r="S107" s="238">
        <f t="shared" si="58"/>
        <v>-2978083346.1421251</v>
      </c>
      <c r="T107" s="238">
        <f t="shared" si="58"/>
        <v>-2665188106.0818152</v>
      </c>
      <c r="U107" s="238">
        <f t="shared" si="58"/>
        <v>-2351982090.5335579</v>
      </c>
      <c r="V107" s="238">
        <f t="shared" si="58"/>
        <v>-2038465299.4973536</v>
      </c>
      <c r="W107" s="238">
        <f t="shared" si="58"/>
        <v>-1724637732.973202</v>
      </c>
      <c r="X107" s="238">
        <f t="shared" si="58"/>
        <v>-1410499390.9611034</v>
      </c>
      <c r="Y107" s="238">
        <f t="shared" si="58"/>
        <v>-1096050273.4610577</v>
      </c>
      <c r="Z107" s="238">
        <f t="shared" si="58"/>
        <v>-781290380.47306466</v>
      </c>
      <c r="AA107" s="238">
        <f t="shared" si="58"/>
        <v>-466219711.99712443</v>
      </c>
      <c r="AB107" s="238">
        <f t="shared" si="58"/>
        <v>-150838268.03323704</v>
      </c>
      <c r="AC107" s="238">
        <f t="shared" si="58"/>
        <v>164853951.41859752</v>
      </c>
      <c r="AD107" s="238">
        <f t="shared" si="58"/>
        <v>480856946.3583793</v>
      </c>
      <c r="AE107" s="238">
        <f t="shared" si="58"/>
        <v>797170716.78610826</v>
      </c>
      <c r="AF107" s="238">
        <f t="shared" si="58"/>
        <v>1113795262.7017844</v>
      </c>
      <c r="AG107" s="238">
        <f t="shared" si="58"/>
        <v>1430730584.1054077</v>
      </c>
      <c r="AH107" s="239">
        <f t="shared" si="58"/>
        <v>1747976680.9969783</v>
      </c>
      <c r="AI107" s="240">
        <f>SUM(E107:AH107)</f>
        <v>-65264139947.16597</v>
      </c>
    </row>
    <row r="108" spans="1:35" s="68" customFormat="1" x14ac:dyDescent="0.25">
      <c r="B108" s="241"/>
      <c r="C108" s="242"/>
      <c r="D108" s="243"/>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4"/>
    </row>
    <row r="109" spans="1:35" s="249" customFormat="1" ht="14" x14ac:dyDescent="0.2">
      <c r="A109" s="245" t="s">
        <v>103</v>
      </c>
      <c r="B109" s="246"/>
      <c r="C109" s="247"/>
      <c r="D109" s="247"/>
      <c r="E109" s="247"/>
      <c r="F109" s="247"/>
      <c r="G109" s="247"/>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row>
    <row r="110" spans="1:35" s="19" customFormat="1" ht="13" thickBot="1" x14ac:dyDescent="0.3">
      <c r="B110" s="61"/>
      <c r="C110" s="61"/>
      <c r="D110" s="62"/>
      <c r="E110" s="62"/>
      <c r="F110" s="62"/>
      <c r="G110" s="62"/>
      <c r="H110" s="62"/>
      <c r="I110" s="62"/>
      <c r="J110" s="62"/>
      <c r="K110" s="62"/>
      <c r="L110" s="62"/>
      <c r="M110" s="62"/>
      <c r="N110" s="62"/>
      <c r="O110" s="62"/>
      <c r="P110" s="62"/>
      <c r="Q110" s="62"/>
      <c r="R110" s="62"/>
      <c r="S110" s="62"/>
      <c r="T110" s="62"/>
      <c r="U110" s="62"/>
      <c r="V110" s="62"/>
      <c r="W110" s="62"/>
      <c r="X110" s="63"/>
      <c r="Y110" s="63"/>
      <c r="Z110" s="63"/>
      <c r="AA110" s="63"/>
      <c r="AB110" s="63"/>
      <c r="AC110" s="63"/>
      <c r="AD110" s="63"/>
      <c r="AE110" s="63"/>
      <c r="AF110" s="63"/>
      <c r="AG110" s="63"/>
      <c r="AH110" s="63"/>
      <c r="AI110" s="62"/>
    </row>
    <row r="111" spans="1:35" x14ac:dyDescent="0.25">
      <c r="B111" s="144" t="s">
        <v>55</v>
      </c>
      <c r="C111" s="168" t="s">
        <v>46</v>
      </c>
      <c r="D111" s="147"/>
      <c r="E111" s="148">
        <f>SUM(E112:E117)</f>
        <v>376819855.22397542</v>
      </c>
      <c r="F111" s="148">
        <f t="shared" ref="F111:AH111" si="59">SUM(F112:F117)</f>
        <v>379492524.42032117</v>
      </c>
      <c r="G111" s="148">
        <f t="shared" si="59"/>
        <v>382165193.61666691</v>
      </c>
      <c r="H111" s="148">
        <f t="shared" si="59"/>
        <v>384837862.8130126</v>
      </c>
      <c r="I111" s="148">
        <f t="shared" si="59"/>
        <v>387510532.00935841</v>
      </c>
      <c r="J111" s="148">
        <f t="shared" si="59"/>
        <v>390183201.20570409</v>
      </c>
      <c r="K111" s="148">
        <f t="shared" si="59"/>
        <v>392855870.40204984</v>
      </c>
      <c r="L111" s="148">
        <f t="shared" si="59"/>
        <v>395528539.59839559</v>
      </c>
      <c r="M111" s="148">
        <f t="shared" si="59"/>
        <v>398201208.79474127</v>
      </c>
      <c r="N111" s="148">
        <f t="shared" si="59"/>
        <v>400873877.99108702</v>
      </c>
      <c r="O111" s="148">
        <f t="shared" si="59"/>
        <v>403546547.18743277</v>
      </c>
      <c r="P111" s="148">
        <f t="shared" si="59"/>
        <v>406219216.38377845</v>
      </c>
      <c r="Q111" s="148">
        <f t="shared" si="59"/>
        <v>408891885.5801242</v>
      </c>
      <c r="R111" s="148">
        <f t="shared" si="59"/>
        <v>411564554.77646995</v>
      </c>
      <c r="S111" s="148">
        <f t="shared" si="59"/>
        <v>414237223.97281563</v>
      </c>
      <c r="T111" s="148">
        <f t="shared" si="59"/>
        <v>344607024.54471588</v>
      </c>
      <c r="U111" s="148">
        <f t="shared" si="59"/>
        <v>344917800.03266311</v>
      </c>
      <c r="V111" s="148">
        <f t="shared" si="59"/>
        <v>345228575.52061033</v>
      </c>
      <c r="W111" s="148">
        <f t="shared" si="59"/>
        <v>345539351.00855744</v>
      </c>
      <c r="X111" s="148">
        <f t="shared" si="59"/>
        <v>345850126.49650466</v>
      </c>
      <c r="Y111" s="148">
        <f t="shared" si="59"/>
        <v>346160901.98445177</v>
      </c>
      <c r="Z111" s="148">
        <f t="shared" si="59"/>
        <v>346471677.472399</v>
      </c>
      <c r="AA111" s="148">
        <f t="shared" si="59"/>
        <v>346782452.96034616</v>
      </c>
      <c r="AB111" s="148">
        <f t="shared" si="59"/>
        <v>347093228.44829333</v>
      </c>
      <c r="AC111" s="148">
        <f t="shared" si="59"/>
        <v>347404003.93624055</v>
      </c>
      <c r="AD111" s="148">
        <f t="shared" si="59"/>
        <v>347714779.42418772</v>
      </c>
      <c r="AE111" s="148">
        <f t="shared" si="59"/>
        <v>348025554.91213489</v>
      </c>
      <c r="AF111" s="148">
        <f t="shared" si="59"/>
        <v>348336330.40008205</v>
      </c>
      <c r="AG111" s="148">
        <f t="shared" si="59"/>
        <v>348647105.88802922</v>
      </c>
      <c r="AH111" s="149">
        <f t="shared" si="59"/>
        <v>348957881.37597644</v>
      </c>
      <c r="AI111" s="145"/>
    </row>
    <row r="112" spans="1:35" s="19" customFormat="1" x14ac:dyDescent="0.25">
      <c r="B112" s="182" t="s">
        <v>104</v>
      </c>
      <c r="C112" s="173" t="s">
        <v>37</v>
      </c>
      <c r="D112" s="250"/>
      <c r="E112" s="174">
        <f t="shared" ref="E112:AH112" si="60">E17</f>
        <v>1222404665.625</v>
      </c>
      <c r="F112" s="174">
        <f t="shared" si="60"/>
        <v>1222404665.625</v>
      </c>
      <c r="G112" s="174">
        <f t="shared" si="60"/>
        <v>1222404665.625</v>
      </c>
      <c r="H112" s="174">
        <f t="shared" si="60"/>
        <v>1222404665.625</v>
      </c>
      <c r="I112" s="174">
        <f t="shared" si="60"/>
        <v>1222404665.625</v>
      </c>
      <c r="J112" s="174">
        <f t="shared" si="60"/>
        <v>1222404665.625</v>
      </c>
      <c r="K112" s="174">
        <f t="shared" si="60"/>
        <v>1222404665.625</v>
      </c>
      <c r="L112" s="174">
        <f t="shared" si="60"/>
        <v>1222404665.625</v>
      </c>
      <c r="M112" s="174">
        <f t="shared" si="60"/>
        <v>1222404665.625</v>
      </c>
      <c r="N112" s="174">
        <f t="shared" si="60"/>
        <v>1222404665.625</v>
      </c>
      <c r="O112" s="174">
        <f t="shared" si="60"/>
        <v>1222404665.625</v>
      </c>
      <c r="P112" s="174">
        <f t="shared" si="60"/>
        <v>1222404665.625</v>
      </c>
      <c r="Q112" s="174">
        <f t="shared" si="60"/>
        <v>1222404665.625</v>
      </c>
      <c r="R112" s="174">
        <f t="shared" si="60"/>
        <v>1222404665.625</v>
      </c>
      <c r="S112" s="174">
        <f t="shared" si="60"/>
        <v>1222404665.625</v>
      </c>
      <c r="T112" s="174">
        <f t="shared" si="60"/>
        <v>1222404665.625</v>
      </c>
      <c r="U112" s="174">
        <f t="shared" si="60"/>
        <v>1222404665.625</v>
      </c>
      <c r="V112" s="174">
        <f t="shared" si="60"/>
        <v>1222404665.625</v>
      </c>
      <c r="W112" s="174">
        <f t="shared" si="60"/>
        <v>1222404665.625</v>
      </c>
      <c r="X112" s="174">
        <f t="shared" si="60"/>
        <v>1222404665.625</v>
      </c>
      <c r="Y112" s="174">
        <f t="shared" si="60"/>
        <v>1222404665.625</v>
      </c>
      <c r="Z112" s="174">
        <f t="shared" si="60"/>
        <v>1222404665.625</v>
      </c>
      <c r="AA112" s="174">
        <f t="shared" si="60"/>
        <v>1222404665.625</v>
      </c>
      <c r="AB112" s="174">
        <f t="shared" si="60"/>
        <v>1222404665.625</v>
      </c>
      <c r="AC112" s="174">
        <f t="shared" si="60"/>
        <v>1222404665.625</v>
      </c>
      <c r="AD112" s="174">
        <f t="shared" si="60"/>
        <v>1222404665.625</v>
      </c>
      <c r="AE112" s="174">
        <f t="shared" si="60"/>
        <v>1222404665.625</v>
      </c>
      <c r="AF112" s="174">
        <f t="shared" si="60"/>
        <v>1222404665.625</v>
      </c>
      <c r="AG112" s="174">
        <f t="shared" si="60"/>
        <v>1222404665.625</v>
      </c>
      <c r="AH112" s="175">
        <f t="shared" si="60"/>
        <v>1222404665.625</v>
      </c>
      <c r="AI112" s="251"/>
    </row>
    <row r="113" spans="2:35" s="19" customFormat="1" x14ac:dyDescent="0.25">
      <c r="B113" s="172" t="s">
        <v>105</v>
      </c>
      <c r="C113" s="173" t="s">
        <v>37</v>
      </c>
      <c r="D113" s="250"/>
      <c r="E113" s="174">
        <f t="shared" ref="E113:AH113" si="61">E22</f>
        <v>261197578.125</v>
      </c>
      <c r="F113" s="174">
        <f t="shared" si="61"/>
        <v>261197578.125</v>
      </c>
      <c r="G113" s="174">
        <f t="shared" si="61"/>
        <v>261197578.125</v>
      </c>
      <c r="H113" s="174">
        <f t="shared" si="61"/>
        <v>261197578.125</v>
      </c>
      <c r="I113" s="174">
        <f t="shared" si="61"/>
        <v>261197578.125</v>
      </c>
      <c r="J113" s="174">
        <f t="shared" si="61"/>
        <v>261197578.125</v>
      </c>
      <c r="K113" s="174">
        <f t="shared" si="61"/>
        <v>261197578.125</v>
      </c>
      <c r="L113" s="174">
        <f t="shared" si="61"/>
        <v>261197578.125</v>
      </c>
      <c r="M113" s="174">
        <f t="shared" si="61"/>
        <v>261197578.125</v>
      </c>
      <c r="N113" s="174">
        <f t="shared" si="61"/>
        <v>261197578.125</v>
      </c>
      <c r="O113" s="174">
        <f t="shared" si="61"/>
        <v>261197578.125</v>
      </c>
      <c r="P113" s="174">
        <f t="shared" si="61"/>
        <v>261197578.125</v>
      </c>
      <c r="Q113" s="174">
        <f t="shared" si="61"/>
        <v>261197578.125</v>
      </c>
      <c r="R113" s="174">
        <f t="shared" si="61"/>
        <v>261197578.125</v>
      </c>
      <c r="S113" s="174">
        <f t="shared" si="61"/>
        <v>261197578.125</v>
      </c>
      <c r="T113" s="174">
        <f t="shared" si="61"/>
        <v>261197578.125</v>
      </c>
      <c r="U113" s="174">
        <f t="shared" si="61"/>
        <v>261197578.125</v>
      </c>
      <c r="V113" s="174">
        <f t="shared" si="61"/>
        <v>261197578.125</v>
      </c>
      <c r="W113" s="174">
        <f t="shared" si="61"/>
        <v>261197578.125</v>
      </c>
      <c r="X113" s="174">
        <f t="shared" si="61"/>
        <v>261197578.125</v>
      </c>
      <c r="Y113" s="174">
        <f t="shared" si="61"/>
        <v>261197578.125</v>
      </c>
      <c r="Z113" s="174">
        <f t="shared" si="61"/>
        <v>261197578.125</v>
      </c>
      <c r="AA113" s="174">
        <f t="shared" si="61"/>
        <v>261197578.125</v>
      </c>
      <c r="AB113" s="174">
        <f t="shared" si="61"/>
        <v>261197578.125</v>
      </c>
      <c r="AC113" s="174">
        <f t="shared" si="61"/>
        <v>261197578.125</v>
      </c>
      <c r="AD113" s="174">
        <f t="shared" si="61"/>
        <v>261197578.125</v>
      </c>
      <c r="AE113" s="174">
        <f t="shared" si="61"/>
        <v>261197578.125</v>
      </c>
      <c r="AF113" s="174">
        <f t="shared" si="61"/>
        <v>261197578.125</v>
      </c>
      <c r="AG113" s="174">
        <f t="shared" si="61"/>
        <v>261197578.125</v>
      </c>
      <c r="AH113" s="175">
        <f t="shared" si="61"/>
        <v>261197578.125</v>
      </c>
      <c r="AI113" s="251"/>
    </row>
    <row r="114" spans="2:35" s="19" customFormat="1" x14ac:dyDescent="0.25">
      <c r="B114" s="172" t="s">
        <v>165</v>
      </c>
      <c r="C114" s="173" t="s">
        <v>37</v>
      </c>
      <c r="D114" s="250"/>
      <c r="E114" s="174">
        <f t="shared" ref="E114:AH114" si="62">SUM(E27,E30,E33)</f>
        <v>0</v>
      </c>
      <c r="F114" s="174">
        <f t="shared" si="62"/>
        <v>0</v>
      </c>
      <c r="G114" s="174">
        <f t="shared" si="62"/>
        <v>0</v>
      </c>
      <c r="H114" s="174">
        <f t="shared" si="62"/>
        <v>0</v>
      </c>
      <c r="I114" s="174">
        <f t="shared" si="62"/>
        <v>0</v>
      </c>
      <c r="J114" s="174">
        <f t="shared" si="62"/>
        <v>0</v>
      </c>
      <c r="K114" s="174">
        <f t="shared" si="62"/>
        <v>0</v>
      </c>
      <c r="L114" s="174">
        <f t="shared" si="62"/>
        <v>0</v>
      </c>
      <c r="M114" s="174">
        <f t="shared" si="62"/>
        <v>0</v>
      </c>
      <c r="N114" s="174">
        <f t="shared" si="62"/>
        <v>0</v>
      </c>
      <c r="O114" s="174">
        <f t="shared" si="62"/>
        <v>0</v>
      </c>
      <c r="P114" s="174">
        <f t="shared" si="62"/>
        <v>0</v>
      </c>
      <c r="Q114" s="174">
        <f t="shared" si="62"/>
        <v>0</v>
      </c>
      <c r="R114" s="174">
        <f t="shared" si="62"/>
        <v>0</v>
      </c>
      <c r="S114" s="174">
        <f t="shared" si="62"/>
        <v>0</v>
      </c>
      <c r="T114" s="174">
        <f t="shared" si="62"/>
        <v>0</v>
      </c>
      <c r="U114" s="174">
        <f t="shared" si="62"/>
        <v>0</v>
      </c>
      <c r="V114" s="174">
        <f t="shared" si="62"/>
        <v>0</v>
      </c>
      <c r="W114" s="174">
        <f t="shared" si="62"/>
        <v>0</v>
      </c>
      <c r="X114" s="174">
        <f t="shared" si="62"/>
        <v>0</v>
      </c>
      <c r="Y114" s="174">
        <f t="shared" si="62"/>
        <v>0</v>
      </c>
      <c r="Z114" s="174">
        <f t="shared" si="62"/>
        <v>0</v>
      </c>
      <c r="AA114" s="174">
        <f t="shared" si="62"/>
        <v>0</v>
      </c>
      <c r="AB114" s="174">
        <f t="shared" si="62"/>
        <v>0</v>
      </c>
      <c r="AC114" s="174">
        <f t="shared" si="62"/>
        <v>0</v>
      </c>
      <c r="AD114" s="174">
        <f t="shared" si="62"/>
        <v>0</v>
      </c>
      <c r="AE114" s="174">
        <f t="shared" si="62"/>
        <v>0</v>
      </c>
      <c r="AF114" s="174">
        <f t="shared" si="62"/>
        <v>0</v>
      </c>
      <c r="AG114" s="174">
        <f t="shared" si="62"/>
        <v>0</v>
      </c>
      <c r="AH114" s="175">
        <f t="shared" si="62"/>
        <v>0</v>
      </c>
      <c r="AI114" s="251"/>
    </row>
    <row r="115" spans="2:35" s="19" customFormat="1" x14ac:dyDescent="0.25">
      <c r="B115" s="172" t="s">
        <v>106</v>
      </c>
      <c r="C115" s="173" t="s">
        <v>37</v>
      </c>
      <c r="D115" s="250"/>
      <c r="E115" s="174">
        <f t="shared" ref="E115:AH115" si="63">-E44</f>
        <v>-495000000</v>
      </c>
      <c r="F115" s="174">
        <f t="shared" si="63"/>
        <v>-495000000</v>
      </c>
      <c r="G115" s="174">
        <f t="shared" si="63"/>
        <v>-495000000</v>
      </c>
      <c r="H115" s="174">
        <f t="shared" si="63"/>
        <v>-495000000</v>
      </c>
      <c r="I115" s="174">
        <f t="shared" si="63"/>
        <v>-495000000</v>
      </c>
      <c r="J115" s="174">
        <f t="shared" si="63"/>
        <v>-495000000</v>
      </c>
      <c r="K115" s="174">
        <f t="shared" si="63"/>
        <v>-495000000</v>
      </c>
      <c r="L115" s="174">
        <f t="shared" si="63"/>
        <v>-495000000</v>
      </c>
      <c r="M115" s="174">
        <f t="shared" si="63"/>
        <v>-495000000</v>
      </c>
      <c r="N115" s="174">
        <f t="shared" si="63"/>
        <v>-495000000</v>
      </c>
      <c r="O115" s="174">
        <f t="shared" si="63"/>
        <v>-495000000</v>
      </c>
      <c r="P115" s="174">
        <f t="shared" si="63"/>
        <v>-495000000</v>
      </c>
      <c r="Q115" s="174">
        <f t="shared" si="63"/>
        <v>-495000000</v>
      </c>
      <c r="R115" s="174">
        <f t="shared" si="63"/>
        <v>-495000000</v>
      </c>
      <c r="S115" s="174">
        <f t="shared" si="63"/>
        <v>-495000000</v>
      </c>
      <c r="T115" s="174">
        <f t="shared" si="63"/>
        <v>-495000000</v>
      </c>
      <c r="U115" s="174">
        <f t="shared" si="63"/>
        <v>-495000000</v>
      </c>
      <c r="V115" s="174">
        <f t="shared" si="63"/>
        <v>-495000000</v>
      </c>
      <c r="W115" s="174">
        <f t="shared" si="63"/>
        <v>-495000000</v>
      </c>
      <c r="X115" s="174">
        <f t="shared" si="63"/>
        <v>-495000000</v>
      </c>
      <c r="Y115" s="174">
        <f t="shared" si="63"/>
        <v>-495000000</v>
      </c>
      <c r="Z115" s="174">
        <f t="shared" si="63"/>
        <v>-495000000</v>
      </c>
      <c r="AA115" s="174">
        <f t="shared" si="63"/>
        <v>-495000000</v>
      </c>
      <c r="AB115" s="174">
        <f t="shared" si="63"/>
        <v>-495000000</v>
      </c>
      <c r="AC115" s="174">
        <f t="shared" si="63"/>
        <v>-495000000</v>
      </c>
      <c r="AD115" s="174">
        <f t="shared" si="63"/>
        <v>-495000000</v>
      </c>
      <c r="AE115" s="174">
        <f t="shared" si="63"/>
        <v>-495000000</v>
      </c>
      <c r="AF115" s="174">
        <f t="shared" si="63"/>
        <v>-495000000</v>
      </c>
      <c r="AG115" s="174">
        <f t="shared" si="63"/>
        <v>-495000000</v>
      </c>
      <c r="AH115" s="175">
        <f t="shared" si="63"/>
        <v>-495000000</v>
      </c>
      <c r="AI115" s="251"/>
    </row>
    <row r="116" spans="2:35" s="19" customFormat="1" x14ac:dyDescent="0.25">
      <c r="B116" s="172" t="s">
        <v>107</v>
      </c>
      <c r="C116" s="173" t="s">
        <v>37</v>
      </c>
      <c r="D116" s="250"/>
      <c r="E116" s="174">
        <f t="shared" ref="E116:AH116" si="64">-SUM(E59:E64,E66:E70)</f>
        <v>-499686064.57545823</v>
      </c>
      <c r="F116" s="174">
        <f t="shared" si="64"/>
        <v>-499686064.57545823</v>
      </c>
      <c r="G116" s="174">
        <f t="shared" si="64"/>
        <v>-499686064.57545823</v>
      </c>
      <c r="H116" s="174">
        <f t="shared" si="64"/>
        <v>-499686064.57545823</v>
      </c>
      <c r="I116" s="174">
        <f t="shared" si="64"/>
        <v>-499686064.57545823</v>
      </c>
      <c r="J116" s="174">
        <f t="shared" si="64"/>
        <v>-499686064.57545823</v>
      </c>
      <c r="K116" s="174">
        <f t="shared" si="64"/>
        <v>-499686064.57545823</v>
      </c>
      <c r="L116" s="174">
        <f t="shared" si="64"/>
        <v>-499686064.57545823</v>
      </c>
      <c r="M116" s="174">
        <f t="shared" si="64"/>
        <v>-499686064.57545823</v>
      </c>
      <c r="N116" s="174">
        <f t="shared" si="64"/>
        <v>-499686064.57545823</v>
      </c>
      <c r="O116" s="174">
        <f t="shared" si="64"/>
        <v>-499686064.57545823</v>
      </c>
      <c r="P116" s="174">
        <f t="shared" si="64"/>
        <v>-499686064.57545823</v>
      </c>
      <c r="Q116" s="174">
        <f t="shared" si="64"/>
        <v>-499686064.57545823</v>
      </c>
      <c r="R116" s="174">
        <f t="shared" si="64"/>
        <v>-499686064.57545823</v>
      </c>
      <c r="S116" s="174">
        <f t="shared" si="64"/>
        <v>-499686064.57545823</v>
      </c>
      <c r="T116" s="174">
        <f t="shared" si="64"/>
        <v>-499686064.57545823</v>
      </c>
      <c r="U116" s="174">
        <f t="shared" si="64"/>
        <v>-499686064.57545823</v>
      </c>
      <c r="V116" s="174">
        <f t="shared" si="64"/>
        <v>-499686064.57545823</v>
      </c>
      <c r="W116" s="174">
        <f t="shared" si="64"/>
        <v>-499686064.57545823</v>
      </c>
      <c r="X116" s="174">
        <f t="shared" si="64"/>
        <v>-499686064.57545823</v>
      </c>
      <c r="Y116" s="174">
        <f t="shared" si="64"/>
        <v>-499686064.57545823</v>
      </c>
      <c r="Z116" s="174">
        <f t="shared" si="64"/>
        <v>-499686064.57545823</v>
      </c>
      <c r="AA116" s="174">
        <f t="shared" si="64"/>
        <v>-499686064.57545823</v>
      </c>
      <c r="AB116" s="174">
        <f t="shared" si="64"/>
        <v>-499686064.57545823</v>
      </c>
      <c r="AC116" s="174">
        <f t="shared" si="64"/>
        <v>-499686064.57545823</v>
      </c>
      <c r="AD116" s="174">
        <f t="shared" si="64"/>
        <v>-499686064.57545823</v>
      </c>
      <c r="AE116" s="174">
        <f t="shared" si="64"/>
        <v>-499686064.57545823</v>
      </c>
      <c r="AF116" s="174">
        <f t="shared" si="64"/>
        <v>-499686064.57545823</v>
      </c>
      <c r="AG116" s="174">
        <f t="shared" si="64"/>
        <v>-499686064.57545823</v>
      </c>
      <c r="AH116" s="175">
        <f t="shared" si="64"/>
        <v>-499686064.57545823</v>
      </c>
      <c r="AI116" s="251"/>
    </row>
    <row r="117" spans="2:35" s="19" customFormat="1" x14ac:dyDescent="0.25">
      <c r="B117" s="252" t="s">
        <v>111</v>
      </c>
      <c r="C117" s="257" t="s">
        <v>37</v>
      </c>
      <c r="D117" s="250"/>
      <c r="E117" s="174">
        <f>E82+E83</f>
        <v>-112096323.95056632</v>
      </c>
      <c r="F117" s="174">
        <f t="shared" ref="F117:AH117" si="65">F82+F83</f>
        <v>-109423654.7542206</v>
      </c>
      <c r="G117" s="174">
        <f t="shared" si="65"/>
        <v>-106750985.55787486</v>
      </c>
      <c r="H117" s="174">
        <f t="shared" si="65"/>
        <v>-104078316.36152914</v>
      </c>
      <c r="I117" s="174">
        <f t="shared" si="65"/>
        <v>-101405647.1651834</v>
      </c>
      <c r="J117" s="174">
        <f t="shared" si="65"/>
        <v>-98732977.968837678</v>
      </c>
      <c r="K117" s="174">
        <f t="shared" si="65"/>
        <v>-96060308.772491947</v>
      </c>
      <c r="L117" s="174">
        <f t="shared" si="65"/>
        <v>-93387639.576146215</v>
      </c>
      <c r="M117" s="174">
        <f t="shared" si="65"/>
        <v>-90714970.379800498</v>
      </c>
      <c r="N117" s="174">
        <f>N82+N83</f>
        <v>-88042301.183454767</v>
      </c>
      <c r="O117" s="174">
        <f t="shared" si="65"/>
        <v>-85369631.987109035</v>
      </c>
      <c r="P117" s="174">
        <f t="shared" si="65"/>
        <v>-82696962.790763304</v>
      </c>
      <c r="Q117" s="174">
        <f t="shared" si="65"/>
        <v>-80024293.594417587</v>
      </c>
      <c r="R117" s="174">
        <f t="shared" si="65"/>
        <v>-77351624.398071855</v>
      </c>
      <c r="S117" s="174">
        <f t="shared" si="65"/>
        <v>-74678955.201726124</v>
      </c>
      <c r="T117" s="174">
        <f t="shared" si="65"/>
        <v>-144309154.62982586</v>
      </c>
      <c r="U117" s="174">
        <f t="shared" si="65"/>
        <v>-143998379.14187863</v>
      </c>
      <c r="V117" s="174">
        <f t="shared" si="65"/>
        <v>-143687603.65393147</v>
      </c>
      <c r="W117" s="174">
        <f t="shared" si="65"/>
        <v>-143376828.1659843</v>
      </c>
      <c r="X117" s="174">
        <f t="shared" si="65"/>
        <v>-143066052.67803714</v>
      </c>
      <c r="Y117" s="174">
        <f t="shared" si="65"/>
        <v>-142755277.19008997</v>
      </c>
      <c r="Z117" s="174">
        <f t="shared" si="65"/>
        <v>-142444501.70214278</v>
      </c>
      <c r="AA117" s="174">
        <f t="shared" si="65"/>
        <v>-142133726.21419561</v>
      </c>
      <c r="AB117" s="174">
        <f t="shared" si="65"/>
        <v>-141822950.72624844</v>
      </c>
      <c r="AC117" s="174">
        <f t="shared" si="65"/>
        <v>-141512175.23830125</v>
      </c>
      <c r="AD117" s="174">
        <f t="shared" si="65"/>
        <v>-141201399.75035405</v>
      </c>
      <c r="AE117" s="174">
        <f t="shared" si="65"/>
        <v>-140890624.26240689</v>
      </c>
      <c r="AF117" s="174">
        <f t="shared" si="65"/>
        <v>-140579848.77445972</v>
      </c>
      <c r="AG117" s="174">
        <f t="shared" si="65"/>
        <v>-140269073.28651252</v>
      </c>
      <c r="AH117" s="175">
        <f t="shared" si="65"/>
        <v>-139958297.79856536</v>
      </c>
      <c r="AI117" s="251"/>
    </row>
    <row r="118" spans="2:35" x14ac:dyDescent="0.25">
      <c r="B118" s="162" t="s">
        <v>56</v>
      </c>
      <c r="C118" s="169" t="s">
        <v>46</v>
      </c>
      <c r="D118" s="163">
        <f>-SUM(D165,D168,D171,D174,D177,D180,D183)</f>
        <v>-4820191241.6296968</v>
      </c>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5"/>
      <c r="AI118" s="166"/>
    </row>
    <row r="119" spans="2:35" x14ac:dyDescent="0.25">
      <c r="B119" s="158" t="s">
        <v>57</v>
      </c>
      <c r="C119" s="170" t="s">
        <v>46</v>
      </c>
      <c r="D119" s="159">
        <f>SUM(D120:D122,D125)</f>
        <v>0</v>
      </c>
      <c r="E119" s="160">
        <f t="shared" ref="E119:AH119" si="66">SUM(E120:E125)</f>
        <v>0</v>
      </c>
      <c r="F119" s="160">
        <f t="shared" si="66"/>
        <v>0</v>
      </c>
      <c r="G119" s="160">
        <f t="shared" si="66"/>
        <v>0</v>
      </c>
      <c r="H119" s="160">
        <f t="shared" si="66"/>
        <v>0</v>
      </c>
      <c r="I119" s="160">
        <f t="shared" si="66"/>
        <v>0</v>
      </c>
      <c r="J119" s="160">
        <f t="shared" si="66"/>
        <v>0</v>
      </c>
      <c r="K119" s="160">
        <f t="shared" si="66"/>
        <v>0</v>
      </c>
      <c r="L119" s="160">
        <f t="shared" si="66"/>
        <v>0</v>
      </c>
      <c r="M119" s="160">
        <f t="shared" si="66"/>
        <v>0</v>
      </c>
      <c r="N119" s="160">
        <f t="shared" si="66"/>
        <v>0</v>
      </c>
      <c r="O119" s="160">
        <f t="shared" si="66"/>
        <v>0</v>
      </c>
      <c r="P119" s="160">
        <f t="shared" si="66"/>
        <v>0</v>
      </c>
      <c r="Q119" s="160">
        <f t="shared" si="66"/>
        <v>0</v>
      </c>
      <c r="R119" s="160">
        <f t="shared" si="66"/>
        <v>0</v>
      </c>
      <c r="S119" s="160">
        <f t="shared" si="66"/>
        <v>0</v>
      </c>
      <c r="T119" s="160">
        <f t="shared" si="66"/>
        <v>0</v>
      </c>
      <c r="U119" s="160">
        <f t="shared" si="66"/>
        <v>0</v>
      </c>
      <c r="V119" s="160">
        <f t="shared" si="66"/>
        <v>0</v>
      </c>
      <c r="W119" s="160">
        <f t="shared" si="66"/>
        <v>0</v>
      </c>
      <c r="X119" s="160">
        <f t="shared" si="66"/>
        <v>0</v>
      </c>
      <c r="Y119" s="160">
        <f t="shared" si="66"/>
        <v>0</v>
      </c>
      <c r="Z119" s="160">
        <f t="shared" si="66"/>
        <v>0</v>
      </c>
      <c r="AA119" s="160">
        <f t="shared" si="66"/>
        <v>0</v>
      </c>
      <c r="AB119" s="160">
        <f t="shared" si="66"/>
        <v>0</v>
      </c>
      <c r="AC119" s="160">
        <f t="shared" si="66"/>
        <v>0</v>
      </c>
      <c r="AD119" s="160">
        <f t="shared" si="66"/>
        <v>0</v>
      </c>
      <c r="AE119" s="160">
        <f t="shared" si="66"/>
        <v>0</v>
      </c>
      <c r="AF119" s="160">
        <f t="shared" si="66"/>
        <v>0</v>
      </c>
      <c r="AG119" s="160">
        <f t="shared" si="66"/>
        <v>0</v>
      </c>
      <c r="AH119" s="161">
        <f t="shared" si="66"/>
        <v>0</v>
      </c>
      <c r="AI119" s="167"/>
    </row>
    <row r="120" spans="2:35" s="19" customFormat="1" x14ac:dyDescent="0.25">
      <c r="B120" s="172" t="s">
        <v>58</v>
      </c>
      <c r="C120" s="173" t="s">
        <v>46</v>
      </c>
      <c r="D120" s="152">
        <f>D135</f>
        <v>0</v>
      </c>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153"/>
      <c r="AI120" s="171"/>
    </row>
    <row r="121" spans="2:35" s="19" customFormat="1" x14ac:dyDescent="0.25">
      <c r="B121" s="172" t="s">
        <v>59</v>
      </c>
      <c r="C121" s="173" t="s">
        <v>46</v>
      </c>
      <c r="D121" s="152">
        <f>SUM(D190,D194,D198)</f>
        <v>0</v>
      </c>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153"/>
      <c r="AI121" s="171"/>
    </row>
    <row r="122" spans="2:35" s="19" customFormat="1" x14ac:dyDescent="0.25">
      <c r="B122" s="172" t="s">
        <v>108</v>
      </c>
      <c r="C122" s="173" t="s">
        <v>37</v>
      </c>
      <c r="D122" s="152"/>
      <c r="E122" s="55">
        <f t="shared" ref="E122:AH122" si="67">E75+E76+SUM(E188,E192,E196)</f>
        <v>0</v>
      </c>
      <c r="F122" s="55">
        <f t="shared" si="67"/>
        <v>0</v>
      </c>
      <c r="G122" s="55">
        <f t="shared" si="67"/>
        <v>0</v>
      </c>
      <c r="H122" s="55">
        <f t="shared" si="67"/>
        <v>0</v>
      </c>
      <c r="I122" s="55">
        <f t="shared" si="67"/>
        <v>0</v>
      </c>
      <c r="J122" s="55">
        <f t="shared" si="67"/>
        <v>0</v>
      </c>
      <c r="K122" s="55">
        <f t="shared" si="67"/>
        <v>0</v>
      </c>
      <c r="L122" s="55">
        <f t="shared" si="67"/>
        <v>0</v>
      </c>
      <c r="M122" s="55">
        <f t="shared" si="67"/>
        <v>0</v>
      </c>
      <c r="N122" s="55">
        <f t="shared" si="67"/>
        <v>0</v>
      </c>
      <c r="O122" s="55">
        <f t="shared" si="67"/>
        <v>0</v>
      </c>
      <c r="P122" s="55">
        <f t="shared" si="67"/>
        <v>0</v>
      </c>
      <c r="Q122" s="55">
        <f t="shared" si="67"/>
        <v>0</v>
      </c>
      <c r="R122" s="55">
        <f t="shared" si="67"/>
        <v>0</v>
      </c>
      <c r="S122" s="55">
        <f t="shared" si="67"/>
        <v>0</v>
      </c>
      <c r="T122" s="55">
        <f t="shared" si="67"/>
        <v>0</v>
      </c>
      <c r="U122" s="55">
        <f t="shared" si="67"/>
        <v>0</v>
      </c>
      <c r="V122" s="55">
        <f t="shared" si="67"/>
        <v>0</v>
      </c>
      <c r="W122" s="55">
        <f t="shared" si="67"/>
        <v>0</v>
      </c>
      <c r="X122" s="55">
        <f t="shared" si="67"/>
        <v>0</v>
      </c>
      <c r="Y122" s="55">
        <f t="shared" si="67"/>
        <v>0</v>
      </c>
      <c r="Z122" s="55">
        <f t="shared" si="67"/>
        <v>0</v>
      </c>
      <c r="AA122" s="55">
        <f t="shared" si="67"/>
        <v>0</v>
      </c>
      <c r="AB122" s="55">
        <f t="shared" si="67"/>
        <v>0</v>
      </c>
      <c r="AC122" s="55">
        <f t="shared" si="67"/>
        <v>0</v>
      </c>
      <c r="AD122" s="55">
        <f t="shared" si="67"/>
        <v>0</v>
      </c>
      <c r="AE122" s="55">
        <f t="shared" si="67"/>
        <v>0</v>
      </c>
      <c r="AF122" s="55">
        <f t="shared" si="67"/>
        <v>0</v>
      </c>
      <c r="AG122" s="55">
        <f t="shared" si="67"/>
        <v>0</v>
      </c>
      <c r="AH122" s="151">
        <f t="shared" si="67"/>
        <v>0</v>
      </c>
      <c r="AI122" s="171"/>
    </row>
    <row r="123" spans="2:35" s="19" customFormat="1" x14ac:dyDescent="0.25">
      <c r="B123" s="252" t="s">
        <v>109</v>
      </c>
      <c r="C123" s="257" t="s">
        <v>37</v>
      </c>
      <c r="D123" s="152"/>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5"/>
      <c r="AI123" s="251"/>
    </row>
    <row r="124" spans="2:35" s="19" customFormat="1" x14ac:dyDescent="0.25">
      <c r="B124" s="252" t="s">
        <v>110</v>
      </c>
      <c r="C124" s="257" t="s">
        <v>37</v>
      </c>
      <c r="D124" s="152"/>
      <c r="E124" s="174">
        <f t="shared" ref="E124:AH124" si="68">E78</f>
        <v>0</v>
      </c>
      <c r="F124" s="174">
        <f t="shared" si="68"/>
        <v>0</v>
      </c>
      <c r="G124" s="174">
        <f t="shared" si="68"/>
        <v>0</v>
      </c>
      <c r="H124" s="174">
        <f t="shared" si="68"/>
        <v>0</v>
      </c>
      <c r="I124" s="174">
        <f t="shared" si="68"/>
        <v>0</v>
      </c>
      <c r="J124" s="174">
        <f t="shared" si="68"/>
        <v>0</v>
      </c>
      <c r="K124" s="174">
        <f t="shared" si="68"/>
        <v>0</v>
      </c>
      <c r="L124" s="174">
        <f t="shared" si="68"/>
        <v>0</v>
      </c>
      <c r="M124" s="174">
        <f t="shared" si="68"/>
        <v>0</v>
      </c>
      <c r="N124" s="174">
        <f t="shared" si="68"/>
        <v>0</v>
      </c>
      <c r="O124" s="174">
        <f t="shared" si="68"/>
        <v>0</v>
      </c>
      <c r="P124" s="174">
        <f t="shared" si="68"/>
        <v>0</v>
      </c>
      <c r="Q124" s="174">
        <f t="shared" si="68"/>
        <v>0</v>
      </c>
      <c r="R124" s="174">
        <f t="shared" si="68"/>
        <v>0</v>
      </c>
      <c r="S124" s="174">
        <f t="shared" si="68"/>
        <v>0</v>
      </c>
      <c r="T124" s="174">
        <f t="shared" si="68"/>
        <v>0</v>
      </c>
      <c r="U124" s="174">
        <f t="shared" si="68"/>
        <v>0</v>
      </c>
      <c r="V124" s="174">
        <f t="shared" si="68"/>
        <v>0</v>
      </c>
      <c r="W124" s="174">
        <f t="shared" si="68"/>
        <v>0</v>
      </c>
      <c r="X124" s="174">
        <f t="shared" si="68"/>
        <v>0</v>
      </c>
      <c r="Y124" s="174">
        <f t="shared" si="68"/>
        <v>0</v>
      </c>
      <c r="Z124" s="174">
        <f t="shared" si="68"/>
        <v>0</v>
      </c>
      <c r="AA124" s="174">
        <f t="shared" si="68"/>
        <v>0</v>
      </c>
      <c r="AB124" s="174">
        <f t="shared" si="68"/>
        <v>0</v>
      </c>
      <c r="AC124" s="174">
        <f t="shared" si="68"/>
        <v>0</v>
      </c>
      <c r="AD124" s="174">
        <f t="shared" si="68"/>
        <v>0</v>
      </c>
      <c r="AE124" s="174">
        <f t="shared" si="68"/>
        <v>0</v>
      </c>
      <c r="AF124" s="174">
        <f t="shared" si="68"/>
        <v>0</v>
      </c>
      <c r="AG124" s="174">
        <f t="shared" si="68"/>
        <v>0</v>
      </c>
      <c r="AH124" s="175">
        <f t="shared" si="68"/>
        <v>0</v>
      </c>
      <c r="AI124" s="251"/>
    </row>
    <row r="125" spans="2:35" ht="13" thickBot="1" x14ac:dyDescent="0.3">
      <c r="B125" s="176" t="s">
        <v>60</v>
      </c>
      <c r="C125" s="98" t="s">
        <v>37</v>
      </c>
      <c r="D125" s="152"/>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5"/>
      <c r="AI125" s="122"/>
    </row>
    <row r="126" spans="2:35" ht="13" thickBot="1" x14ac:dyDescent="0.3">
      <c r="B126" s="140" t="s">
        <v>61</v>
      </c>
      <c r="C126" s="56" t="s">
        <v>13</v>
      </c>
      <c r="D126" s="141">
        <f t="shared" ref="D126:AH126" si="69">SUM(D111,D118:D119)</f>
        <v>-4820191241.6296968</v>
      </c>
      <c r="E126" s="142">
        <f t="shared" si="69"/>
        <v>376819855.22397542</v>
      </c>
      <c r="F126" s="142">
        <f t="shared" si="69"/>
        <v>379492524.42032117</v>
      </c>
      <c r="G126" s="142">
        <f t="shared" si="69"/>
        <v>382165193.61666691</v>
      </c>
      <c r="H126" s="142">
        <f t="shared" si="69"/>
        <v>384837862.8130126</v>
      </c>
      <c r="I126" s="142">
        <f t="shared" si="69"/>
        <v>387510532.00935841</v>
      </c>
      <c r="J126" s="142">
        <f t="shared" si="69"/>
        <v>390183201.20570409</v>
      </c>
      <c r="K126" s="142">
        <f t="shared" si="69"/>
        <v>392855870.40204984</v>
      </c>
      <c r="L126" s="142">
        <f t="shared" si="69"/>
        <v>395528539.59839559</v>
      </c>
      <c r="M126" s="142">
        <f t="shared" si="69"/>
        <v>398201208.79474127</v>
      </c>
      <c r="N126" s="142">
        <f t="shared" si="69"/>
        <v>400873877.99108702</v>
      </c>
      <c r="O126" s="142">
        <f t="shared" si="69"/>
        <v>403546547.18743277</v>
      </c>
      <c r="P126" s="142">
        <f t="shared" si="69"/>
        <v>406219216.38377845</v>
      </c>
      <c r="Q126" s="142">
        <f t="shared" si="69"/>
        <v>408891885.5801242</v>
      </c>
      <c r="R126" s="142">
        <f t="shared" si="69"/>
        <v>411564554.77646995</v>
      </c>
      <c r="S126" s="142">
        <f t="shared" si="69"/>
        <v>414237223.97281563</v>
      </c>
      <c r="T126" s="142">
        <f t="shared" si="69"/>
        <v>344607024.54471588</v>
      </c>
      <c r="U126" s="142">
        <f t="shared" si="69"/>
        <v>344917800.03266311</v>
      </c>
      <c r="V126" s="142">
        <f t="shared" si="69"/>
        <v>345228575.52061033</v>
      </c>
      <c r="W126" s="142">
        <f t="shared" si="69"/>
        <v>345539351.00855744</v>
      </c>
      <c r="X126" s="142">
        <f t="shared" si="69"/>
        <v>345850126.49650466</v>
      </c>
      <c r="Y126" s="142">
        <f t="shared" si="69"/>
        <v>346160901.98445177</v>
      </c>
      <c r="Z126" s="142">
        <f t="shared" si="69"/>
        <v>346471677.472399</v>
      </c>
      <c r="AA126" s="142">
        <f t="shared" si="69"/>
        <v>346782452.96034616</v>
      </c>
      <c r="AB126" s="142">
        <f t="shared" si="69"/>
        <v>347093228.44829333</v>
      </c>
      <c r="AC126" s="142">
        <f t="shared" si="69"/>
        <v>347404003.93624055</v>
      </c>
      <c r="AD126" s="142">
        <f t="shared" si="69"/>
        <v>347714779.42418772</v>
      </c>
      <c r="AE126" s="142">
        <f t="shared" si="69"/>
        <v>348025554.91213489</v>
      </c>
      <c r="AF126" s="142">
        <f t="shared" si="69"/>
        <v>348336330.40008205</v>
      </c>
      <c r="AG126" s="142">
        <f t="shared" si="69"/>
        <v>348647105.88802922</v>
      </c>
      <c r="AH126" s="143">
        <f t="shared" si="69"/>
        <v>348957881.37597644</v>
      </c>
      <c r="AI126" s="57">
        <f>SUM(E126:AH126)</f>
        <v>11134664888.381126</v>
      </c>
    </row>
    <row r="127" spans="2:35" s="258" customFormat="1" x14ac:dyDescent="0.25">
      <c r="B127" s="252" t="s">
        <v>112</v>
      </c>
      <c r="C127" s="257" t="s">
        <v>37</v>
      </c>
      <c r="D127" s="259"/>
      <c r="E127" s="260">
        <f>D128</f>
        <v>-4820191241.6296968</v>
      </c>
      <c r="F127" s="260">
        <f t="shared" ref="F127:AH127" si="70">E128</f>
        <v>-4443371386.4057217</v>
      </c>
      <c r="G127" s="260">
        <f t="shared" si="70"/>
        <v>-4063878861.9854007</v>
      </c>
      <c r="H127" s="260">
        <f t="shared" si="70"/>
        <v>-3681713668.3687339</v>
      </c>
      <c r="I127" s="260">
        <f t="shared" si="70"/>
        <v>-3296875805.5557213</v>
      </c>
      <c r="J127" s="260">
        <f t="shared" si="70"/>
        <v>-2909365273.5463629</v>
      </c>
      <c r="K127" s="260">
        <f t="shared" si="70"/>
        <v>-2519182072.3406587</v>
      </c>
      <c r="L127" s="260">
        <f t="shared" si="70"/>
        <v>-2126326201.9386089</v>
      </c>
      <c r="M127" s="260">
        <f t="shared" si="70"/>
        <v>-1730797662.3402133</v>
      </c>
      <c r="N127" s="260">
        <f t="shared" si="70"/>
        <v>-1332596453.5454721</v>
      </c>
      <c r="O127" s="260">
        <f t="shared" si="70"/>
        <v>-931722575.55438519</v>
      </c>
      <c r="P127" s="260">
        <f t="shared" si="70"/>
        <v>-528176028.36695242</v>
      </c>
      <c r="Q127" s="260">
        <f t="shared" si="70"/>
        <v>-121956811.98317397</v>
      </c>
      <c r="R127" s="260">
        <f t="shared" si="70"/>
        <v>286935073.59695023</v>
      </c>
      <c r="S127" s="260">
        <f t="shared" si="70"/>
        <v>698499628.37342024</v>
      </c>
      <c r="T127" s="260">
        <f t="shared" si="70"/>
        <v>1112736852.3462358</v>
      </c>
      <c r="U127" s="260">
        <f t="shared" si="70"/>
        <v>1457343876.8909516</v>
      </c>
      <c r="V127" s="260">
        <f t="shared" si="70"/>
        <v>1802261676.9236147</v>
      </c>
      <c r="W127" s="260">
        <f t="shared" si="70"/>
        <v>2147490252.4442253</v>
      </c>
      <c r="X127" s="260">
        <f t="shared" si="70"/>
        <v>2493029603.4527826</v>
      </c>
      <c r="Y127" s="260">
        <f t="shared" si="70"/>
        <v>2838879729.9492874</v>
      </c>
      <c r="Z127" s="260">
        <f t="shared" si="70"/>
        <v>3185040631.9337392</v>
      </c>
      <c r="AA127" s="260">
        <f t="shared" si="70"/>
        <v>3531512309.4061384</v>
      </c>
      <c r="AB127" s="260">
        <f t="shared" si="70"/>
        <v>3878294762.3664846</v>
      </c>
      <c r="AC127" s="260">
        <f t="shared" si="70"/>
        <v>4225387990.8147779</v>
      </c>
      <c r="AD127" s="260">
        <f t="shared" si="70"/>
        <v>4572791994.7510185</v>
      </c>
      <c r="AE127" s="260">
        <f t="shared" si="70"/>
        <v>4920506774.1752062</v>
      </c>
      <c r="AF127" s="260">
        <f t="shared" si="70"/>
        <v>5268532329.0873413</v>
      </c>
      <c r="AG127" s="260">
        <f t="shared" si="70"/>
        <v>5616868659.4874229</v>
      </c>
      <c r="AH127" s="261">
        <f t="shared" si="70"/>
        <v>5965515765.375452</v>
      </c>
      <c r="AI127" s="262"/>
    </row>
    <row r="128" spans="2:35" s="258" customFormat="1" x14ac:dyDescent="0.25">
      <c r="B128" s="252" t="s">
        <v>113</v>
      </c>
      <c r="C128" s="257" t="s">
        <v>37</v>
      </c>
      <c r="D128" s="259">
        <f>D126</f>
        <v>-4820191241.6296968</v>
      </c>
      <c r="E128" s="260">
        <f>E127+E126</f>
        <v>-4443371386.4057217</v>
      </c>
      <c r="F128" s="260">
        <f t="shared" ref="F128:AH128" si="71">F127+F126</f>
        <v>-4063878861.9854007</v>
      </c>
      <c r="G128" s="260">
        <f t="shared" si="71"/>
        <v>-3681713668.3687339</v>
      </c>
      <c r="H128" s="260">
        <f t="shared" si="71"/>
        <v>-3296875805.5557213</v>
      </c>
      <c r="I128" s="260">
        <f t="shared" si="71"/>
        <v>-2909365273.5463629</v>
      </c>
      <c r="J128" s="260">
        <f t="shared" si="71"/>
        <v>-2519182072.3406587</v>
      </c>
      <c r="K128" s="260">
        <f t="shared" si="71"/>
        <v>-2126326201.9386089</v>
      </c>
      <c r="L128" s="260">
        <f t="shared" si="71"/>
        <v>-1730797662.3402133</v>
      </c>
      <c r="M128" s="260">
        <f t="shared" si="71"/>
        <v>-1332596453.5454721</v>
      </c>
      <c r="N128" s="260">
        <f t="shared" si="71"/>
        <v>-931722575.55438519</v>
      </c>
      <c r="O128" s="260">
        <f t="shared" si="71"/>
        <v>-528176028.36695242</v>
      </c>
      <c r="P128" s="260">
        <f t="shared" si="71"/>
        <v>-121956811.98317397</v>
      </c>
      <c r="Q128" s="260">
        <f t="shared" si="71"/>
        <v>286935073.59695023</v>
      </c>
      <c r="R128" s="260">
        <f t="shared" si="71"/>
        <v>698499628.37342024</v>
      </c>
      <c r="S128" s="260">
        <f t="shared" si="71"/>
        <v>1112736852.3462358</v>
      </c>
      <c r="T128" s="260">
        <f t="shared" si="71"/>
        <v>1457343876.8909516</v>
      </c>
      <c r="U128" s="260">
        <f t="shared" si="71"/>
        <v>1802261676.9236147</v>
      </c>
      <c r="V128" s="260">
        <f t="shared" si="71"/>
        <v>2147490252.4442253</v>
      </c>
      <c r="W128" s="260">
        <f t="shared" si="71"/>
        <v>2493029603.4527826</v>
      </c>
      <c r="X128" s="260">
        <f t="shared" si="71"/>
        <v>2838879729.9492874</v>
      </c>
      <c r="Y128" s="260">
        <f t="shared" si="71"/>
        <v>3185040631.9337392</v>
      </c>
      <c r="Z128" s="260">
        <f t="shared" si="71"/>
        <v>3531512309.4061384</v>
      </c>
      <c r="AA128" s="260">
        <f t="shared" si="71"/>
        <v>3878294762.3664846</v>
      </c>
      <c r="AB128" s="260">
        <f t="shared" si="71"/>
        <v>4225387990.8147779</v>
      </c>
      <c r="AC128" s="260">
        <f t="shared" si="71"/>
        <v>4572791994.7510185</v>
      </c>
      <c r="AD128" s="260">
        <f t="shared" si="71"/>
        <v>4920506774.1752062</v>
      </c>
      <c r="AE128" s="260">
        <f t="shared" si="71"/>
        <v>5268532329.0873413</v>
      </c>
      <c r="AF128" s="260">
        <f t="shared" si="71"/>
        <v>5616868659.4874229</v>
      </c>
      <c r="AG128" s="260">
        <f t="shared" si="71"/>
        <v>5965515765.375452</v>
      </c>
      <c r="AH128" s="261">
        <f t="shared" si="71"/>
        <v>6314473646.7514286</v>
      </c>
      <c r="AI128" s="262"/>
    </row>
    <row r="129" spans="1:35" x14ac:dyDescent="0.25">
      <c r="B129" s="157" t="s">
        <v>114</v>
      </c>
      <c r="C129" s="34" t="s">
        <v>11</v>
      </c>
      <c r="D129" s="150">
        <f>SUM(D190,D194,D198)</f>
        <v>0</v>
      </c>
      <c r="E129" s="48">
        <f>D129+E122</f>
        <v>0</v>
      </c>
      <c r="F129" s="48">
        <f t="shared" ref="F129:AH129" si="72">E129+F122</f>
        <v>0</v>
      </c>
      <c r="G129" s="48">
        <f t="shared" si="72"/>
        <v>0</v>
      </c>
      <c r="H129" s="48">
        <f t="shared" si="72"/>
        <v>0</v>
      </c>
      <c r="I129" s="48">
        <f t="shared" si="72"/>
        <v>0</v>
      </c>
      <c r="J129" s="48">
        <f t="shared" si="72"/>
        <v>0</v>
      </c>
      <c r="K129" s="48">
        <f t="shared" si="72"/>
        <v>0</v>
      </c>
      <c r="L129" s="48">
        <f t="shared" si="72"/>
        <v>0</v>
      </c>
      <c r="M129" s="48">
        <f t="shared" si="72"/>
        <v>0</v>
      </c>
      <c r="N129" s="48">
        <f t="shared" si="72"/>
        <v>0</v>
      </c>
      <c r="O129" s="48">
        <f t="shared" si="72"/>
        <v>0</v>
      </c>
      <c r="P129" s="48">
        <f t="shared" si="72"/>
        <v>0</v>
      </c>
      <c r="Q129" s="48">
        <f t="shared" si="72"/>
        <v>0</v>
      </c>
      <c r="R129" s="48">
        <f t="shared" si="72"/>
        <v>0</v>
      </c>
      <c r="S129" s="48">
        <f t="shared" si="72"/>
        <v>0</v>
      </c>
      <c r="T129" s="48">
        <f t="shared" si="72"/>
        <v>0</v>
      </c>
      <c r="U129" s="48">
        <f t="shared" si="72"/>
        <v>0</v>
      </c>
      <c r="V129" s="48">
        <f t="shared" si="72"/>
        <v>0</v>
      </c>
      <c r="W129" s="48">
        <f t="shared" si="72"/>
        <v>0</v>
      </c>
      <c r="X129" s="48">
        <f t="shared" si="72"/>
        <v>0</v>
      </c>
      <c r="Y129" s="48">
        <f t="shared" si="72"/>
        <v>0</v>
      </c>
      <c r="Z129" s="48">
        <f t="shared" si="72"/>
        <v>0</v>
      </c>
      <c r="AA129" s="48">
        <f t="shared" si="72"/>
        <v>0</v>
      </c>
      <c r="AB129" s="48">
        <f t="shared" si="72"/>
        <v>0</v>
      </c>
      <c r="AC129" s="48">
        <f t="shared" si="72"/>
        <v>0</v>
      </c>
      <c r="AD129" s="48">
        <f t="shared" si="72"/>
        <v>0</v>
      </c>
      <c r="AE129" s="48">
        <f t="shared" si="72"/>
        <v>0</v>
      </c>
      <c r="AF129" s="48">
        <f t="shared" si="72"/>
        <v>0</v>
      </c>
      <c r="AG129" s="48">
        <f t="shared" si="72"/>
        <v>0</v>
      </c>
      <c r="AH129" s="151">
        <f t="shared" si="72"/>
        <v>0</v>
      </c>
      <c r="AI129" s="112"/>
    </row>
    <row r="130" spans="1:35" x14ac:dyDescent="0.25">
      <c r="B130" s="221" t="s">
        <v>89</v>
      </c>
      <c r="C130" s="54" t="s">
        <v>11</v>
      </c>
      <c r="D130" s="177"/>
      <c r="E130" s="178">
        <f>SUM(E164,E167,E170,E173,E176,E179,E182)</f>
        <v>-272721346.56589073</v>
      </c>
      <c r="F130" s="178">
        <f t="shared" ref="F130:AH130" si="73">SUM(F164,F167,F170,F173,F176,F179,F182)</f>
        <v>-272721346.56589073</v>
      </c>
      <c r="G130" s="178">
        <f t="shared" si="73"/>
        <v>-272721346.56589073</v>
      </c>
      <c r="H130" s="178">
        <f t="shared" si="73"/>
        <v>-272721346.56589073</v>
      </c>
      <c r="I130" s="178">
        <f t="shared" si="73"/>
        <v>-272721346.56589073</v>
      </c>
      <c r="J130" s="178">
        <f t="shared" si="73"/>
        <v>-272721346.56589073</v>
      </c>
      <c r="K130" s="178">
        <f t="shared" si="73"/>
        <v>-272721346.56589073</v>
      </c>
      <c r="L130" s="178">
        <f t="shared" si="73"/>
        <v>-272721346.56589073</v>
      </c>
      <c r="M130" s="178">
        <f t="shared" si="73"/>
        <v>-272721346.56589073</v>
      </c>
      <c r="N130" s="178">
        <f t="shared" si="73"/>
        <v>-272721346.56589073</v>
      </c>
      <c r="O130" s="178">
        <f t="shared" si="73"/>
        <v>-272721346.56589073</v>
      </c>
      <c r="P130" s="178">
        <f t="shared" si="73"/>
        <v>-272721346.56589073</v>
      </c>
      <c r="Q130" s="178">
        <f t="shared" si="73"/>
        <v>-272721346.56589073</v>
      </c>
      <c r="R130" s="178">
        <f t="shared" si="73"/>
        <v>-272721346.56589073</v>
      </c>
      <c r="S130" s="178">
        <f t="shared" si="73"/>
        <v>-272721346.56589073</v>
      </c>
      <c r="T130" s="178">
        <f t="shared" si="73"/>
        <v>-31711784.484405901</v>
      </c>
      <c r="U130" s="178">
        <f t="shared" si="73"/>
        <v>-31711784.484405901</v>
      </c>
      <c r="V130" s="178">
        <f t="shared" si="73"/>
        <v>-31711784.484405901</v>
      </c>
      <c r="W130" s="178">
        <f t="shared" si="73"/>
        <v>-31711784.484405901</v>
      </c>
      <c r="X130" s="178">
        <f t="shared" si="73"/>
        <v>-31711784.484405901</v>
      </c>
      <c r="Y130" s="178">
        <f t="shared" si="73"/>
        <v>-31711784.484405901</v>
      </c>
      <c r="Z130" s="178">
        <f t="shared" si="73"/>
        <v>-31711784.484405901</v>
      </c>
      <c r="AA130" s="178">
        <f t="shared" si="73"/>
        <v>-31711784.484405901</v>
      </c>
      <c r="AB130" s="178">
        <f t="shared" si="73"/>
        <v>-31711784.484405901</v>
      </c>
      <c r="AC130" s="178">
        <f t="shared" si="73"/>
        <v>-31711784.484405901</v>
      </c>
      <c r="AD130" s="178">
        <f t="shared" si="73"/>
        <v>-31711784.484405901</v>
      </c>
      <c r="AE130" s="178">
        <f t="shared" si="73"/>
        <v>-31711784.484405901</v>
      </c>
      <c r="AF130" s="178">
        <f t="shared" si="73"/>
        <v>-31711784.484405901</v>
      </c>
      <c r="AG130" s="178">
        <f t="shared" si="73"/>
        <v>-31711784.484405901</v>
      </c>
      <c r="AH130" s="179">
        <f t="shared" si="73"/>
        <v>-31711784.484405901</v>
      </c>
      <c r="AI130" s="180">
        <f>SUM(E130:AH130)</f>
        <v>-4566496965.754447</v>
      </c>
    </row>
    <row r="131" spans="1:35" ht="13" thickBot="1" x14ac:dyDescent="0.3">
      <c r="B131" s="220" t="s">
        <v>81</v>
      </c>
      <c r="C131" s="66" t="s">
        <v>11</v>
      </c>
      <c r="D131" s="154">
        <f>SUM(D165,D168,D171,D174,D177,D180,D183)</f>
        <v>4820191241.6296968</v>
      </c>
      <c r="E131" s="155">
        <f t="shared" ref="E131:AH131" si="74">SUM(E165,E168,E171,E174,E177,E180,E183)</f>
        <v>4547469895.0638065</v>
      </c>
      <c r="F131" s="155">
        <f t="shared" si="74"/>
        <v>4274748548.4979153</v>
      </c>
      <c r="G131" s="155">
        <f t="shared" si="74"/>
        <v>4002027201.932025</v>
      </c>
      <c r="H131" s="155">
        <f t="shared" si="74"/>
        <v>3729305855.3661337</v>
      </c>
      <c r="I131" s="155">
        <f t="shared" si="74"/>
        <v>3456584508.8002434</v>
      </c>
      <c r="J131" s="155">
        <f t="shared" si="74"/>
        <v>3183863162.2343526</v>
      </c>
      <c r="K131" s="155">
        <f t="shared" si="74"/>
        <v>2911141815.6684618</v>
      </c>
      <c r="L131" s="155">
        <f t="shared" si="74"/>
        <v>2638420469.1025715</v>
      </c>
      <c r="M131" s="155">
        <f t="shared" si="74"/>
        <v>2365699122.5366807</v>
      </c>
      <c r="N131" s="155">
        <f t="shared" si="74"/>
        <v>2092977775.9707899</v>
      </c>
      <c r="O131" s="155">
        <f t="shared" si="74"/>
        <v>1820256429.4048991</v>
      </c>
      <c r="P131" s="155">
        <f t="shared" si="74"/>
        <v>1547535082.8390086</v>
      </c>
      <c r="Q131" s="155">
        <f t="shared" si="74"/>
        <v>1274813736.2731178</v>
      </c>
      <c r="R131" s="155">
        <f t="shared" si="74"/>
        <v>1002092389.7072271</v>
      </c>
      <c r="S131" s="155">
        <f t="shared" si="74"/>
        <v>729371043.14133644</v>
      </c>
      <c r="T131" s="155">
        <f t="shared" si="74"/>
        <v>697659258.65693045</v>
      </c>
      <c r="U131" s="155">
        <f t="shared" si="74"/>
        <v>665947474.17252469</v>
      </c>
      <c r="V131" s="155">
        <f t="shared" si="74"/>
        <v>634235689.6881187</v>
      </c>
      <c r="W131" s="155">
        <f t="shared" si="74"/>
        <v>602523905.20371294</v>
      </c>
      <c r="X131" s="155">
        <f t="shared" si="74"/>
        <v>570812120.71930695</v>
      </c>
      <c r="Y131" s="155">
        <f t="shared" si="74"/>
        <v>539100336.23490119</v>
      </c>
      <c r="Z131" s="155">
        <f t="shared" si="74"/>
        <v>507388551.75049525</v>
      </c>
      <c r="AA131" s="155">
        <f t="shared" si="74"/>
        <v>475676767.26608938</v>
      </c>
      <c r="AB131" s="155">
        <f t="shared" si="74"/>
        <v>443964982.7816835</v>
      </c>
      <c r="AC131" s="155">
        <f t="shared" si="74"/>
        <v>412253198.29727763</v>
      </c>
      <c r="AD131" s="155">
        <f t="shared" si="74"/>
        <v>380541413.81287175</v>
      </c>
      <c r="AE131" s="155">
        <f t="shared" si="74"/>
        <v>348829629.32846588</v>
      </c>
      <c r="AF131" s="155">
        <f t="shared" si="74"/>
        <v>317117844.84406</v>
      </c>
      <c r="AG131" s="155">
        <f t="shared" si="74"/>
        <v>285406060.35965413</v>
      </c>
      <c r="AH131" s="156">
        <f t="shared" si="74"/>
        <v>253694275.87524822</v>
      </c>
      <c r="AI131" s="146"/>
    </row>
    <row r="133" spans="1:35" x14ac:dyDescent="0.25">
      <c r="Y133" s="2"/>
    </row>
    <row r="134" spans="1:35" s="68" customFormat="1" x14ac:dyDescent="0.25">
      <c r="A134" s="68" t="s">
        <v>17</v>
      </c>
      <c r="D134" s="69"/>
      <c r="E134" s="69"/>
      <c r="F134" s="69"/>
      <c r="G134" s="69"/>
      <c r="H134" s="69"/>
      <c r="I134" s="69"/>
      <c r="J134" s="69"/>
      <c r="K134" s="69"/>
      <c r="L134" s="69"/>
      <c r="M134" s="69"/>
      <c r="N134" s="69"/>
      <c r="O134" s="69"/>
      <c r="P134" s="69"/>
      <c r="Q134" s="69"/>
      <c r="R134" s="69"/>
      <c r="S134" s="69"/>
      <c r="T134" s="69"/>
      <c r="U134" s="69"/>
      <c r="V134" s="69"/>
      <c r="W134" s="69"/>
      <c r="X134" s="69"/>
    </row>
    <row r="135" spans="1:35" ht="13" thickBot="1" x14ac:dyDescent="0.3">
      <c r="A135" s="68" t="s">
        <v>29</v>
      </c>
      <c r="C135" s="93" t="s">
        <v>68</v>
      </c>
      <c r="D135" s="2">
        <f>インプット!E95</f>
        <v>0</v>
      </c>
    </row>
    <row r="136" spans="1:35" ht="13" thickBot="1" x14ac:dyDescent="0.3">
      <c r="B136" s="77" t="s">
        <v>18</v>
      </c>
      <c r="C136" s="184"/>
      <c r="D136" s="25">
        <v>0</v>
      </c>
      <c r="E136" s="26">
        <v>1</v>
      </c>
      <c r="F136" s="26">
        <v>2</v>
      </c>
      <c r="G136" s="26">
        <v>3</v>
      </c>
      <c r="H136" s="26">
        <v>4</v>
      </c>
      <c r="I136" s="26">
        <v>5</v>
      </c>
      <c r="J136" s="26">
        <v>6</v>
      </c>
      <c r="K136" s="26">
        <v>7</v>
      </c>
      <c r="L136" s="26">
        <v>8</v>
      </c>
      <c r="M136" s="26">
        <v>9</v>
      </c>
      <c r="N136" s="26">
        <v>10</v>
      </c>
      <c r="O136" s="26">
        <v>11</v>
      </c>
      <c r="P136" s="26">
        <v>12</v>
      </c>
      <c r="Q136" s="26">
        <v>13</v>
      </c>
      <c r="R136" s="26">
        <v>14</v>
      </c>
      <c r="S136" s="26">
        <v>15</v>
      </c>
      <c r="T136" s="26">
        <v>16</v>
      </c>
      <c r="U136" s="26">
        <v>17</v>
      </c>
      <c r="V136" s="26">
        <v>18</v>
      </c>
      <c r="W136" s="26">
        <v>19</v>
      </c>
      <c r="X136" s="26">
        <v>20</v>
      </c>
      <c r="Y136" s="25">
        <v>21</v>
      </c>
      <c r="Z136" s="26">
        <v>22</v>
      </c>
      <c r="AA136" s="70">
        <v>23</v>
      </c>
      <c r="AB136" s="26">
        <v>24</v>
      </c>
      <c r="AC136" s="26">
        <v>25</v>
      </c>
      <c r="AD136" s="26">
        <v>26</v>
      </c>
      <c r="AE136" s="25">
        <v>27</v>
      </c>
      <c r="AF136" s="26">
        <v>28</v>
      </c>
      <c r="AG136" s="26">
        <v>29</v>
      </c>
      <c r="AH136" s="184">
        <v>30</v>
      </c>
    </row>
    <row r="137" spans="1:35" x14ac:dyDescent="0.25">
      <c r="B137" s="181" t="s">
        <v>62</v>
      </c>
      <c r="C137" s="173" t="s">
        <v>46</v>
      </c>
      <c r="D137" s="47">
        <f>-SUM(D163:D183)+D135</f>
        <v>-4820191241.6296968</v>
      </c>
      <c r="E137" s="47"/>
      <c r="F137" s="47"/>
      <c r="G137" s="47"/>
      <c r="H137" s="47"/>
      <c r="I137" s="47"/>
      <c r="J137" s="47"/>
      <c r="K137" s="47"/>
      <c r="L137" s="47"/>
      <c r="M137" s="47"/>
      <c r="N137" s="47"/>
      <c r="O137" s="47"/>
      <c r="P137" s="47"/>
      <c r="Q137" s="47"/>
      <c r="R137" s="47"/>
      <c r="S137" s="47"/>
      <c r="T137" s="47"/>
      <c r="U137" s="47"/>
      <c r="V137" s="47"/>
      <c r="W137" s="47"/>
      <c r="X137" s="71"/>
      <c r="Y137" s="47"/>
      <c r="Z137" s="47"/>
      <c r="AA137" s="71"/>
      <c r="AB137" s="47"/>
      <c r="AC137" s="47"/>
      <c r="AD137" s="71"/>
      <c r="AE137" s="47"/>
      <c r="AF137" s="47"/>
      <c r="AG137" s="71"/>
      <c r="AH137" s="616"/>
    </row>
    <row r="138" spans="1:35" x14ac:dyDescent="0.25">
      <c r="B138" s="157" t="s">
        <v>66</v>
      </c>
      <c r="C138" s="257" t="s">
        <v>46</v>
      </c>
      <c r="D138" s="65">
        <f>D42</f>
        <v>0</v>
      </c>
      <c r="E138" s="36">
        <f>E111</f>
        <v>376819855.22397542</v>
      </c>
      <c r="F138" s="36">
        <f t="shared" ref="F138:AH138" si="75">F111</f>
        <v>379492524.42032117</v>
      </c>
      <c r="G138" s="36">
        <f t="shared" si="75"/>
        <v>382165193.61666691</v>
      </c>
      <c r="H138" s="36">
        <f t="shared" si="75"/>
        <v>384837862.8130126</v>
      </c>
      <c r="I138" s="36">
        <f t="shared" si="75"/>
        <v>387510532.00935841</v>
      </c>
      <c r="J138" s="36">
        <f t="shared" si="75"/>
        <v>390183201.20570409</v>
      </c>
      <c r="K138" s="36">
        <f t="shared" si="75"/>
        <v>392855870.40204984</v>
      </c>
      <c r="L138" s="36">
        <f t="shared" si="75"/>
        <v>395528539.59839559</v>
      </c>
      <c r="M138" s="36">
        <f t="shared" si="75"/>
        <v>398201208.79474127</v>
      </c>
      <c r="N138" s="36">
        <f t="shared" si="75"/>
        <v>400873877.99108702</v>
      </c>
      <c r="O138" s="36">
        <f t="shared" si="75"/>
        <v>403546547.18743277</v>
      </c>
      <c r="P138" s="36">
        <f t="shared" si="75"/>
        <v>406219216.38377845</v>
      </c>
      <c r="Q138" s="36">
        <f t="shared" si="75"/>
        <v>408891885.5801242</v>
      </c>
      <c r="R138" s="36">
        <f t="shared" si="75"/>
        <v>411564554.77646995</v>
      </c>
      <c r="S138" s="36">
        <f t="shared" si="75"/>
        <v>414237223.97281563</v>
      </c>
      <c r="T138" s="36">
        <f t="shared" si="75"/>
        <v>344607024.54471588</v>
      </c>
      <c r="U138" s="36">
        <f t="shared" si="75"/>
        <v>344917800.03266311</v>
      </c>
      <c r="V138" s="36">
        <f t="shared" si="75"/>
        <v>345228575.52061033</v>
      </c>
      <c r="W138" s="36">
        <f t="shared" si="75"/>
        <v>345539351.00855744</v>
      </c>
      <c r="X138" s="36">
        <f t="shared" si="75"/>
        <v>345850126.49650466</v>
      </c>
      <c r="Y138" s="65">
        <f t="shared" si="75"/>
        <v>346160901.98445177</v>
      </c>
      <c r="Z138" s="36">
        <f t="shared" si="75"/>
        <v>346471677.472399</v>
      </c>
      <c r="AA138" s="36">
        <f t="shared" si="75"/>
        <v>346782452.96034616</v>
      </c>
      <c r="AB138" s="65">
        <f t="shared" si="75"/>
        <v>347093228.44829333</v>
      </c>
      <c r="AC138" s="36">
        <f t="shared" si="75"/>
        <v>347404003.93624055</v>
      </c>
      <c r="AD138" s="36">
        <f t="shared" si="75"/>
        <v>347714779.42418772</v>
      </c>
      <c r="AE138" s="65">
        <f t="shared" si="75"/>
        <v>348025554.91213489</v>
      </c>
      <c r="AF138" s="36">
        <f t="shared" si="75"/>
        <v>348336330.40008205</v>
      </c>
      <c r="AG138" s="36">
        <f t="shared" si="75"/>
        <v>348647105.88802922</v>
      </c>
      <c r="AH138" s="112">
        <f t="shared" si="75"/>
        <v>348957881.37597644</v>
      </c>
    </row>
    <row r="139" spans="1:35" x14ac:dyDescent="0.25">
      <c r="B139" s="157" t="s">
        <v>115</v>
      </c>
      <c r="C139" s="266" t="s">
        <v>46</v>
      </c>
      <c r="D139" s="73">
        <f t="shared" ref="D139:AH139" si="76">D137+D138</f>
        <v>-4820191241.6296968</v>
      </c>
      <c r="E139" s="72">
        <f t="shared" si="76"/>
        <v>376819855.22397542</v>
      </c>
      <c r="F139" s="72">
        <f t="shared" si="76"/>
        <v>379492524.42032117</v>
      </c>
      <c r="G139" s="72">
        <f t="shared" si="76"/>
        <v>382165193.61666691</v>
      </c>
      <c r="H139" s="72">
        <f t="shared" si="76"/>
        <v>384837862.8130126</v>
      </c>
      <c r="I139" s="72">
        <f t="shared" si="76"/>
        <v>387510532.00935841</v>
      </c>
      <c r="J139" s="72">
        <f t="shared" si="76"/>
        <v>390183201.20570409</v>
      </c>
      <c r="K139" s="72">
        <f t="shared" si="76"/>
        <v>392855870.40204984</v>
      </c>
      <c r="L139" s="72">
        <f t="shared" si="76"/>
        <v>395528539.59839559</v>
      </c>
      <c r="M139" s="72">
        <f t="shared" si="76"/>
        <v>398201208.79474127</v>
      </c>
      <c r="N139" s="72">
        <f t="shared" si="76"/>
        <v>400873877.99108702</v>
      </c>
      <c r="O139" s="72">
        <f t="shared" si="76"/>
        <v>403546547.18743277</v>
      </c>
      <c r="P139" s="72">
        <f t="shared" si="76"/>
        <v>406219216.38377845</v>
      </c>
      <c r="Q139" s="72">
        <f t="shared" si="76"/>
        <v>408891885.5801242</v>
      </c>
      <c r="R139" s="72">
        <f t="shared" si="76"/>
        <v>411564554.77646995</v>
      </c>
      <c r="S139" s="72">
        <f t="shared" si="76"/>
        <v>414237223.97281563</v>
      </c>
      <c r="T139" s="72">
        <f t="shared" si="76"/>
        <v>344607024.54471588</v>
      </c>
      <c r="U139" s="72">
        <f t="shared" si="76"/>
        <v>344917800.03266311</v>
      </c>
      <c r="V139" s="72">
        <f t="shared" si="76"/>
        <v>345228575.52061033</v>
      </c>
      <c r="W139" s="72">
        <f t="shared" si="76"/>
        <v>345539351.00855744</v>
      </c>
      <c r="X139" s="72">
        <f t="shared" si="76"/>
        <v>345850126.49650466</v>
      </c>
      <c r="Y139" s="73">
        <f t="shared" si="76"/>
        <v>346160901.98445177</v>
      </c>
      <c r="Z139" s="72">
        <f t="shared" si="76"/>
        <v>346471677.472399</v>
      </c>
      <c r="AA139" s="72">
        <f t="shared" si="76"/>
        <v>346782452.96034616</v>
      </c>
      <c r="AB139" s="73">
        <f t="shared" si="76"/>
        <v>347093228.44829333</v>
      </c>
      <c r="AC139" s="72">
        <f t="shared" si="76"/>
        <v>347404003.93624055</v>
      </c>
      <c r="AD139" s="72">
        <f t="shared" si="76"/>
        <v>347714779.42418772</v>
      </c>
      <c r="AE139" s="73">
        <f t="shared" si="76"/>
        <v>348025554.91213489</v>
      </c>
      <c r="AF139" s="72">
        <f t="shared" si="76"/>
        <v>348336330.40008205</v>
      </c>
      <c r="AG139" s="72">
        <f t="shared" si="76"/>
        <v>348647105.88802922</v>
      </c>
      <c r="AH139" s="617">
        <f t="shared" si="76"/>
        <v>348957881.37597644</v>
      </c>
    </row>
    <row r="140" spans="1:35" ht="13" thickBot="1" x14ac:dyDescent="0.3">
      <c r="B140" s="74" t="s">
        <v>65</v>
      </c>
      <c r="C140" s="327">
        <f>IRR(D139:X139)</f>
        <v>4.9483612815025779E-2</v>
      </c>
      <c r="D140" s="75"/>
      <c r="E140" s="615" t="e">
        <f>IRR($D$139:D139)</f>
        <v>#NUM!</v>
      </c>
      <c r="F140" s="618">
        <f>IRR($D$139:E139)</f>
        <v>-0.92182470853654896</v>
      </c>
      <c r="G140" s="618">
        <f>IRR($D$139:F139)</f>
        <v>-0.67761461478468732</v>
      </c>
      <c r="H140" s="618">
        <f>IRR($D$139:G139)</f>
        <v>-0.4788446360695684</v>
      </c>
      <c r="I140" s="618">
        <f>IRR($D$139:H139)</f>
        <v>-0.34094074579788869</v>
      </c>
      <c r="J140" s="618">
        <f>IRR($D$139:I139)</f>
        <v>-0.24514834491630844</v>
      </c>
      <c r="K140" s="618">
        <f>IRR($D$139:J139)</f>
        <v>-0.17681846782959865</v>
      </c>
      <c r="L140" s="618">
        <f>IRR($D$139:K139)</f>
        <v>-0.12666188883807139</v>
      </c>
      <c r="M140" s="618">
        <f>IRR($D$139:L139)</f>
        <v>-8.8878808298509138E-2</v>
      </c>
      <c r="N140" s="618">
        <f>IRR($D$139:M139)</f>
        <v>-5.9770660183851909E-2</v>
      </c>
      <c r="O140" s="618">
        <f>IRR($D$139:N139)</f>
        <v>-3.690986981206168E-2</v>
      </c>
      <c r="P140" s="618">
        <f>IRR($D$139:O139)</f>
        <v>-1.8656485518743215E-2</v>
      </c>
      <c r="Q140" s="618">
        <f>IRR($D$139:P139)</f>
        <v>-3.8727159216559448E-3</v>
      </c>
      <c r="R140" s="618">
        <f>IRR($D$139:Q139)</f>
        <v>8.2499977814305403E-3</v>
      </c>
      <c r="S140" s="618">
        <f>IRR($D$139:R139)</f>
        <v>1.8298678677064917E-2</v>
      </c>
      <c r="T140" s="618">
        <f>IRR($D$139:S139)</f>
        <v>2.6707715696055789E-2</v>
      </c>
      <c r="U140" s="618">
        <f>IRR($D$139:T139)</f>
        <v>3.264329319657211E-2</v>
      </c>
      <c r="V140" s="618">
        <f>IRR($D$139:U139)</f>
        <v>3.7772903830559201E-2</v>
      </c>
      <c r="W140" s="618">
        <f>IRR($D$139:V139)</f>
        <v>4.2222653482505423E-2</v>
      </c>
      <c r="X140" s="618">
        <f>IRR($D$139:W139)</f>
        <v>4.6097274880303463E-2</v>
      </c>
      <c r="Y140" s="618">
        <f>IRR($D$139:X139)</f>
        <v>4.9483612815025779E-2</v>
      </c>
      <c r="Z140" s="618">
        <f>IRR($D$139:Y139)</f>
        <v>5.245375361923954E-2</v>
      </c>
      <c r="AA140" s="618">
        <f>IRR($D$139:Z139)</f>
        <v>5.5067686250710679E-2</v>
      </c>
      <c r="AB140" s="618">
        <f>IRR($D$139:AA139)</f>
        <v>5.7375503935174654E-2</v>
      </c>
      <c r="AC140" s="618">
        <f>IRR($D$139:AB139)</f>
        <v>5.9419200351900958E-2</v>
      </c>
      <c r="AD140" s="618">
        <f>IRR($D$139:AC139)</f>
        <v>6.1234125294878927E-2</v>
      </c>
      <c r="AE140" s="618">
        <f>IRR($D$139:AD139)</f>
        <v>6.285016156310208E-2</v>
      </c>
      <c r="AF140" s="618">
        <f>IRR($D$139:AE139)</f>
        <v>6.4292676676811489E-2</v>
      </c>
      <c r="AG140" s="618">
        <f>IRR($D$139:AF139)</f>
        <v>6.558329391205886E-2</v>
      </c>
      <c r="AH140" s="619">
        <f>IRR($D$139:AG139)</f>
        <v>6.674051872694875E-2</v>
      </c>
    </row>
    <row r="141" spans="1:35" x14ac:dyDescent="0.25">
      <c r="B141" s="17"/>
      <c r="C141" s="326"/>
      <c r="D141" s="328">
        <f>SUM($D$139:D139)</f>
        <v>-4820191241.6296968</v>
      </c>
      <c r="E141" s="328">
        <f>SUM($D$139:E139)</f>
        <v>-4443371386.4057217</v>
      </c>
      <c r="F141" s="328">
        <f>SUM($D$139:F139)</f>
        <v>-4063878861.9854007</v>
      </c>
      <c r="G141" s="328">
        <f>SUM($D$139:G139)</f>
        <v>-3681713668.3687339</v>
      </c>
      <c r="H141" s="328">
        <f>SUM($D$139:H139)</f>
        <v>-3296875805.5557213</v>
      </c>
      <c r="I141" s="328">
        <f>SUM($D$139:I139)</f>
        <v>-2909365273.5463629</v>
      </c>
      <c r="J141" s="328">
        <f>SUM($D$139:J139)</f>
        <v>-2519182072.3406587</v>
      </c>
      <c r="K141" s="328">
        <f>SUM($D$139:K139)</f>
        <v>-2126326201.9386089</v>
      </c>
      <c r="L141" s="328">
        <f>SUM($D$139:L139)</f>
        <v>-1730797662.3402133</v>
      </c>
      <c r="M141" s="328">
        <f>SUM($D$139:M139)</f>
        <v>-1332596453.5454721</v>
      </c>
      <c r="N141" s="328">
        <f>SUM($D$139:N139)</f>
        <v>-931722575.55438519</v>
      </c>
      <c r="O141" s="328">
        <f>SUM($D$139:O139)</f>
        <v>-528176028.36695242</v>
      </c>
      <c r="P141" s="328">
        <f>SUM($D$139:P139)</f>
        <v>-121956811.98317397</v>
      </c>
      <c r="Q141" s="328">
        <f>SUM($D$139:Q139)</f>
        <v>286935073.59695023</v>
      </c>
      <c r="R141" s="328">
        <f>SUM($D$139:R139)</f>
        <v>698499628.37342024</v>
      </c>
      <c r="S141" s="328">
        <f>SUM($D$139:S139)</f>
        <v>1112736852.3462358</v>
      </c>
      <c r="T141" s="328">
        <f>SUM($D$139:T139)</f>
        <v>1457343876.8909516</v>
      </c>
      <c r="U141" s="328">
        <f>SUM($D$139:U139)</f>
        <v>1802261676.9236147</v>
      </c>
      <c r="V141" s="328">
        <f>SUM($D$139:V139)</f>
        <v>2147490252.4442253</v>
      </c>
      <c r="W141" s="328">
        <f>SUM($D$139:W139)</f>
        <v>2493029603.4527826</v>
      </c>
      <c r="X141" s="328">
        <f>SUM($D$139:X139)</f>
        <v>2838879729.9492874</v>
      </c>
      <c r="Y141" s="328">
        <f>SUM($D$139:Y139)</f>
        <v>3185040631.9337392</v>
      </c>
      <c r="Z141" s="328">
        <f>SUM($D$139:Z139)</f>
        <v>3531512309.4061384</v>
      </c>
      <c r="AA141" s="328">
        <f>SUM($D$139:AA139)</f>
        <v>3878294762.3664846</v>
      </c>
      <c r="AB141" s="328">
        <f>SUM($D$139:AB139)</f>
        <v>4225387990.8147779</v>
      </c>
      <c r="AC141" s="328">
        <f>SUM($D$139:AC139)</f>
        <v>4572791994.7510185</v>
      </c>
      <c r="AD141" s="328">
        <f>SUM($D$139:AD139)</f>
        <v>4920506774.1752062</v>
      </c>
      <c r="AE141" s="328">
        <f>SUM($D$139:AE139)</f>
        <v>5268532329.0873413</v>
      </c>
      <c r="AF141" s="328">
        <f>SUM($D$139:AF139)</f>
        <v>5616868659.4874229</v>
      </c>
      <c r="AG141" s="328">
        <f>SUM($D$139:AG139)</f>
        <v>5965515765.375452</v>
      </c>
      <c r="AH141" s="328">
        <f>SUM($D$139:AH139)</f>
        <v>6314473646.7514286</v>
      </c>
    </row>
    <row r="142" spans="1:35" x14ac:dyDescent="0.25">
      <c r="B142" s="17"/>
      <c r="C142" s="326"/>
      <c r="D142" s="17">
        <f>IF(D141&lt;0,9999,D136)</f>
        <v>9999</v>
      </c>
      <c r="E142" s="17">
        <f>IF(E141&lt;0,9999,E136)</f>
        <v>9999</v>
      </c>
      <c r="F142" s="17">
        <f t="shared" ref="F142:AH142" si="77">IF(F141&lt;0,9999,F136)</f>
        <v>9999</v>
      </c>
      <c r="G142" s="17">
        <f t="shared" si="77"/>
        <v>9999</v>
      </c>
      <c r="H142" s="17">
        <f t="shared" si="77"/>
        <v>9999</v>
      </c>
      <c r="I142" s="17">
        <f t="shared" si="77"/>
        <v>9999</v>
      </c>
      <c r="J142" s="17">
        <f t="shared" si="77"/>
        <v>9999</v>
      </c>
      <c r="K142" s="17">
        <f t="shared" si="77"/>
        <v>9999</v>
      </c>
      <c r="L142" s="17">
        <f t="shared" si="77"/>
        <v>9999</v>
      </c>
      <c r="M142" s="17">
        <f t="shared" si="77"/>
        <v>9999</v>
      </c>
      <c r="N142" s="17">
        <f>IF(N141&lt;0,9999,N136)</f>
        <v>9999</v>
      </c>
      <c r="O142" s="17">
        <f t="shared" si="77"/>
        <v>9999</v>
      </c>
      <c r="P142" s="17">
        <f t="shared" si="77"/>
        <v>9999</v>
      </c>
      <c r="Q142" s="17">
        <f t="shared" si="77"/>
        <v>13</v>
      </c>
      <c r="R142" s="17">
        <f t="shared" si="77"/>
        <v>14</v>
      </c>
      <c r="S142" s="17">
        <f t="shared" si="77"/>
        <v>15</v>
      </c>
      <c r="T142" s="17">
        <f t="shared" si="77"/>
        <v>16</v>
      </c>
      <c r="U142" s="17">
        <f t="shared" si="77"/>
        <v>17</v>
      </c>
      <c r="V142" s="17">
        <f t="shared" si="77"/>
        <v>18</v>
      </c>
      <c r="W142" s="17">
        <f t="shared" si="77"/>
        <v>19</v>
      </c>
      <c r="X142" s="17">
        <f t="shared" si="77"/>
        <v>20</v>
      </c>
      <c r="Y142" s="17">
        <f t="shared" si="77"/>
        <v>21</v>
      </c>
      <c r="Z142" s="17">
        <f t="shared" si="77"/>
        <v>22</v>
      </c>
      <c r="AA142" s="17">
        <f t="shared" si="77"/>
        <v>23</v>
      </c>
      <c r="AB142" s="17">
        <f t="shared" si="77"/>
        <v>24</v>
      </c>
      <c r="AC142" s="17">
        <f t="shared" si="77"/>
        <v>25</v>
      </c>
      <c r="AD142" s="17">
        <f t="shared" si="77"/>
        <v>26</v>
      </c>
      <c r="AE142" s="17">
        <f t="shared" si="77"/>
        <v>27</v>
      </c>
      <c r="AF142" s="17">
        <f t="shared" si="77"/>
        <v>28</v>
      </c>
      <c r="AG142" s="17">
        <f t="shared" si="77"/>
        <v>29</v>
      </c>
      <c r="AH142" s="17">
        <f t="shared" si="77"/>
        <v>30</v>
      </c>
    </row>
    <row r="143" spans="1:35" x14ac:dyDescent="0.25">
      <c r="C143" s="2"/>
      <c r="D143" s="76"/>
      <c r="E143" s="76"/>
      <c r="F143" s="76"/>
      <c r="G143" s="76"/>
      <c r="H143" s="76"/>
      <c r="I143" s="76"/>
      <c r="J143" s="76"/>
      <c r="K143" s="76"/>
      <c r="L143" s="76"/>
      <c r="M143" s="76"/>
      <c r="N143" s="76"/>
      <c r="O143" s="76"/>
      <c r="P143" s="76"/>
      <c r="Q143" s="76"/>
      <c r="R143" s="76"/>
      <c r="S143" s="76"/>
      <c r="T143" s="76"/>
      <c r="U143" s="76"/>
      <c r="V143" s="76"/>
      <c r="W143" s="76"/>
      <c r="X143" s="76"/>
      <c r="AH143" s="17"/>
      <c r="AI143" s="17"/>
    </row>
    <row r="144" spans="1:35" hidden="1" x14ac:dyDescent="0.25">
      <c r="A144" s="110" t="s">
        <v>19</v>
      </c>
      <c r="B144" s="111"/>
      <c r="D144" s="8"/>
      <c r="E144" s="8"/>
      <c r="F144" s="8"/>
      <c r="G144" s="8"/>
      <c r="H144" s="8"/>
      <c r="I144" s="8"/>
      <c r="J144" s="8"/>
      <c r="K144" s="8"/>
      <c r="L144" s="8"/>
      <c r="M144" s="8"/>
      <c r="N144" s="8"/>
      <c r="O144" s="8"/>
      <c r="P144" s="8"/>
      <c r="Q144" s="8"/>
      <c r="R144" s="8"/>
      <c r="S144" s="8"/>
      <c r="T144" s="8"/>
      <c r="U144" s="8"/>
      <c r="V144" s="8"/>
      <c r="W144" s="8"/>
      <c r="X144" s="8"/>
    </row>
    <row r="145" spans="1:34" ht="13" hidden="1" thickBot="1" x14ac:dyDescent="0.3">
      <c r="B145" s="77" t="s">
        <v>18</v>
      </c>
      <c r="C145" s="184"/>
      <c r="D145" s="26">
        <v>0</v>
      </c>
      <c r="E145" s="26">
        <v>1</v>
      </c>
      <c r="F145" s="26">
        <v>2</v>
      </c>
      <c r="G145" s="26">
        <v>3</v>
      </c>
      <c r="H145" s="26">
        <v>4</v>
      </c>
      <c r="I145" s="26">
        <v>5</v>
      </c>
      <c r="J145" s="26">
        <v>6</v>
      </c>
      <c r="K145" s="26">
        <v>7</v>
      </c>
      <c r="L145" s="26">
        <v>8</v>
      </c>
      <c r="M145" s="26">
        <v>9</v>
      </c>
      <c r="N145" s="26">
        <v>10</v>
      </c>
      <c r="O145" s="26">
        <v>11</v>
      </c>
      <c r="P145" s="26">
        <v>12</v>
      </c>
      <c r="Q145" s="26">
        <v>13</v>
      </c>
      <c r="R145" s="26">
        <v>14</v>
      </c>
      <c r="S145" s="26">
        <v>15</v>
      </c>
      <c r="T145" s="26">
        <v>16</v>
      </c>
      <c r="U145" s="26">
        <v>17</v>
      </c>
      <c r="V145" s="26">
        <v>18</v>
      </c>
      <c r="W145" s="26">
        <v>19</v>
      </c>
      <c r="X145" s="78">
        <v>20</v>
      </c>
      <c r="Y145" s="26">
        <v>21</v>
      </c>
      <c r="Z145" s="26">
        <v>22</v>
      </c>
      <c r="AA145" s="26">
        <v>23</v>
      </c>
      <c r="AB145" s="26">
        <v>24</v>
      </c>
      <c r="AC145" s="26">
        <v>25</v>
      </c>
      <c r="AD145" s="26">
        <v>26</v>
      </c>
      <c r="AE145" s="26">
        <v>27</v>
      </c>
      <c r="AF145" s="26">
        <v>28</v>
      </c>
      <c r="AG145" s="26">
        <v>29</v>
      </c>
      <c r="AH145" s="26">
        <v>30</v>
      </c>
    </row>
    <row r="146" spans="1:34" hidden="1" x14ac:dyDescent="0.25">
      <c r="B146" s="192" t="s">
        <v>67</v>
      </c>
      <c r="C146" s="173" t="s">
        <v>46</v>
      </c>
      <c r="D146" s="79"/>
      <c r="E146" s="79"/>
      <c r="F146" s="79"/>
      <c r="G146" s="79"/>
      <c r="H146" s="79"/>
      <c r="I146" s="79"/>
      <c r="J146" s="79"/>
      <c r="K146" s="79"/>
      <c r="L146" s="79"/>
      <c r="M146" s="79"/>
      <c r="N146" s="79"/>
      <c r="O146" s="79"/>
      <c r="P146" s="79"/>
      <c r="Q146" s="79"/>
      <c r="R146" s="79"/>
      <c r="S146" s="79"/>
      <c r="T146" s="79"/>
      <c r="U146" s="79"/>
      <c r="V146" s="79"/>
      <c r="W146" s="79"/>
      <c r="X146" s="81"/>
      <c r="Y146" s="79"/>
      <c r="Z146" s="79"/>
      <c r="AA146" s="79"/>
      <c r="AB146" s="79"/>
      <c r="AC146" s="79"/>
      <c r="AD146" s="79"/>
      <c r="AE146" s="79"/>
      <c r="AF146" s="79"/>
      <c r="AG146" s="2"/>
      <c r="AH146" s="80"/>
    </row>
    <row r="147" spans="1:34" hidden="1" x14ac:dyDescent="0.25">
      <c r="B147" s="106" t="s">
        <v>20</v>
      </c>
      <c r="C147" s="186" t="s">
        <v>46</v>
      </c>
      <c r="D147" s="36"/>
      <c r="E147" s="36" t="e">
        <f>#REF!</f>
        <v>#REF!</v>
      </c>
      <c r="F147" s="36" t="e">
        <f>#REF!</f>
        <v>#REF!</v>
      </c>
      <c r="G147" s="36" t="e">
        <f>#REF!</f>
        <v>#REF!</v>
      </c>
      <c r="H147" s="36" t="e">
        <f>#REF!</f>
        <v>#REF!</v>
      </c>
      <c r="I147" s="36" t="e">
        <f>#REF!</f>
        <v>#REF!</v>
      </c>
      <c r="J147" s="36" t="e">
        <f>#REF!</f>
        <v>#REF!</v>
      </c>
      <c r="K147" s="36" t="e">
        <f>#REF!</f>
        <v>#REF!</v>
      </c>
      <c r="L147" s="36" t="e">
        <f>#REF!</f>
        <v>#REF!</v>
      </c>
      <c r="M147" s="36" t="e">
        <f>#REF!</f>
        <v>#REF!</v>
      </c>
      <c r="N147" s="36" t="e">
        <f>#REF!</f>
        <v>#REF!</v>
      </c>
      <c r="O147" s="36" t="e">
        <f>#REF!</f>
        <v>#REF!</v>
      </c>
      <c r="P147" s="36" t="e">
        <f>#REF!</f>
        <v>#REF!</v>
      </c>
      <c r="Q147" s="36" t="e">
        <f>#REF!</f>
        <v>#REF!</v>
      </c>
      <c r="R147" s="36" t="e">
        <f>#REF!</f>
        <v>#REF!</v>
      </c>
      <c r="S147" s="36" t="e">
        <f>#REF!</f>
        <v>#REF!</v>
      </c>
      <c r="T147" s="36" t="e">
        <f>#REF!</f>
        <v>#REF!</v>
      </c>
      <c r="U147" s="36" t="e">
        <f>#REF!</f>
        <v>#REF!</v>
      </c>
      <c r="V147" s="36" t="e">
        <f>#REF!</f>
        <v>#REF!</v>
      </c>
      <c r="W147" s="36" t="e">
        <f>#REF!</f>
        <v>#REF!</v>
      </c>
      <c r="X147" s="82" t="e">
        <f>#REF!</f>
        <v>#REF!</v>
      </c>
      <c r="Y147" s="36" t="e">
        <f>#REF!</f>
        <v>#REF!</v>
      </c>
      <c r="Z147" s="36" t="e">
        <f>#REF!</f>
        <v>#REF!</v>
      </c>
      <c r="AA147" s="36" t="e">
        <f>#REF!</f>
        <v>#REF!</v>
      </c>
      <c r="AB147" s="36" t="e">
        <f>#REF!</f>
        <v>#REF!</v>
      </c>
      <c r="AC147" s="36" t="e">
        <f>#REF!</f>
        <v>#REF!</v>
      </c>
      <c r="AD147" s="36" t="e">
        <f>#REF!</f>
        <v>#REF!</v>
      </c>
      <c r="AE147" s="36" t="e">
        <f>#REF!</f>
        <v>#REF!</v>
      </c>
      <c r="AF147" s="36" t="e">
        <f>#REF!</f>
        <v>#REF!</v>
      </c>
      <c r="AG147" s="36" t="e">
        <f>#REF!</f>
        <v>#REF!</v>
      </c>
      <c r="AH147" s="36" t="e">
        <f>#REF!</f>
        <v>#REF!</v>
      </c>
    </row>
    <row r="148" spans="1:34" hidden="1" x14ac:dyDescent="0.25">
      <c r="B148" s="106" t="s">
        <v>21</v>
      </c>
      <c r="C148" s="186" t="s">
        <v>46</v>
      </c>
      <c r="D148" s="36"/>
      <c r="E148" s="36" t="e">
        <f>C146+E147</f>
        <v>#VALUE!</v>
      </c>
      <c r="F148" s="36" t="e">
        <f>E148+F147</f>
        <v>#VALUE!</v>
      </c>
      <c r="G148" s="36" t="e">
        <f>SUM($E147:G147)</f>
        <v>#REF!</v>
      </c>
      <c r="H148" s="36" t="e">
        <f>SUM($E147:H147)</f>
        <v>#REF!</v>
      </c>
      <c r="I148" s="36" t="e">
        <f>SUM($E147:I147)</f>
        <v>#REF!</v>
      </c>
      <c r="J148" s="36" t="e">
        <f>SUM($E147:J147)</f>
        <v>#REF!</v>
      </c>
      <c r="K148" s="36" t="e">
        <f>SUM($E147:K147)</f>
        <v>#REF!</v>
      </c>
      <c r="L148" s="36" t="e">
        <f>SUM($E147:L147)</f>
        <v>#REF!</v>
      </c>
      <c r="M148" s="36" t="e">
        <f>SUM($E147:M147)</f>
        <v>#REF!</v>
      </c>
      <c r="N148" s="36" t="e">
        <f>SUM($E147:N147)</f>
        <v>#REF!</v>
      </c>
      <c r="O148" s="36" t="e">
        <f>SUM($E147:O147)</f>
        <v>#REF!</v>
      </c>
      <c r="P148" s="36" t="e">
        <f>SUM($E147:P147)</f>
        <v>#REF!</v>
      </c>
      <c r="Q148" s="36" t="e">
        <f>SUM($E147:Q147)</f>
        <v>#REF!</v>
      </c>
      <c r="R148" s="36" t="e">
        <f>SUM($E147:R147)</f>
        <v>#REF!</v>
      </c>
      <c r="S148" s="36" t="e">
        <f>SUM($E147:S147)</f>
        <v>#REF!</v>
      </c>
      <c r="T148" s="36" t="e">
        <f>SUM($E147:T147)</f>
        <v>#REF!</v>
      </c>
      <c r="U148" s="36" t="e">
        <f>SUM($E147:U147)</f>
        <v>#REF!</v>
      </c>
      <c r="V148" s="36" t="e">
        <f>SUM($E147:V147)</f>
        <v>#REF!</v>
      </c>
      <c r="W148" s="36" t="e">
        <f>SUM($E147:W147)</f>
        <v>#REF!</v>
      </c>
      <c r="X148" s="82" t="e">
        <f>SUM($E147:X147)</f>
        <v>#REF!</v>
      </c>
      <c r="Y148" s="36" t="e">
        <f>SUM($E147:Y147)</f>
        <v>#REF!</v>
      </c>
      <c r="Z148" s="36" t="e">
        <f>SUM($E147:Z147)</f>
        <v>#REF!</v>
      </c>
      <c r="AA148" s="36" t="e">
        <f>SUM($E147:AA147)</f>
        <v>#REF!</v>
      </c>
      <c r="AB148" s="36" t="e">
        <f>SUM($E147:AB147)</f>
        <v>#REF!</v>
      </c>
      <c r="AC148" s="36" t="e">
        <f>SUM($E147:AC147)</f>
        <v>#REF!</v>
      </c>
      <c r="AD148" s="36" t="e">
        <f>SUM($E147:AD147)</f>
        <v>#REF!</v>
      </c>
      <c r="AE148" s="36" t="e">
        <f>SUM($E147:AE147)</f>
        <v>#REF!</v>
      </c>
      <c r="AF148" s="36" t="e">
        <f>SUM($E147:AF147)</f>
        <v>#REF!</v>
      </c>
      <c r="AG148" s="36" t="e">
        <f>SUM($E147:AG147)</f>
        <v>#REF!</v>
      </c>
      <c r="AH148" s="36" t="e">
        <f>SUM($E147:AH147)</f>
        <v>#REF!</v>
      </c>
    </row>
    <row r="149" spans="1:34" hidden="1" x14ac:dyDescent="0.25">
      <c r="B149" s="107" t="s">
        <v>22</v>
      </c>
      <c r="C149" s="185" t="s">
        <v>46</v>
      </c>
      <c r="D149" s="83"/>
      <c r="E149" s="83" t="e">
        <f>IF(SUM(#REF!)&gt;0,SUM($E147:E147),0)-IF(C149=0,0,C148)</f>
        <v>#REF!</v>
      </c>
      <c r="F149" s="83" t="e">
        <f>IF(SUM(#REF!)&gt;0,SUM($E147:F147),0)-IF(E149=0,0,E148)</f>
        <v>#REF!</v>
      </c>
      <c r="G149" s="83" t="e">
        <f>IF(SUM(#REF!)&gt;0,SUM($E147:G147),0)-IF(F149=0,0,F148)</f>
        <v>#REF!</v>
      </c>
      <c r="H149" s="83" t="e">
        <f>IF(SUM(#REF!)&gt;0,SUM($E147:H147),0)-IF(G149=0,0,G148)</f>
        <v>#REF!</v>
      </c>
      <c r="I149" s="83" t="e">
        <f>IF(SUM(#REF!)&gt;0,SUM($E147:I147),0)-IF(H149=0,0,H148)</f>
        <v>#REF!</v>
      </c>
      <c r="J149" s="83" t="e">
        <f>IF(SUM(#REF!)&gt;0,SUM($E147:J147),0)-IF(I149=0,0,I148)</f>
        <v>#REF!</v>
      </c>
      <c r="K149" s="83" t="e">
        <f>IF(SUM(#REF!)&gt;0,SUM($E147:K147),0)-IF(J149=0,0,J148)</f>
        <v>#REF!</v>
      </c>
      <c r="L149" s="83" t="e">
        <f>IF(SUM(#REF!)&gt;0,SUM($E147:L147),0)-IF(K149=0,0,K148)</f>
        <v>#REF!</v>
      </c>
      <c r="M149" s="83" t="e">
        <f>IF(SUM(#REF!)&gt;0,SUM($E147:M147),0)-IF(L149=0,0,L148)</f>
        <v>#REF!</v>
      </c>
      <c r="N149" s="83" t="e">
        <f>IF(SUM(#REF!)&gt;0,SUM($E147:N147),0)-IF(M149=0,0,M148)</f>
        <v>#REF!</v>
      </c>
      <c r="O149" s="83" t="e">
        <f>IF(SUM(#REF!)&gt;0,SUM($E147:O147),0)-IF(N149=0,0,N148)</f>
        <v>#REF!</v>
      </c>
      <c r="P149" s="83" t="e">
        <f>IF(SUM(#REF!)&gt;0,SUM($E147:P147),0)-IF(O149=0,0,O148)</f>
        <v>#REF!</v>
      </c>
      <c r="Q149" s="83" t="e">
        <f>IF(SUM(#REF!)&gt;0,SUM($E147:Q147),0)-IF(P149=0,0,P148)</f>
        <v>#REF!</v>
      </c>
      <c r="R149" s="83" t="e">
        <f>IF(SUM(#REF!)&gt;0,SUM($E147:R147),0)-IF(Q149=0,0,Q148)</f>
        <v>#REF!</v>
      </c>
      <c r="S149" s="83" t="e">
        <f>IF(SUM(#REF!)&gt;0,SUM($E147:S147),0)-IF(R149=0,0,R148)</f>
        <v>#REF!</v>
      </c>
      <c r="T149" s="83" t="e">
        <f>IF(SUM(#REF!)&gt;0,SUM($E147:T147),0)-IF(S149=0,0,S148)</f>
        <v>#REF!</v>
      </c>
      <c r="U149" s="83" t="e">
        <f>IF(SUM(#REF!)&gt;0,SUM($E147:U147),0)-IF(T149=0,0,T148)</f>
        <v>#REF!</v>
      </c>
      <c r="V149" s="83" t="e">
        <f>IF(SUM(#REF!)&gt;0,SUM($E147:V147),0)-IF(U149=0,0,U148)</f>
        <v>#REF!</v>
      </c>
      <c r="W149" s="83" t="e">
        <f>IF(SUM(#REF!)&gt;0,SUM($E147:W147),0)-IF(V149=0,0,V148)</f>
        <v>#REF!</v>
      </c>
      <c r="X149" s="84" t="e">
        <f>IF(SUM(#REF!)&gt;0,SUM($E147:X147),0)-IF(W149=0,0,W148)</f>
        <v>#REF!</v>
      </c>
      <c r="Y149" s="83" t="e">
        <f>IF(SUM(#REF!)&gt;0,SUM($E147:Y147),0)-IF(X149=0,0,X148)</f>
        <v>#REF!</v>
      </c>
      <c r="Z149" s="83" t="e">
        <f>IF(SUM(#REF!)&gt;0,SUM($E147:Z147),0)-IF(Y149=0,0,Y148)</f>
        <v>#REF!</v>
      </c>
      <c r="AA149" s="83" t="e">
        <f>IF(SUM(#REF!)&gt;0,SUM($E147:AA147),0)-IF(Z149=0,0,Z148)</f>
        <v>#REF!</v>
      </c>
      <c r="AB149" s="83" t="e">
        <f>IF(SUM(#REF!)&gt;0,SUM($E147:AB147),0)-IF(AA149=0,0,AA148)</f>
        <v>#REF!</v>
      </c>
      <c r="AC149" s="83" t="e">
        <f>IF(SUM(#REF!)&gt;0,SUM($E147:AC147),0)-IF(AB149=0,0,AB148)</f>
        <v>#REF!</v>
      </c>
      <c r="AD149" s="83" t="e">
        <f>IF(SUM(#REF!)&gt;0,SUM($E147:AD147),0)-IF(AC149=0,0,AC148)</f>
        <v>#REF!</v>
      </c>
      <c r="AE149" s="83" t="e">
        <f>IF(SUM(#REF!)&gt;0,SUM($E147:AE147),0)-IF(AD149=0,0,AD148)</f>
        <v>#REF!</v>
      </c>
      <c r="AF149" s="83" t="e">
        <f>IF(SUM(#REF!)&gt;0,SUM($E147:AF147),0)-IF(AE149=0,0,AE148)</f>
        <v>#REF!</v>
      </c>
      <c r="AG149" s="83" t="e">
        <f>IF(SUM(#REF!)&gt;0,SUM($E147:AG147),0)-IF(AF149=0,0,AF148)</f>
        <v>#REF!</v>
      </c>
      <c r="AH149" s="83" t="e">
        <f>IF(SUM(#REF!)&gt;0,SUM($E147:AH147),0)-IF(AG149=0,0,AG148)</f>
        <v>#REF!</v>
      </c>
    </row>
    <row r="150" spans="1:34" hidden="1" x14ac:dyDescent="0.25">
      <c r="B150" s="108" t="s">
        <v>30</v>
      </c>
      <c r="C150" s="185" t="s">
        <v>46</v>
      </c>
      <c r="D150" s="72"/>
      <c r="E150" s="72" t="e">
        <f t="shared" ref="E150:AH150" si="78">E149</f>
        <v>#REF!</v>
      </c>
      <c r="F150" s="72" t="e">
        <f t="shared" si="78"/>
        <v>#REF!</v>
      </c>
      <c r="G150" s="72" t="e">
        <f t="shared" si="78"/>
        <v>#REF!</v>
      </c>
      <c r="H150" s="72" t="e">
        <f t="shared" si="78"/>
        <v>#REF!</v>
      </c>
      <c r="I150" s="72" t="e">
        <f t="shared" si="78"/>
        <v>#REF!</v>
      </c>
      <c r="J150" s="72" t="e">
        <f t="shared" si="78"/>
        <v>#REF!</v>
      </c>
      <c r="K150" s="72" t="e">
        <f t="shared" si="78"/>
        <v>#REF!</v>
      </c>
      <c r="L150" s="72" t="e">
        <f t="shared" si="78"/>
        <v>#REF!</v>
      </c>
      <c r="M150" s="72" t="e">
        <f t="shared" si="78"/>
        <v>#REF!</v>
      </c>
      <c r="N150" s="72" t="e">
        <f t="shared" si="78"/>
        <v>#REF!</v>
      </c>
      <c r="O150" s="72" t="e">
        <f t="shared" si="78"/>
        <v>#REF!</v>
      </c>
      <c r="P150" s="72" t="e">
        <f t="shared" si="78"/>
        <v>#REF!</v>
      </c>
      <c r="Q150" s="72" t="e">
        <f t="shared" si="78"/>
        <v>#REF!</v>
      </c>
      <c r="R150" s="72" t="e">
        <f t="shared" si="78"/>
        <v>#REF!</v>
      </c>
      <c r="S150" s="72" t="e">
        <f t="shared" si="78"/>
        <v>#REF!</v>
      </c>
      <c r="T150" s="72" t="e">
        <f t="shared" si="78"/>
        <v>#REF!</v>
      </c>
      <c r="U150" s="72" t="e">
        <f t="shared" si="78"/>
        <v>#REF!</v>
      </c>
      <c r="V150" s="72" t="e">
        <f t="shared" si="78"/>
        <v>#REF!</v>
      </c>
      <c r="W150" s="72" t="e">
        <f t="shared" si="78"/>
        <v>#REF!</v>
      </c>
      <c r="X150" s="86" t="e">
        <f t="shared" si="78"/>
        <v>#REF!</v>
      </c>
      <c r="Y150" s="72" t="e">
        <f t="shared" si="78"/>
        <v>#REF!</v>
      </c>
      <c r="Z150" s="72" t="e">
        <f t="shared" si="78"/>
        <v>#REF!</v>
      </c>
      <c r="AA150" s="72" t="e">
        <f t="shared" si="78"/>
        <v>#REF!</v>
      </c>
      <c r="AB150" s="72" t="e">
        <f t="shared" si="78"/>
        <v>#REF!</v>
      </c>
      <c r="AC150" s="72" t="e">
        <f t="shared" si="78"/>
        <v>#REF!</v>
      </c>
      <c r="AD150" s="72" t="e">
        <f t="shared" si="78"/>
        <v>#REF!</v>
      </c>
      <c r="AE150" s="72" t="e">
        <f t="shared" si="78"/>
        <v>#REF!</v>
      </c>
      <c r="AF150" s="72" t="e">
        <f t="shared" si="78"/>
        <v>#REF!</v>
      </c>
      <c r="AG150" s="85" t="e">
        <f t="shared" si="78"/>
        <v>#REF!</v>
      </c>
      <c r="AH150" s="72" t="e">
        <f t="shared" si="78"/>
        <v>#REF!</v>
      </c>
    </row>
    <row r="151" spans="1:34" ht="13" hidden="1" thickBot="1" x14ac:dyDescent="0.3">
      <c r="B151" s="109" t="s">
        <v>23</v>
      </c>
      <c r="C151" s="87" t="e">
        <f>IRR(C150:S150)</f>
        <v>#VALUE!</v>
      </c>
      <c r="D151" s="75"/>
      <c r="E151" s="75"/>
      <c r="F151" s="75"/>
      <c r="G151" s="75"/>
      <c r="H151" s="75"/>
      <c r="I151" s="75"/>
      <c r="J151" s="75"/>
      <c r="K151" s="75"/>
      <c r="L151" s="75"/>
      <c r="M151" s="75"/>
      <c r="N151" s="75"/>
      <c r="O151" s="75"/>
      <c r="P151" s="75"/>
      <c r="Q151" s="75"/>
      <c r="R151" s="75"/>
      <c r="S151" s="75"/>
      <c r="T151" s="75"/>
      <c r="U151" s="75"/>
      <c r="V151" s="75"/>
      <c r="W151" s="75"/>
      <c r="X151" s="88"/>
      <c r="Y151" s="75"/>
      <c r="Z151" s="75"/>
      <c r="AA151" s="75"/>
      <c r="AB151" s="75"/>
      <c r="AC151" s="75"/>
      <c r="AD151" s="75"/>
      <c r="AE151" s="75"/>
      <c r="AF151" s="75"/>
      <c r="AG151" s="75"/>
      <c r="AH151" s="75"/>
    </row>
    <row r="152" spans="1:34" x14ac:dyDescent="0.25">
      <c r="C152" s="89"/>
      <c r="D152" s="8"/>
      <c r="E152" s="8"/>
      <c r="F152" s="8"/>
      <c r="G152" s="8"/>
      <c r="H152" s="8"/>
      <c r="I152" s="8"/>
      <c r="J152" s="8"/>
      <c r="K152" s="8"/>
      <c r="L152" s="8"/>
      <c r="M152" s="8"/>
      <c r="N152" s="8"/>
      <c r="O152" s="8"/>
      <c r="P152" s="8"/>
      <c r="Q152" s="8"/>
      <c r="R152" s="8"/>
      <c r="S152" s="8"/>
      <c r="T152" s="8"/>
      <c r="U152" s="8"/>
      <c r="V152" s="8"/>
      <c r="W152" s="8"/>
      <c r="X152" s="8"/>
    </row>
    <row r="153" spans="1:34" ht="13" thickBot="1" x14ac:dyDescent="0.3">
      <c r="A153" s="258" t="s">
        <v>116</v>
      </c>
      <c r="B153" s="19"/>
      <c r="D153" s="8"/>
      <c r="E153" s="8"/>
      <c r="F153" s="8"/>
      <c r="G153" s="8"/>
      <c r="H153" s="8"/>
      <c r="I153" s="8"/>
      <c r="J153" s="8"/>
      <c r="K153" s="8"/>
      <c r="L153" s="8"/>
      <c r="M153" s="8"/>
      <c r="N153" s="8"/>
      <c r="O153" s="8"/>
      <c r="P153" s="8"/>
      <c r="Q153" s="8"/>
      <c r="R153" s="8"/>
      <c r="S153" s="8"/>
      <c r="T153" s="8"/>
      <c r="U153" s="8"/>
      <c r="V153" s="8"/>
      <c r="W153" s="8"/>
      <c r="X153" s="8"/>
    </row>
    <row r="154" spans="1:34" ht="13" thickBot="1" x14ac:dyDescent="0.3">
      <c r="A154" s="19"/>
      <c r="B154" s="77" t="s">
        <v>18</v>
      </c>
      <c r="C154" s="90"/>
      <c r="D154" s="26">
        <v>0</v>
      </c>
      <c r="E154" s="26">
        <v>1</v>
      </c>
      <c r="F154" s="26">
        <v>2</v>
      </c>
      <c r="G154" s="26">
        <v>3</v>
      </c>
      <c r="H154" s="26">
        <v>4</v>
      </c>
      <c r="I154" s="26">
        <v>5</v>
      </c>
      <c r="J154" s="26">
        <v>6</v>
      </c>
      <c r="K154" s="26">
        <v>7</v>
      </c>
      <c r="L154" s="26">
        <v>8</v>
      </c>
      <c r="M154" s="26">
        <v>9</v>
      </c>
      <c r="N154" s="26">
        <v>10</v>
      </c>
      <c r="O154" s="26">
        <v>11</v>
      </c>
      <c r="P154" s="26">
        <v>12</v>
      </c>
      <c r="Q154" s="26">
        <v>13</v>
      </c>
      <c r="R154" s="26">
        <v>14</v>
      </c>
      <c r="S154" s="26">
        <v>15</v>
      </c>
      <c r="T154" s="26">
        <v>16</v>
      </c>
      <c r="U154" s="26">
        <v>17</v>
      </c>
      <c r="V154" s="26">
        <v>18</v>
      </c>
      <c r="W154" s="26">
        <v>19</v>
      </c>
      <c r="X154" s="78">
        <v>20</v>
      </c>
      <c r="Y154" s="26">
        <v>21</v>
      </c>
      <c r="Z154" s="26">
        <v>22</v>
      </c>
      <c r="AA154" s="26">
        <v>23</v>
      </c>
      <c r="AB154" s="26">
        <v>24</v>
      </c>
      <c r="AC154" s="26">
        <v>25</v>
      </c>
      <c r="AD154" s="26">
        <v>26</v>
      </c>
      <c r="AE154" s="26">
        <v>27</v>
      </c>
      <c r="AF154" s="26">
        <v>28</v>
      </c>
      <c r="AG154" s="26">
        <v>29</v>
      </c>
      <c r="AH154" s="26">
        <v>30</v>
      </c>
    </row>
    <row r="155" spans="1:34" x14ac:dyDescent="0.25">
      <c r="A155" s="19"/>
      <c r="B155" s="193" t="s">
        <v>24</v>
      </c>
      <c r="C155" s="186" t="s">
        <v>46</v>
      </c>
      <c r="D155" s="64"/>
      <c r="E155" s="64" t="e">
        <f>SUM(#REF!,E120,E121,E111,E118)</f>
        <v>#REF!</v>
      </c>
      <c r="F155" s="64" t="e">
        <f>SUM(#REF!,F120,F121,F111,F118)</f>
        <v>#REF!</v>
      </c>
      <c r="G155" s="64" t="e">
        <f>SUM(#REF!,G120,G121,G111,G118)</f>
        <v>#REF!</v>
      </c>
      <c r="H155" s="64" t="e">
        <f>SUM(#REF!,H120,H121,H111,H118)</f>
        <v>#REF!</v>
      </c>
      <c r="I155" s="64" t="e">
        <f>SUM(#REF!,I120,I121,I111,I118)</f>
        <v>#REF!</v>
      </c>
      <c r="J155" s="64" t="e">
        <f>SUM(#REF!,J120,J121,J111,J118)</f>
        <v>#REF!</v>
      </c>
      <c r="K155" s="64" t="e">
        <f>SUM(#REF!,K120,K121,K111,K118)</f>
        <v>#REF!</v>
      </c>
      <c r="L155" s="64" t="e">
        <f>SUM(#REF!,L120,L121,L111,L118)</f>
        <v>#REF!</v>
      </c>
      <c r="M155" s="64" t="e">
        <f>SUM(#REF!,M120,M121,M111,M118)</f>
        <v>#REF!</v>
      </c>
      <c r="N155" s="64" t="e">
        <f>SUM(#REF!,N120,N121,N111,N118)</f>
        <v>#REF!</v>
      </c>
      <c r="O155" s="64" t="e">
        <f>SUM(#REF!,O120,O121,O111,O118)</f>
        <v>#REF!</v>
      </c>
      <c r="P155" s="64" t="e">
        <f>SUM(#REF!,P120,P121,P111,P118)</f>
        <v>#REF!</v>
      </c>
      <c r="Q155" s="64" t="e">
        <f>SUM(#REF!,Q120,Q121,Q111,Q118)</f>
        <v>#REF!</v>
      </c>
      <c r="R155" s="64" t="e">
        <f>SUM(#REF!,R120,R121,R111,R118)</f>
        <v>#REF!</v>
      </c>
      <c r="S155" s="64" t="e">
        <f>SUM(#REF!,S120,S121,S111,S118)</f>
        <v>#REF!</v>
      </c>
      <c r="T155" s="64" t="e">
        <f>SUM(#REF!,T120,T121,T111,T118)</f>
        <v>#REF!</v>
      </c>
      <c r="U155" s="64" t="e">
        <f>SUM(#REF!,U120,U121,U111,U118)</f>
        <v>#REF!</v>
      </c>
      <c r="V155" s="64" t="e">
        <f>SUM(#REF!,V120,V121,V111,V118)</f>
        <v>#REF!</v>
      </c>
      <c r="W155" s="64" t="e">
        <f>SUM(#REF!,W120,W121,W111,W118)</f>
        <v>#REF!</v>
      </c>
      <c r="X155" s="64" t="e">
        <f>SUM(#REF!,X120,X121,X111,X118)</f>
        <v>#REF!</v>
      </c>
      <c r="Y155" s="64" t="e">
        <f>SUM(#REF!,Y120,Y121,Y111,Y118)</f>
        <v>#REF!</v>
      </c>
      <c r="Z155" s="64" t="e">
        <f>SUM(#REF!,Z120,Z121,Z111,Z118)</f>
        <v>#REF!</v>
      </c>
      <c r="AA155" s="64" t="e">
        <f>SUM(#REF!,AA120,AA121,AA111,AA118)</f>
        <v>#REF!</v>
      </c>
      <c r="AB155" s="64" t="e">
        <f>SUM(#REF!,AB120,AB121,AB111,AB118)</f>
        <v>#REF!</v>
      </c>
      <c r="AC155" s="64" t="e">
        <f>SUM(#REF!,AC120,AC121,AC111,AC118)</f>
        <v>#REF!</v>
      </c>
      <c r="AD155" s="64" t="e">
        <f>SUM(#REF!,AD120,AD121,AD111,AD118)</f>
        <v>#REF!</v>
      </c>
      <c r="AE155" s="64" t="e">
        <f>SUM(#REF!,AE120,AE121,AE111,AE118)</f>
        <v>#REF!</v>
      </c>
      <c r="AF155" s="64" t="e">
        <f>SUM(#REF!,AF120,AF121,AF111,AF118)</f>
        <v>#REF!</v>
      </c>
      <c r="AG155" s="64" t="e">
        <f>SUM(#REF!,AG120,AG121,AG111,AG118)</f>
        <v>#REF!</v>
      </c>
      <c r="AH155" s="64" t="e">
        <f>SUM(#REF!,AH120,AH121,AH111,AH118)</f>
        <v>#REF!</v>
      </c>
    </row>
    <row r="156" spans="1:34" x14ac:dyDescent="0.25">
      <c r="A156" s="19"/>
      <c r="B156" s="194" t="s">
        <v>25</v>
      </c>
      <c r="C156" s="185" t="s">
        <v>46</v>
      </c>
      <c r="D156" s="67"/>
      <c r="E156" s="67">
        <f>E122</f>
        <v>0</v>
      </c>
      <c r="F156" s="67">
        <f t="shared" ref="F156:AH156" si="79">F122</f>
        <v>0</v>
      </c>
      <c r="G156" s="67">
        <f t="shared" si="79"/>
        <v>0</v>
      </c>
      <c r="H156" s="67">
        <f t="shared" si="79"/>
        <v>0</v>
      </c>
      <c r="I156" s="67">
        <f t="shared" si="79"/>
        <v>0</v>
      </c>
      <c r="J156" s="67">
        <f t="shared" si="79"/>
        <v>0</v>
      </c>
      <c r="K156" s="67">
        <f t="shared" si="79"/>
        <v>0</v>
      </c>
      <c r="L156" s="67">
        <f t="shared" si="79"/>
        <v>0</v>
      </c>
      <c r="M156" s="67">
        <f t="shared" si="79"/>
        <v>0</v>
      </c>
      <c r="N156" s="67">
        <f t="shared" si="79"/>
        <v>0</v>
      </c>
      <c r="O156" s="67">
        <f t="shared" si="79"/>
        <v>0</v>
      </c>
      <c r="P156" s="67">
        <f t="shared" si="79"/>
        <v>0</v>
      </c>
      <c r="Q156" s="67">
        <f t="shared" si="79"/>
        <v>0</v>
      </c>
      <c r="R156" s="67">
        <f t="shared" si="79"/>
        <v>0</v>
      </c>
      <c r="S156" s="67">
        <f t="shared" si="79"/>
        <v>0</v>
      </c>
      <c r="T156" s="67">
        <f t="shared" si="79"/>
        <v>0</v>
      </c>
      <c r="U156" s="67">
        <f t="shared" si="79"/>
        <v>0</v>
      </c>
      <c r="V156" s="67">
        <f t="shared" si="79"/>
        <v>0</v>
      </c>
      <c r="W156" s="67">
        <f t="shared" si="79"/>
        <v>0</v>
      </c>
      <c r="X156" s="67">
        <f t="shared" si="79"/>
        <v>0</v>
      </c>
      <c r="Y156" s="67">
        <f t="shared" si="79"/>
        <v>0</v>
      </c>
      <c r="Z156" s="67">
        <f t="shared" si="79"/>
        <v>0</v>
      </c>
      <c r="AA156" s="67">
        <f t="shared" si="79"/>
        <v>0</v>
      </c>
      <c r="AB156" s="67">
        <f t="shared" si="79"/>
        <v>0</v>
      </c>
      <c r="AC156" s="67">
        <f t="shared" si="79"/>
        <v>0</v>
      </c>
      <c r="AD156" s="67">
        <f t="shared" si="79"/>
        <v>0</v>
      </c>
      <c r="AE156" s="67">
        <f t="shared" si="79"/>
        <v>0</v>
      </c>
      <c r="AF156" s="67">
        <f t="shared" si="79"/>
        <v>0</v>
      </c>
      <c r="AG156" s="67">
        <f t="shared" si="79"/>
        <v>0</v>
      </c>
      <c r="AH156" s="67">
        <f t="shared" si="79"/>
        <v>0</v>
      </c>
    </row>
    <row r="157" spans="1:34" x14ac:dyDescent="0.25">
      <c r="A157" s="19"/>
      <c r="B157" s="195" t="s">
        <v>26</v>
      </c>
      <c r="C157" s="190"/>
      <c r="D157" s="188" t="str">
        <f t="shared" ref="D157:AH157" si="80">IF(D156=0,"N.A",D155/-D156)</f>
        <v>N.A</v>
      </c>
      <c r="E157" s="187" t="str">
        <f t="shared" si="80"/>
        <v>N.A</v>
      </c>
      <c r="F157" s="187" t="str">
        <f t="shared" si="80"/>
        <v>N.A</v>
      </c>
      <c r="G157" s="187" t="str">
        <f t="shared" si="80"/>
        <v>N.A</v>
      </c>
      <c r="H157" s="187" t="str">
        <f t="shared" si="80"/>
        <v>N.A</v>
      </c>
      <c r="I157" s="187" t="str">
        <f t="shared" si="80"/>
        <v>N.A</v>
      </c>
      <c r="J157" s="187" t="str">
        <f t="shared" si="80"/>
        <v>N.A</v>
      </c>
      <c r="K157" s="187" t="str">
        <f t="shared" si="80"/>
        <v>N.A</v>
      </c>
      <c r="L157" s="187" t="str">
        <f t="shared" si="80"/>
        <v>N.A</v>
      </c>
      <c r="M157" s="187" t="str">
        <f t="shared" si="80"/>
        <v>N.A</v>
      </c>
      <c r="N157" s="187" t="str">
        <f t="shared" si="80"/>
        <v>N.A</v>
      </c>
      <c r="O157" s="187" t="str">
        <f t="shared" si="80"/>
        <v>N.A</v>
      </c>
      <c r="P157" s="187" t="str">
        <f t="shared" si="80"/>
        <v>N.A</v>
      </c>
      <c r="Q157" s="187" t="str">
        <f t="shared" si="80"/>
        <v>N.A</v>
      </c>
      <c r="R157" s="187" t="str">
        <f t="shared" si="80"/>
        <v>N.A</v>
      </c>
      <c r="S157" s="187" t="str">
        <f t="shared" si="80"/>
        <v>N.A</v>
      </c>
      <c r="T157" s="187" t="str">
        <f t="shared" si="80"/>
        <v>N.A</v>
      </c>
      <c r="U157" s="187" t="str">
        <f t="shared" si="80"/>
        <v>N.A</v>
      </c>
      <c r="V157" s="187" t="str">
        <f t="shared" si="80"/>
        <v>N.A</v>
      </c>
      <c r="W157" s="187" t="str">
        <f t="shared" si="80"/>
        <v>N.A</v>
      </c>
      <c r="X157" s="187" t="str">
        <f t="shared" si="80"/>
        <v>N.A</v>
      </c>
      <c r="Y157" s="187" t="str">
        <f t="shared" si="80"/>
        <v>N.A</v>
      </c>
      <c r="Z157" s="187" t="str">
        <f t="shared" si="80"/>
        <v>N.A</v>
      </c>
      <c r="AA157" s="187" t="str">
        <f t="shared" si="80"/>
        <v>N.A</v>
      </c>
      <c r="AB157" s="187" t="str">
        <f t="shared" si="80"/>
        <v>N.A</v>
      </c>
      <c r="AC157" s="187" t="str">
        <f t="shared" si="80"/>
        <v>N.A</v>
      </c>
      <c r="AD157" s="187" t="str">
        <f t="shared" si="80"/>
        <v>N.A</v>
      </c>
      <c r="AE157" s="187" t="str">
        <f t="shared" si="80"/>
        <v>N.A</v>
      </c>
      <c r="AF157" s="187" t="str">
        <f t="shared" si="80"/>
        <v>N.A</v>
      </c>
      <c r="AG157" s="187" t="str">
        <f t="shared" si="80"/>
        <v>N.A</v>
      </c>
      <c r="AH157" s="187" t="str">
        <f t="shared" si="80"/>
        <v>N.A</v>
      </c>
    </row>
    <row r="158" spans="1:34" ht="13" thickBot="1" x14ac:dyDescent="0.3">
      <c r="A158" s="19"/>
      <c r="B158" s="196" t="s">
        <v>27</v>
      </c>
      <c r="C158" s="191" t="e">
        <f>AVERAGE(E157:S157)</f>
        <v>#DIV/0!</v>
      </c>
      <c r="D158" s="189"/>
      <c r="E158" s="91"/>
      <c r="F158" s="91"/>
      <c r="G158" s="91"/>
      <c r="H158" s="91"/>
      <c r="I158" s="91"/>
      <c r="J158" s="91"/>
      <c r="K158" s="91"/>
      <c r="L158" s="91"/>
      <c r="M158" s="91"/>
      <c r="N158" s="91"/>
      <c r="O158" s="91"/>
      <c r="P158" s="91"/>
      <c r="Q158" s="91"/>
      <c r="R158" s="91"/>
      <c r="S158" s="91"/>
      <c r="T158" s="91"/>
      <c r="U158" s="91"/>
      <c r="V158" s="91"/>
      <c r="W158" s="91"/>
      <c r="X158" s="92"/>
      <c r="Y158" s="91"/>
      <c r="Z158" s="91"/>
      <c r="AA158" s="91"/>
      <c r="AB158" s="91"/>
      <c r="AC158" s="91"/>
      <c r="AD158" s="91"/>
      <c r="AE158" s="91"/>
      <c r="AF158" s="91"/>
      <c r="AG158" s="91"/>
      <c r="AH158" s="91"/>
    </row>
    <row r="159" spans="1:34" x14ac:dyDescent="0.25">
      <c r="D159" s="8"/>
      <c r="E159" s="8"/>
      <c r="F159" s="8"/>
      <c r="G159" s="8"/>
      <c r="H159" s="8"/>
      <c r="I159" s="8"/>
      <c r="J159" s="8"/>
      <c r="K159" s="8"/>
      <c r="L159" s="8"/>
      <c r="M159" s="8"/>
      <c r="N159" s="8"/>
      <c r="O159" s="8"/>
      <c r="P159" s="8"/>
      <c r="Q159" s="8"/>
      <c r="R159" s="8"/>
      <c r="S159" s="8"/>
      <c r="T159" s="8"/>
      <c r="U159" s="8"/>
      <c r="V159" s="8"/>
      <c r="W159" s="8"/>
      <c r="X159" s="8"/>
    </row>
    <row r="160" spans="1:34" x14ac:dyDescent="0.25">
      <c r="D160" s="8"/>
      <c r="E160" s="8"/>
      <c r="F160" s="8"/>
      <c r="G160" s="8"/>
      <c r="H160" s="8"/>
      <c r="I160" s="8"/>
      <c r="J160" s="8"/>
      <c r="K160" s="8"/>
      <c r="L160" s="8"/>
      <c r="M160" s="8"/>
      <c r="N160" s="8"/>
      <c r="O160" s="8"/>
      <c r="P160" s="8"/>
      <c r="Q160" s="8"/>
      <c r="R160" s="8"/>
      <c r="S160" s="8"/>
      <c r="T160" s="8"/>
      <c r="U160" s="8"/>
      <c r="V160" s="8"/>
      <c r="W160" s="8"/>
      <c r="X160" s="8"/>
    </row>
    <row r="161" spans="1:34" ht="13" thickBot="1" x14ac:dyDescent="0.3">
      <c r="A161" s="294" t="s">
        <v>150</v>
      </c>
      <c r="B161" s="19"/>
      <c r="D161" s="8"/>
      <c r="E161" s="8"/>
      <c r="F161" s="8"/>
      <c r="G161" s="8"/>
      <c r="H161" s="8"/>
      <c r="I161" s="8"/>
      <c r="J161" s="8"/>
      <c r="K161" s="8"/>
      <c r="L161" s="8"/>
      <c r="M161" s="8"/>
      <c r="N161" s="8"/>
      <c r="O161" s="8"/>
      <c r="P161" s="8"/>
      <c r="Q161" s="8"/>
      <c r="R161" s="8"/>
      <c r="S161" s="8"/>
      <c r="T161" s="8"/>
      <c r="U161" s="8"/>
      <c r="V161" s="8"/>
      <c r="W161" s="8"/>
      <c r="X161" s="8"/>
    </row>
    <row r="162" spans="1:34" ht="13" thickBot="1" x14ac:dyDescent="0.3">
      <c r="A162" s="19"/>
      <c r="B162" s="281" t="s">
        <v>18</v>
      </c>
      <c r="C162" s="280"/>
      <c r="D162" s="26">
        <v>0</v>
      </c>
      <c r="E162" s="26">
        <v>1</v>
      </c>
      <c r="F162" s="26">
        <v>2</v>
      </c>
      <c r="G162" s="26">
        <v>3</v>
      </c>
      <c r="H162" s="26">
        <v>4</v>
      </c>
      <c r="I162" s="26">
        <v>5</v>
      </c>
      <c r="J162" s="26">
        <v>6</v>
      </c>
      <c r="K162" s="26">
        <v>7</v>
      </c>
      <c r="L162" s="26">
        <v>8</v>
      </c>
      <c r="M162" s="26">
        <v>9</v>
      </c>
      <c r="N162" s="26">
        <v>10</v>
      </c>
      <c r="O162" s="26">
        <v>11</v>
      </c>
      <c r="P162" s="26">
        <v>12</v>
      </c>
      <c r="Q162" s="26">
        <v>13</v>
      </c>
      <c r="R162" s="26">
        <v>14</v>
      </c>
      <c r="S162" s="26">
        <v>15</v>
      </c>
      <c r="T162" s="26">
        <v>16</v>
      </c>
      <c r="U162" s="26">
        <v>17</v>
      </c>
      <c r="V162" s="26">
        <v>18</v>
      </c>
      <c r="W162" s="26">
        <v>19</v>
      </c>
      <c r="X162" s="78">
        <v>20</v>
      </c>
      <c r="Y162" s="26">
        <v>21</v>
      </c>
      <c r="Z162" s="26">
        <v>22</v>
      </c>
      <c r="AA162" s="26">
        <v>23</v>
      </c>
      <c r="AB162" s="26">
        <v>24</v>
      </c>
      <c r="AC162" s="26">
        <v>25</v>
      </c>
      <c r="AD162" s="26">
        <v>26</v>
      </c>
      <c r="AE162" s="26">
        <v>27</v>
      </c>
      <c r="AF162" s="26">
        <v>28</v>
      </c>
      <c r="AG162" s="26">
        <v>29</v>
      </c>
      <c r="AH162" s="78">
        <v>30</v>
      </c>
    </row>
    <row r="163" spans="1:34" x14ac:dyDescent="0.25">
      <c r="A163" s="19"/>
      <c r="B163" s="295" t="str">
        <f>インプット!B73</f>
        <v>設備費用</v>
      </c>
      <c r="C163" s="276"/>
      <c r="D163" s="64"/>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297"/>
    </row>
    <row r="164" spans="1:34" x14ac:dyDescent="0.25">
      <c r="A164" s="19"/>
      <c r="B164" s="182" t="s">
        <v>151</v>
      </c>
      <c r="C164" s="266" t="s">
        <v>37</v>
      </c>
      <c r="D164" s="36"/>
      <c r="E164" s="287">
        <f>IF(E$162&lt;=インプット!$E75,-$D165*(1-インプット!$E74)/インプット!$E75,0)</f>
        <v>-241009562.08148485</v>
      </c>
      <c r="F164" s="287">
        <f>IF(F$162&lt;=インプット!$E75,-$D165*(1-インプット!$E74)/インプット!$E75,0)</f>
        <v>-241009562.08148485</v>
      </c>
      <c r="G164" s="287">
        <f>IF(G$162&lt;=インプット!$E75,-$D165*(1-インプット!$E74)/インプット!$E75,0)</f>
        <v>-241009562.08148485</v>
      </c>
      <c r="H164" s="287">
        <f>IF(H$162&lt;=インプット!$E75,-$D165*(1-インプット!$E74)/インプット!$E75,0)</f>
        <v>-241009562.08148485</v>
      </c>
      <c r="I164" s="287">
        <f>IF(I$162&lt;=インプット!$E75,-$D165*(1-インプット!$E74)/インプット!$E75,0)</f>
        <v>-241009562.08148485</v>
      </c>
      <c r="J164" s="287">
        <f>IF(J$162&lt;=インプット!$E75,-$D165*(1-インプット!$E74)/インプット!$E75,0)</f>
        <v>-241009562.08148485</v>
      </c>
      <c r="K164" s="287">
        <f>IF(K$162&lt;=インプット!$E75,-$D165*(1-インプット!$E74)/インプット!$E75,0)</f>
        <v>-241009562.08148485</v>
      </c>
      <c r="L164" s="287">
        <f>IF(L$162&lt;=インプット!$E75,-$D165*(1-インプット!$E74)/インプット!$E75,0)</f>
        <v>-241009562.08148485</v>
      </c>
      <c r="M164" s="287">
        <f>IF(M$162&lt;=インプット!$E75,-$D165*(1-インプット!$E74)/インプット!$E75,0)</f>
        <v>-241009562.08148485</v>
      </c>
      <c r="N164" s="287">
        <f>IF(N$162&lt;=インプット!$E75,-$D165*(1-インプット!$E74)/インプット!$E75,0)</f>
        <v>-241009562.08148485</v>
      </c>
      <c r="O164" s="287">
        <f>IF(O$162&lt;=インプット!$E75,-$D165*(1-インプット!$E74)/インプット!$E75,0)</f>
        <v>-241009562.08148485</v>
      </c>
      <c r="P164" s="287">
        <f>IF(P$162&lt;=インプット!$E75,-$D165*(1-インプット!$E74)/インプット!$E75,0)</f>
        <v>-241009562.08148485</v>
      </c>
      <c r="Q164" s="287">
        <f>IF(Q$162&lt;=インプット!$E75,-$D165*(1-インプット!$E74)/インプット!$E75,0)</f>
        <v>-241009562.08148485</v>
      </c>
      <c r="R164" s="287">
        <f>IF(R$162&lt;=インプット!$E75,-$D165*(1-インプット!$E74)/インプット!$E75,0)</f>
        <v>-241009562.08148485</v>
      </c>
      <c r="S164" s="287">
        <f>IF(S$162&lt;=インプット!$E75,-$D165*(1-インプット!$E74)/インプット!$E75,0)</f>
        <v>-241009562.08148485</v>
      </c>
      <c r="T164" s="287">
        <f>IF(T$162&lt;=インプット!$E75,-$D165*(1-インプット!$E74)/インプット!$E75,0)</f>
        <v>0</v>
      </c>
      <c r="U164" s="287">
        <f>IF(U$162&lt;=インプット!$E75,-$D165*(1-インプット!$E74)/インプット!$E75,0)</f>
        <v>0</v>
      </c>
      <c r="V164" s="287">
        <f>IF(V$162&lt;=インプット!$E75,-$D165*(1-インプット!$E74)/インプット!$E75,0)</f>
        <v>0</v>
      </c>
      <c r="W164" s="287">
        <f>IF(W$162&lt;=インプット!$E75,-$D165*(1-インプット!$E74)/インプット!$E75,0)</f>
        <v>0</v>
      </c>
      <c r="X164" s="287">
        <f>IF(X$162&lt;=インプット!$E75,-$D165*(1-インプット!$E74)/インプット!$E75,0)</f>
        <v>0</v>
      </c>
      <c r="Y164" s="287">
        <f>IF(Y$162&lt;=インプット!$E75,-$D165*(1-インプット!$E74)/インプット!$E75,0)</f>
        <v>0</v>
      </c>
      <c r="Z164" s="287">
        <f>IF(Z$162&lt;=インプット!$E75,-$D165*(1-インプット!$E74)/インプット!$E75,0)</f>
        <v>0</v>
      </c>
      <c r="AA164" s="287">
        <f>IF(AA$162&lt;=インプット!$E75,-$D165*(1-インプット!$E74)/インプット!$E75,0)</f>
        <v>0</v>
      </c>
      <c r="AB164" s="287">
        <f>IF(AB$162&lt;=インプット!$E75,-$D165*(1-インプット!$E74)/インプット!$E75,0)</f>
        <v>0</v>
      </c>
      <c r="AC164" s="287">
        <f>IF(AC$162&lt;=インプット!$E75,-$D165*(1-インプット!$E74)/インプット!$E75,0)</f>
        <v>0</v>
      </c>
      <c r="AD164" s="287">
        <f>IF(AD$162&lt;=インプット!$E75,-$D165*(1-インプット!$E74)/インプット!$E75,0)</f>
        <v>0</v>
      </c>
      <c r="AE164" s="287">
        <f>IF(AE$162&lt;=インプット!$E75,-$D165*(1-インプット!$E74)/インプット!$E75,0)</f>
        <v>0</v>
      </c>
      <c r="AF164" s="287">
        <f>IF(AF$162&lt;=インプット!$E75,-$D165*(1-インプット!$E74)/インプット!$E75,0)</f>
        <v>0</v>
      </c>
      <c r="AG164" s="287">
        <f>IF(AG$162&lt;=インプット!$E75,-$D165*(1-インプット!$E74)/インプット!$E75,0)</f>
        <v>0</v>
      </c>
      <c r="AH164" s="290">
        <f>IF(AH$162&lt;=インプット!$E75,-$D165*(1-インプット!$E74)/インプット!$E75,0)</f>
        <v>0</v>
      </c>
    </row>
    <row r="165" spans="1:34" x14ac:dyDescent="0.25">
      <c r="A165" s="19"/>
      <c r="B165" s="286" t="s">
        <v>152</v>
      </c>
      <c r="C165" s="299" t="s">
        <v>37</v>
      </c>
      <c r="D165" s="301">
        <f>インプット!E73</f>
        <v>3615143431.2222729</v>
      </c>
      <c r="E165" s="302">
        <f t="shared" ref="E165:AH165" si="81">D165+E164</f>
        <v>3374133869.1407881</v>
      </c>
      <c r="F165" s="302">
        <f t="shared" si="81"/>
        <v>3133124307.0593033</v>
      </c>
      <c r="G165" s="302">
        <f t="shared" si="81"/>
        <v>2892114744.9778185</v>
      </c>
      <c r="H165" s="302">
        <f t="shared" si="81"/>
        <v>2651105182.8963337</v>
      </c>
      <c r="I165" s="302">
        <f t="shared" si="81"/>
        <v>2410095620.8148489</v>
      </c>
      <c r="J165" s="302">
        <f t="shared" si="81"/>
        <v>2169086058.7333641</v>
      </c>
      <c r="K165" s="302">
        <f t="shared" si="81"/>
        <v>1928076496.6518793</v>
      </c>
      <c r="L165" s="302">
        <f t="shared" si="81"/>
        <v>1687066934.5703945</v>
      </c>
      <c r="M165" s="302">
        <f t="shared" si="81"/>
        <v>1446057372.4889097</v>
      </c>
      <c r="N165" s="302">
        <f t="shared" si="81"/>
        <v>1205047810.4074249</v>
      </c>
      <c r="O165" s="302">
        <f t="shared" si="81"/>
        <v>964038248.32594013</v>
      </c>
      <c r="P165" s="302">
        <f t="shared" si="81"/>
        <v>723028686.24445534</v>
      </c>
      <c r="Q165" s="302">
        <f t="shared" si="81"/>
        <v>482019124.16297048</v>
      </c>
      <c r="R165" s="302">
        <f t="shared" si="81"/>
        <v>241009562.08148563</v>
      </c>
      <c r="S165" s="302">
        <f t="shared" si="81"/>
        <v>7.7486038208007813E-7</v>
      </c>
      <c r="T165" s="302">
        <f t="shared" si="81"/>
        <v>7.7486038208007813E-7</v>
      </c>
      <c r="U165" s="302">
        <f t="shared" si="81"/>
        <v>7.7486038208007813E-7</v>
      </c>
      <c r="V165" s="302">
        <f t="shared" si="81"/>
        <v>7.7486038208007813E-7</v>
      </c>
      <c r="W165" s="302">
        <f t="shared" si="81"/>
        <v>7.7486038208007813E-7</v>
      </c>
      <c r="X165" s="302">
        <f t="shared" si="81"/>
        <v>7.7486038208007813E-7</v>
      </c>
      <c r="Y165" s="302">
        <f t="shared" si="81"/>
        <v>7.7486038208007813E-7</v>
      </c>
      <c r="Z165" s="302">
        <f t="shared" si="81"/>
        <v>7.7486038208007813E-7</v>
      </c>
      <c r="AA165" s="302">
        <f t="shared" si="81"/>
        <v>7.7486038208007813E-7</v>
      </c>
      <c r="AB165" s="302">
        <f t="shared" si="81"/>
        <v>7.7486038208007813E-7</v>
      </c>
      <c r="AC165" s="302">
        <f t="shared" si="81"/>
        <v>7.7486038208007813E-7</v>
      </c>
      <c r="AD165" s="302">
        <f t="shared" si="81"/>
        <v>7.7486038208007813E-7</v>
      </c>
      <c r="AE165" s="302">
        <f t="shared" si="81"/>
        <v>7.7486038208007813E-7</v>
      </c>
      <c r="AF165" s="302">
        <f t="shared" si="81"/>
        <v>7.7486038208007813E-7</v>
      </c>
      <c r="AG165" s="302">
        <f t="shared" si="81"/>
        <v>7.7486038208007813E-7</v>
      </c>
      <c r="AH165" s="303">
        <f t="shared" si="81"/>
        <v>7.7486038208007813E-7</v>
      </c>
    </row>
    <row r="166" spans="1:34" x14ac:dyDescent="0.25">
      <c r="A166" s="19"/>
      <c r="B166" s="172" t="str">
        <f>インプット!B76</f>
        <v>工事費</v>
      </c>
      <c r="C166" s="173"/>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c r="AA166" s="296"/>
      <c r="AB166" s="296"/>
      <c r="AC166" s="296"/>
      <c r="AD166" s="296"/>
      <c r="AE166" s="296"/>
      <c r="AF166" s="296"/>
      <c r="AG166" s="296"/>
      <c r="AH166" s="298"/>
    </row>
    <row r="167" spans="1:34" x14ac:dyDescent="0.25">
      <c r="A167" s="19"/>
      <c r="B167" s="182" t="s">
        <v>151</v>
      </c>
      <c r="C167" s="266" t="s">
        <v>37</v>
      </c>
      <c r="D167" s="36"/>
      <c r="E167" s="287">
        <f>IF(E$162&lt;=インプット!$E78,-$D168*(1-インプット!$E77)/インプット!$E78,0)</f>
        <v>-31711784.484405901</v>
      </c>
      <c r="F167" s="287">
        <f>IF(F$162&lt;=インプット!$E78,-$D168*(1-インプット!$E77)/インプット!$E78,0)</f>
        <v>-31711784.484405901</v>
      </c>
      <c r="G167" s="287">
        <f>IF(G$162&lt;=インプット!$E78,-$D168*(1-インプット!$E77)/インプット!$E78,0)</f>
        <v>-31711784.484405901</v>
      </c>
      <c r="H167" s="287">
        <f>IF(H$162&lt;=インプット!$E78,-$D168*(1-インプット!$E77)/インプット!$E78,0)</f>
        <v>-31711784.484405901</v>
      </c>
      <c r="I167" s="287">
        <f>IF(I$162&lt;=インプット!$E78,-$D168*(1-インプット!$E77)/インプット!$E78,0)</f>
        <v>-31711784.484405901</v>
      </c>
      <c r="J167" s="287">
        <f>IF(J$162&lt;=インプット!$E78,-$D168*(1-インプット!$E77)/インプット!$E78,0)</f>
        <v>-31711784.484405901</v>
      </c>
      <c r="K167" s="287">
        <f>IF(K$162&lt;=インプット!$E78,-$D168*(1-インプット!$E77)/インプット!$E78,0)</f>
        <v>-31711784.484405901</v>
      </c>
      <c r="L167" s="287">
        <f>IF(L$162&lt;=インプット!$E78,-$D168*(1-インプット!$E77)/インプット!$E78,0)</f>
        <v>-31711784.484405901</v>
      </c>
      <c r="M167" s="287">
        <f>IF(M$162&lt;=インプット!$E78,-$D168*(1-インプット!$E77)/インプット!$E78,0)</f>
        <v>-31711784.484405901</v>
      </c>
      <c r="N167" s="287">
        <f>IF(N$162&lt;=インプット!$E78,-$D168*(1-インプット!$E77)/インプット!$E78,0)</f>
        <v>-31711784.484405901</v>
      </c>
      <c r="O167" s="287">
        <f>IF(O$162&lt;=インプット!$E78,-$D168*(1-インプット!$E77)/インプット!$E78,0)</f>
        <v>-31711784.484405901</v>
      </c>
      <c r="P167" s="287">
        <f>IF(P$162&lt;=インプット!$E78,-$D168*(1-インプット!$E77)/インプット!$E78,0)</f>
        <v>-31711784.484405901</v>
      </c>
      <c r="Q167" s="287">
        <f>IF(Q$162&lt;=インプット!$E78,-$D168*(1-インプット!$E77)/インプット!$E78,0)</f>
        <v>-31711784.484405901</v>
      </c>
      <c r="R167" s="287">
        <f>IF(R$162&lt;=インプット!$E78,-$D168*(1-インプット!$E77)/インプット!$E78,0)</f>
        <v>-31711784.484405901</v>
      </c>
      <c r="S167" s="287">
        <f>IF(S$162&lt;=インプット!$E78,-$D168*(1-インプット!$E77)/インプット!$E78,0)</f>
        <v>-31711784.484405901</v>
      </c>
      <c r="T167" s="287">
        <f>IF(T$162&lt;=インプット!$E78,-$D168*(1-インプット!$E77)/インプット!$E78,0)</f>
        <v>-31711784.484405901</v>
      </c>
      <c r="U167" s="287">
        <f>IF(U$162&lt;=インプット!$E78,-$D168*(1-インプット!$E77)/インプット!$E78,0)</f>
        <v>-31711784.484405901</v>
      </c>
      <c r="V167" s="287">
        <f>IF(V$162&lt;=インプット!$E78,-$D168*(1-インプット!$E77)/インプット!$E78,0)</f>
        <v>-31711784.484405901</v>
      </c>
      <c r="W167" s="287">
        <f>IF(W$162&lt;=インプット!$E78,-$D168*(1-インプット!$E77)/インプット!$E78,0)</f>
        <v>-31711784.484405901</v>
      </c>
      <c r="X167" s="287">
        <f>IF(X$162&lt;=インプット!$E78,-$D168*(1-インプット!$E77)/インプット!$E78,0)</f>
        <v>-31711784.484405901</v>
      </c>
      <c r="Y167" s="287">
        <f>IF(Y$162&lt;=インプット!$E78,-$D168*(1-インプット!$E77)/インプット!$E78,0)</f>
        <v>-31711784.484405901</v>
      </c>
      <c r="Z167" s="287">
        <f>IF(Z$162&lt;=インプット!$E78,-$D168*(1-インプット!$E77)/インプット!$E78,0)</f>
        <v>-31711784.484405901</v>
      </c>
      <c r="AA167" s="287">
        <f>IF(AA$162&lt;=インプット!$E78,-$D168*(1-インプット!$E77)/インプット!$E78,0)</f>
        <v>-31711784.484405901</v>
      </c>
      <c r="AB167" s="287">
        <f>IF(AB$162&lt;=インプット!$E78,-$D168*(1-インプット!$E77)/インプット!$E78,0)</f>
        <v>-31711784.484405901</v>
      </c>
      <c r="AC167" s="287">
        <f>IF(AC$162&lt;=インプット!$E78,-$D168*(1-インプット!$E77)/インプット!$E78,0)</f>
        <v>-31711784.484405901</v>
      </c>
      <c r="AD167" s="287">
        <f>IF(AD$162&lt;=インプット!$E78,-$D168*(1-インプット!$E77)/インプット!$E78,0)</f>
        <v>-31711784.484405901</v>
      </c>
      <c r="AE167" s="287">
        <f>IF(AE$162&lt;=インプット!$E78,-$D168*(1-インプット!$E77)/インプット!$E78,0)</f>
        <v>-31711784.484405901</v>
      </c>
      <c r="AF167" s="287">
        <f>IF(AF$162&lt;=インプット!$E78,-$D168*(1-インプット!$E77)/インプット!$E78,0)</f>
        <v>-31711784.484405901</v>
      </c>
      <c r="AG167" s="287">
        <f>IF(AG$162&lt;=インプット!$E78,-$D168*(1-インプット!$E77)/インプット!$E78,0)</f>
        <v>-31711784.484405901</v>
      </c>
      <c r="AH167" s="290">
        <f>IF(AH$162&lt;=インプット!$E78,-$D168*(1-インプット!$E77)/インプット!$E78,0)</f>
        <v>-31711784.484405901</v>
      </c>
    </row>
    <row r="168" spans="1:34" x14ac:dyDescent="0.25">
      <c r="A168" s="19"/>
      <c r="B168" s="286" t="s">
        <v>152</v>
      </c>
      <c r="C168" s="299" t="s">
        <v>37</v>
      </c>
      <c r="D168" s="301">
        <f>インプット!E76</f>
        <v>1205047810.4074242</v>
      </c>
      <c r="E168" s="302">
        <f t="shared" ref="E168:AH168" si="82">D168+E167</f>
        <v>1173336025.9230182</v>
      </c>
      <c r="F168" s="302">
        <f t="shared" si="82"/>
        <v>1141624241.4386122</v>
      </c>
      <c r="G168" s="302">
        <f t="shared" si="82"/>
        <v>1109912456.9542062</v>
      </c>
      <c r="H168" s="302">
        <f t="shared" si="82"/>
        <v>1078200672.4698002</v>
      </c>
      <c r="I168" s="302">
        <f t="shared" si="82"/>
        <v>1046488887.9853944</v>
      </c>
      <c r="J168" s="302">
        <f t="shared" si="82"/>
        <v>1014777103.5009885</v>
      </c>
      <c r="K168" s="302">
        <f t="shared" si="82"/>
        <v>983065319.01658261</v>
      </c>
      <c r="L168" s="302">
        <f t="shared" si="82"/>
        <v>951353534.53217673</v>
      </c>
      <c r="M168" s="302">
        <f t="shared" si="82"/>
        <v>919641750.04777086</v>
      </c>
      <c r="N168" s="302">
        <f t="shared" si="82"/>
        <v>887929965.56336498</v>
      </c>
      <c r="O168" s="302">
        <f t="shared" si="82"/>
        <v>856218181.07895911</v>
      </c>
      <c r="P168" s="302">
        <f t="shared" si="82"/>
        <v>824506396.59455323</v>
      </c>
      <c r="Q168" s="302">
        <f t="shared" si="82"/>
        <v>792794612.11014736</v>
      </c>
      <c r="R168" s="302">
        <f t="shared" si="82"/>
        <v>761082827.62574148</v>
      </c>
      <c r="S168" s="302">
        <f t="shared" si="82"/>
        <v>729371043.14133561</v>
      </c>
      <c r="T168" s="302">
        <f t="shared" si="82"/>
        <v>697659258.65692973</v>
      </c>
      <c r="U168" s="302">
        <f t="shared" si="82"/>
        <v>665947474.17252386</v>
      </c>
      <c r="V168" s="302">
        <f t="shared" si="82"/>
        <v>634235689.68811798</v>
      </c>
      <c r="W168" s="302">
        <f t="shared" si="82"/>
        <v>602523905.20371211</v>
      </c>
      <c r="X168" s="302">
        <f t="shared" si="82"/>
        <v>570812120.71930623</v>
      </c>
      <c r="Y168" s="302">
        <f t="shared" si="82"/>
        <v>539100336.23490036</v>
      </c>
      <c r="Z168" s="302">
        <f t="shared" si="82"/>
        <v>507388551.75049448</v>
      </c>
      <c r="AA168" s="302">
        <f t="shared" si="82"/>
        <v>475676767.2660886</v>
      </c>
      <c r="AB168" s="302">
        <f t="shared" si="82"/>
        <v>443964982.78168273</v>
      </c>
      <c r="AC168" s="302">
        <f t="shared" si="82"/>
        <v>412253198.29727685</v>
      </c>
      <c r="AD168" s="302">
        <f t="shared" si="82"/>
        <v>380541413.81287098</v>
      </c>
      <c r="AE168" s="302">
        <f t="shared" si="82"/>
        <v>348829629.3284651</v>
      </c>
      <c r="AF168" s="302">
        <f t="shared" si="82"/>
        <v>317117844.84405923</v>
      </c>
      <c r="AG168" s="302">
        <f t="shared" si="82"/>
        <v>285406060.35965335</v>
      </c>
      <c r="AH168" s="303">
        <f t="shared" si="82"/>
        <v>253694275.87524745</v>
      </c>
    </row>
    <row r="169" spans="1:34" x14ac:dyDescent="0.25">
      <c r="A169" s="19"/>
      <c r="B169" s="172">
        <f>インプット!B79</f>
        <v>0</v>
      </c>
      <c r="C169" s="173"/>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c r="AA169" s="296"/>
      <c r="AB169" s="296"/>
      <c r="AC169" s="296"/>
      <c r="AD169" s="296"/>
      <c r="AE169" s="296"/>
      <c r="AF169" s="296"/>
      <c r="AG169" s="296"/>
      <c r="AH169" s="298"/>
    </row>
    <row r="170" spans="1:34" x14ac:dyDescent="0.25">
      <c r="A170" s="19"/>
      <c r="B170" s="182" t="s">
        <v>151</v>
      </c>
      <c r="C170" s="266" t="s">
        <v>37</v>
      </c>
      <c r="D170" s="36"/>
      <c r="E170" s="287">
        <f>IF(E$162&lt;=インプット!$E81,-$D171*(1-インプット!$E80)/インプット!$E81,0)</f>
        <v>0</v>
      </c>
      <c r="F170" s="287">
        <f>IF(F$162&lt;=インプット!$E81,-$D171*(1-インプット!$E80)/インプット!$E81,0)</f>
        <v>0</v>
      </c>
      <c r="G170" s="287">
        <f>IF(G$162&lt;=インプット!$E81,-$D171*(1-インプット!$E80)/インプット!$E81,0)</f>
        <v>0</v>
      </c>
      <c r="H170" s="287">
        <f>IF(H$162&lt;=インプット!$E81,-$D171*(1-インプット!$E80)/インプット!$E81,0)</f>
        <v>0</v>
      </c>
      <c r="I170" s="287">
        <f>IF(I$162&lt;=インプット!$E81,-$D171*(1-インプット!$E80)/インプット!$E81,0)</f>
        <v>0</v>
      </c>
      <c r="J170" s="287">
        <f>IF(J$162&lt;=インプット!$E81,-$D171*(1-インプット!$E80)/インプット!$E81,0)</f>
        <v>0</v>
      </c>
      <c r="K170" s="287">
        <f>IF(K$162&lt;=インプット!$E81,-$D171*(1-インプット!$E80)/インプット!$E81,0)</f>
        <v>0</v>
      </c>
      <c r="L170" s="287">
        <f>IF(L$162&lt;=インプット!$E81,-$D171*(1-インプット!$E80)/インプット!$E81,0)</f>
        <v>0</v>
      </c>
      <c r="M170" s="287">
        <f>IF(M$162&lt;=インプット!$E81,-$D171*(1-インプット!$E80)/インプット!$E81,0)</f>
        <v>0</v>
      </c>
      <c r="N170" s="287">
        <f>IF(N$162&lt;=インプット!$E81,-$D171*(1-インプット!$E80)/インプット!$E81,0)</f>
        <v>0</v>
      </c>
      <c r="O170" s="287">
        <f>IF(O$162&lt;=インプット!$E81,-$D171*(1-インプット!$E80)/インプット!$E81,0)</f>
        <v>0</v>
      </c>
      <c r="P170" s="287">
        <f>IF(P$162&lt;=インプット!$E81,-$D171*(1-インプット!$E80)/インプット!$E81,0)</f>
        <v>0</v>
      </c>
      <c r="Q170" s="287">
        <f>IF(Q$162&lt;=インプット!$E81,-$D171*(1-インプット!$E80)/インプット!$E81,0)</f>
        <v>0</v>
      </c>
      <c r="R170" s="287">
        <f>IF(R$162&lt;=インプット!$E81,-$D171*(1-インプット!$E80)/インプット!$E81,0)</f>
        <v>0</v>
      </c>
      <c r="S170" s="287">
        <f>IF(S$162&lt;=インプット!$E81,-$D171*(1-インプット!$E80)/インプット!$E81,0)</f>
        <v>0</v>
      </c>
      <c r="T170" s="287">
        <f>IF(T$162&lt;=インプット!$E81,-$D171*(1-インプット!$E80)/インプット!$E81,0)</f>
        <v>0</v>
      </c>
      <c r="U170" s="287">
        <f>IF(U$162&lt;=インプット!$E81,-$D171*(1-インプット!$E80)/インプット!$E81,0)</f>
        <v>0</v>
      </c>
      <c r="V170" s="287">
        <f>IF(V$162&lt;=インプット!$E81,-$D171*(1-インプット!$E80)/インプット!$E81,0)</f>
        <v>0</v>
      </c>
      <c r="W170" s="287">
        <f>IF(W$162&lt;=インプット!$E81,-$D171*(1-インプット!$E80)/インプット!$E81,0)</f>
        <v>0</v>
      </c>
      <c r="X170" s="287">
        <f>IF(X$162&lt;=インプット!$E81,-$D171*(1-インプット!$E80)/インプット!$E81,0)</f>
        <v>0</v>
      </c>
      <c r="Y170" s="287">
        <f>IF(Y$162&lt;=インプット!$E81,-$D171*(1-インプット!$E80)/インプット!$E81,0)</f>
        <v>0</v>
      </c>
      <c r="Z170" s="287">
        <f>IF(Z$162&lt;=インプット!$E81,-$D171*(1-インプット!$E80)/インプット!$E81,0)</f>
        <v>0</v>
      </c>
      <c r="AA170" s="287">
        <f>IF(AA$162&lt;=インプット!$E81,-$D171*(1-インプット!$E80)/インプット!$E81,0)</f>
        <v>0</v>
      </c>
      <c r="AB170" s="287">
        <f>IF(AB$162&lt;=インプット!$E81,-$D171*(1-インプット!$E80)/インプット!$E81,0)</f>
        <v>0</v>
      </c>
      <c r="AC170" s="287">
        <f>IF(AC$162&lt;=インプット!$E81,-$D171*(1-インプット!$E80)/インプット!$E81,0)</f>
        <v>0</v>
      </c>
      <c r="AD170" s="287">
        <f>IF(AD$162&lt;=インプット!$E81,-$D171*(1-インプット!$E80)/インプット!$E81,0)</f>
        <v>0</v>
      </c>
      <c r="AE170" s="287">
        <f>IF(AE$162&lt;=インプット!$E81,-$D171*(1-インプット!$E80)/インプット!$E81,0)</f>
        <v>0</v>
      </c>
      <c r="AF170" s="287">
        <f>IF(AF$162&lt;=インプット!$E81,-$D171*(1-インプット!$E80)/インプット!$E81,0)</f>
        <v>0</v>
      </c>
      <c r="AG170" s="287">
        <f>IF(AG$162&lt;=インプット!$E81,-$D171*(1-インプット!$E80)/インプット!$E81,0)</f>
        <v>0</v>
      </c>
      <c r="AH170" s="290">
        <f>IF(AH$162&lt;=インプット!$E81,-$D171*(1-インプット!$E80)/インプット!$E81,0)</f>
        <v>0</v>
      </c>
    </row>
    <row r="171" spans="1:34" x14ac:dyDescent="0.25">
      <c r="A171" s="19"/>
      <c r="B171" s="286" t="s">
        <v>152</v>
      </c>
      <c r="C171" s="299" t="s">
        <v>37</v>
      </c>
      <c r="D171" s="301">
        <f>インプット!E79</f>
        <v>0</v>
      </c>
      <c r="E171" s="302">
        <f t="shared" ref="E171:AH171" si="83">D171+E170</f>
        <v>0</v>
      </c>
      <c r="F171" s="302">
        <f t="shared" si="83"/>
        <v>0</v>
      </c>
      <c r="G171" s="302">
        <f t="shared" si="83"/>
        <v>0</v>
      </c>
      <c r="H171" s="302">
        <f t="shared" si="83"/>
        <v>0</v>
      </c>
      <c r="I171" s="302">
        <f t="shared" si="83"/>
        <v>0</v>
      </c>
      <c r="J171" s="302">
        <f t="shared" si="83"/>
        <v>0</v>
      </c>
      <c r="K171" s="302">
        <f t="shared" si="83"/>
        <v>0</v>
      </c>
      <c r="L171" s="302">
        <f t="shared" si="83"/>
        <v>0</v>
      </c>
      <c r="M171" s="302">
        <f t="shared" si="83"/>
        <v>0</v>
      </c>
      <c r="N171" s="302">
        <f t="shared" si="83"/>
        <v>0</v>
      </c>
      <c r="O171" s="302">
        <f t="shared" si="83"/>
        <v>0</v>
      </c>
      <c r="P171" s="302">
        <f t="shared" si="83"/>
        <v>0</v>
      </c>
      <c r="Q171" s="302">
        <f t="shared" si="83"/>
        <v>0</v>
      </c>
      <c r="R171" s="302">
        <f t="shared" si="83"/>
        <v>0</v>
      </c>
      <c r="S171" s="302">
        <f t="shared" si="83"/>
        <v>0</v>
      </c>
      <c r="T171" s="302">
        <f t="shared" si="83"/>
        <v>0</v>
      </c>
      <c r="U171" s="302">
        <f t="shared" si="83"/>
        <v>0</v>
      </c>
      <c r="V171" s="302">
        <f t="shared" si="83"/>
        <v>0</v>
      </c>
      <c r="W171" s="302">
        <f t="shared" si="83"/>
        <v>0</v>
      </c>
      <c r="X171" s="302">
        <f t="shared" si="83"/>
        <v>0</v>
      </c>
      <c r="Y171" s="302">
        <f t="shared" si="83"/>
        <v>0</v>
      </c>
      <c r="Z171" s="302">
        <f t="shared" si="83"/>
        <v>0</v>
      </c>
      <c r="AA171" s="302">
        <f t="shared" si="83"/>
        <v>0</v>
      </c>
      <c r="AB171" s="302">
        <f t="shared" si="83"/>
        <v>0</v>
      </c>
      <c r="AC171" s="302">
        <f t="shared" si="83"/>
        <v>0</v>
      </c>
      <c r="AD171" s="302">
        <f t="shared" si="83"/>
        <v>0</v>
      </c>
      <c r="AE171" s="302">
        <f t="shared" si="83"/>
        <v>0</v>
      </c>
      <c r="AF171" s="302">
        <f t="shared" si="83"/>
        <v>0</v>
      </c>
      <c r="AG171" s="302">
        <f t="shared" si="83"/>
        <v>0</v>
      </c>
      <c r="AH171" s="303">
        <f t="shared" si="83"/>
        <v>0</v>
      </c>
    </row>
    <row r="172" spans="1:34" x14ac:dyDescent="0.25">
      <c r="A172" s="19"/>
      <c r="B172" s="172" t="str">
        <f>インプット!B82</f>
        <v>＜設備費目を入力＞</v>
      </c>
      <c r="C172" s="173"/>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c r="AA172" s="296"/>
      <c r="AB172" s="296"/>
      <c r="AC172" s="296"/>
      <c r="AD172" s="296"/>
      <c r="AE172" s="296"/>
      <c r="AF172" s="296"/>
      <c r="AG172" s="296"/>
      <c r="AH172" s="298"/>
    </row>
    <row r="173" spans="1:34" x14ac:dyDescent="0.25">
      <c r="A173" s="19"/>
      <c r="B173" s="182" t="s">
        <v>151</v>
      </c>
      <c r="C173" s="266" t="s">
        <v>37</v>
      </c>
      <c r="D173" s="36"/>
      <c r="E173" s="287">
        <f>IF(E$162&lt;=インプット!$E84,-$D174*(1-インプット!$E83)/インプット!$E84,0)</f>
        <v>0</v>
      </c>
      <c r="F173" s="287">
        <f>IF(F$162&lt;=インプット!$E84,-$D174*(1-インプット!$E83)/インプット!$E84,0)</f>
        <v>0</v>
      </c>
      <c r="G173" s="287">
        <f>IF(G$162&lt;=インプット!$E84,-$D174*(1-インプット!$E83)/インプット!$E84,0)</f>
        <v>0</v>
      </c>
      <c r="H173" s="287">
        <f>IF(H$162&lt;=インプット!$E84,-$D174*(1-インプット!$E83)/インプット!$E84,0)</f>
        <v>0</v>
      </c>
      <c r="I173" s="287">
        <f>IF(I$162&lt;=インプット!$E84,-$D174*(1-インプット!$E83)/インプット!$E84,0)</f>
        <v>0</v>
      </c>
      <c r="J173" s="287">
        <f>IF(J$162&lt;=インプット!$E84,-$D174*(1-インプット!$E83)/インプット!$E84,0)</f>
        <v>0</v>
      </c>
      <c r="K173" s="287">
        <f>IF(K$162&lt;=インプット!$E84,-$D174*(1-インプット!$E83)/インプット!$E84,0)</f>
        <v>0</v>
      </c>
      <c r="L173" s="287">
        <f>IF(L$162&lt;=インプット!$E84,-$D174*(1-インプット!$E83)/インプット!$E84,0)</f>
        <v>0</v>
      </c>
      <c r="M173" s="287">
        <f>IF(M$162&lt;=インプット!$E84,-$D174*(1-インプット!$E83)/インプット!$E84,0)</f>
        <v>0</v>
      </c>
      <c r="N173" s="287">
        <f>IF(N$162&lt;=インプット!$E84,-$D174*(1-インプット!$E83)/インプット!$E84,0)</f>
        <v>0</v>
      </c>
      <c r="O173" s="287">
        <f>IF(O$162&lt;=インプット!$E84,-$D174*(1-インプット!$E83)/インプット!$E84,0)</f>
        <v>0</v>
      </c>
      <c r="P173" s="287">
        <f>IF(P$162&lt;=インプット!$E84,-$D174*(1-インプット!$E83)/インプット!$E84,0)</f>
        <v>0</v>
      </c>
      <c r="Q173" s="287">
        <f>IF(Q$162&lt;=インプット!$E84,-$D174*(1-インプット!$E83)/インプット!$E84,0)</f>
        <v>0</v>
      </c>
      <c r="R173" s="287">
        <f>IF(R$162&lt;=インプット!$E84,-$D174*(1-インプット!$E83)/インプット!$E84,0)</f>
        <v>0</v>
      </c>
      <c r="S173" s="287">
        <f>IF(S$162&lt;=インプット!$E84,-$D174*(1-インプット!$E83)/インプット!$E84,0)</f>
        <v>0</v>
      </c>
      <c r="T173" s="287">
        <f>IF(T$162&lt;=インプット!$E84,-$D174*(1-インプット!$E83)/インプット!$E84,0)</f>
        <v>0</v>
      </c>
      <c r="U173" s="287">
        <f>IF(U$162&lt;=インプット!$E84,-$D174*(1-インプット!$E83)/インプット!$E84,0)</f>
        <v>0</v>
      </c>
      <c r="V173" s="287">
        <f>IF(V$162&lt;=インプット!$E84,-$D174*(1-インプット!$E83)/インプット!$E84,0)</f>
        <v>0</v>
      </c>
      <c r="W173" s="287">
        <f>IF(W$162&lt;=インプット!$E84,-$D174*(1-インプット!$E83)/インプット!$E84,0)</f>
        <v>0</v>
      </c>
      <c r="X173" s="287">
        <f>IF(X$162&lt;=インプット!$E84,-$D174*(1-インプット!$E83)/インプット!$E84,0)</f>
        <v>0</v>
      </c>
      <c r="Y173" s="287">
        <f>IF(Y$162&lt;=インプット!$E84,-$D174*(1-インプット!$E83)/インプット!$E84,0)</f>
        <v>0</v>
      </c>
      <c r="Z173" s="287">
        <f>IF(Z$162&lt;=インプット!$E84,-$D174*(1-インプット!$E83)/インプット!$E84,0)</f>
        <v>0</v>
      </c>
      <c r="AA173" s="287">
        <f>IF(AA$162&lt;=インプット!$E84,-$D174*(1-インプット!$E83)/インプット!$E84,0)</f>
        <v>0</v>
      </c>
      <c r="AB173" s="287">
        <f>IF(AB$162&lt;=インプット!$E84,-$D174*(1-インプット!$E83)/インプット!$E84,0)</f>
        <v>0</v>
      </c>
      <c r="AC173" s="287">
        <f>IF(AC$162&lt;=インプット!$E84,-$D174*(1-インプット!$E83)/インプット!$E84,0)</f>
        <v>0</v>
      </c>
      <c r="AD173" s="287">
        <f>IF(AD$162&lt;=インプット!$E84,-$D174*(1-インプット!$E83)/インプット!$E84,0)</f>
        <v>0</v>
      </c>
      <c r="AE173" s="287">
        <f>IF(AE$162&lt;=インプット!$E84,-$D174*(1-インプット!$E83)/インプット!$E84,0)</f>
        <v>0</v>
      </c>
      <c r="AF173" s="287">
        <f>IF(AF$162&lt;=インプット!$E84,-$D174*(1-インプット!$E83)/インプット!$E84,0)</f>
        <v>0</v>
      </c>
      <c r="AG173" s="287">
        <f>IF(AG$162&lt;=インプット!$E84,-$D174*(1-インプット!$E83)/インプット!$E84,0)</f>
        <v>0</v>
      </c>
      <c r="AH173" s="290">
        <f>IF(AH$162&lt;=インプット!$E84,-$D174*(1-インプット!$E83)/インプット!$E84,0)</f>
        <v>0</v>
      </c>
    </row>
    <row r="174" spans="1:34" x14ac:dyDescent="0.25">
      <c r="A174" s="19"/>
      <c r="B174" s="286" t="s">
        <v>152</v>
      </c>
      <c r="C174" s="299" t="s">
        <v>37</v>
      </c>
      <c r="D174" s="301">
        <f>インプット!E82</f>
        <v>0</v>
      </c>
      <c r="E174" s="302">
        <f t="shared" ref="E174:AH174" si="84">D174+E173</f>
        <v>0</v>
      </c>
      <c r="F174" s="302">
        <f t="shared" si="84"/>
        <v>0</v>
      </c>
      <c r="G174" s="302">
        <f t="shared" si="84"/>
        <v>0</v>
      </c>
      <c r="H174" s="302">
        <f t="shared" si="84"/>
        <v>0</v>
      </c>
      <c r="I174" s="302">
        <f t="shared" si="84"/>
        <v>0</v>
      </c>
      <c r="J174" s="302">
        <f t="shared" si="84"/>
        <v>0</v>
      </c>
      <c r="K174" s="302">
        <f t="shared" si="84"/>
        <v>0</v>
      </c>
      <c r="L174" s="302">
        <f t="shared" si="84"/>
        <v>0</v>
      </c>
      <c r="M174" s="302">
        <f t="shared" si="84"/>
        <v>0</v>
      </c>
      <c r="N174" s="302">
        <f t="shared" si="84"/>
        <v>0</v>
      </c>
      <c r="O174" s="302">
        <f t="shared" si="84"/>
        <v>0</v>
      </c>
      <c r="P174" s="302">
        <f t="shared" si="84"/>
        <v>0</v>
      </c>
      <c r="Q174" s="302">
        <f t="shared" si="84"/>
        <v>0</v>
      </c>
      <c r="R174" s="302">
        <f t="shared" si="84"/>
        <v>0</v>
      </c>
      <c r="S174" s="302">
        <f t="shared" si="84"/>
        <v>0</v>
      </c>
      <c r="T174" s="302">
        <f t="shared" si="84"/>
        <v>0</v>
      </c>
      <c r="U174" s="302">
        <f t="shared" si="84"/>
        <v>0</v>
      </c>
      <c r="V174" s="302">
        <f t="shared" si="84"/>
        <v>0</v>
      </c>
      <c r="W174" s="302">
        <f t="shared" si="84"/>
        <v>0</v>
      </c>
      <c r="X174" s="302">
        <f t="shared" si="84"/>
        <v>0</v>
      </c>
      <c r="Y174" s="302">
        <f t="shared" si="84"/>
        <v>0</v>
      </c>
      <c r="Z174" s="302">
        <f t="shared" si="84"/>
        <v>0</v>
      </c>
      <c r="AA174" s="302">
        <f t="shared" si="84"/>
        <v>0</v>
      </c>
      <c r="AB174" s="302">
        <f t="shared" si="84"/>
        <v>0</v>
      </c>
      <c r="AC174" s="302">
        <f t="shared" si="84"/>
        <v>0</v>
      </c>
      <c r="AD174" s="302">
        <f t="shared" si="84"/>
        <v>0</v>
      </c>
      <c r="AE174" s="302">
        <f t="shared" si="84"/>
        <v>0</v>
      </c>
      <c r="AF174" s="302">
        <f t="shared" si="84"/>
        <v>0</v>
      </c>
      <c r="AG174" s="302">
        <f t="shared" si="84"/>
        <v>0</v>
      </c>
      <c r="AH174" s="303">
        <f t="shared" si="84"/>
        <v>0</v>
      </c>
    </row>
    <row r="175" spans="1:34" x14ac:dyDescent="0.25">
      <c r="A175" s="19"/>
      <c r="B175" s="172" t="str">
        <f>インプット!B85</f>
        <v>＜設備費目を入力＞</v>
      </c>
      <c r="C175" s="173"/>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8"/>
    </row>
    <row r="176" spans="1:34" x14ac:dyDescent="0.25">
      <c r="A176" s="19"/>
      <c r="B176" s="182" t="s">
        <v>151</v>
      </c>
      <c r="C176" s="266" t="s">
        <v>37</v>
      </c>
      <c r="D176" s="36"/>
      <c r="E176" s="287">
        <f>IF(E$162&lt;=インプット!$E87,-$D177*(1-インプット!$E86)/インプット!$E87,0)</f>
        <v>0</v>
      </c>
      <c r="F176" s="287">
        <f>IF(F$162&lt;=インプット!$E87,-$D177*(1-インプット!$E86)/インプット!$E87,0)</f>
        <v>0</v>
      </c>
      <c r="G176" s="287">
        <f>IF(G$162&lt;=インプット!$E87,-$D177*(1-インプット!$E86)/インプット!$E87,0)</f>
        <v>0</v>
      </c>
      <c r="H176" s="287">
        <f>IF(H$162&lt;=インプット!$E87,-$D177*(1-インプット!$E86)/インプット!$E87,0)</f>
        <v>0</v>
      </c>
      <c r="I176" s="287">
        <f>IF(I$162&lt;=インプット!$E87,-$D177*(1-インプット!$E86)/インプット!$E87,0)</f>
        <v>0</v>
      </c>
      <c r="J176" s="287">
        <f>IF(J$162&lt;=インプット!$E87,-$D177*(1-インプット!$E86)/インプット!$E87,0)</f>
        <v>0</v>
      </c>
      <c r="K176" s="287">
        <f>IF(K$162&lt;=インプット!$E87,-$D177*(1-インプット!$E86)/インプット!$E87,0)</f>
        <v>0</v>
      </c>
      <c r="L176" s="287">
        <f>IF(L$162&lt;=インプット!$E87,-$D177*(1-インプット!$E86)/インプット!$E87,0)</f>
        <v>0</v>
      </c>
      <c r="M176" s="287">
        <f>IF(M$162&lt;=インプット!$E87,-$D177*(1-インプット!$E86)/インプット!$E87,0)</f>
        <v>0</v>
      </c>
      <c r="N176" s="287">
        <f>IF(N$162&lt;=インプット!$E87,-$D177*(1-インプット!$E86)/インプット!$E87,0)</f>
        <v>0</v>
      </c>
      <c r="O176" s="287">
        <f>IF(O$162&lt;=インプット!$E87,-$D177*(1-インプット!$E86)/インプット!$E87,0)</f>
        <v>0</v>
      </c>
      <c r="P176" s="287">
        <f>IF(P$162&lt;=インプット!$E87,-$D177*(1-インプット!$E86)/インプット!$E87,0)</f>
        <v>0</v>
      </c>
      <c r="Q176" s="287">
        <f>IF(Q$162&lt;=インプット!$E87,-$D177*(1-インプット!$E86)/インプット!$E87,0)</f>
        <v>0</v>
      </c>
      <c r="R176" s="287">
        <f>IF(R$162&lt;=インプット!$E87,-$D177*(1-インプット!$E86)/インプット!$E87,0)</f>
        <v>0</v>
      </c>
      <c r="S176" s="287">
        <f>IF(S$162&lt;=インプット!$E87,-$D177*(1-インプット!$E86)/インプット!$E87,0)</f>
        <v>0</v>
      </c>
      <c r="T176" s="287">
        <f>IF(T$162&lt;=インプット!$E87,-$D177*(1-インプット!$E86)/インプット!$E87,0)</f>
        <v>0</v>
      </c>
      <c r="U176" s="287">
        <f>IF(U$162&lt;=インプット!$E87,-$D177*(1-インプット!$E86)/インプット!$E87,0)</f>
        <v>0</v>
      </c>
      <c r="V176" s="287">
        <f>IF(V$162&lt;=インプット!$E87,-$D177*(1-インプット!$E86)/インプット!$E87,0)</f>
        <v>0</v>
      </c>
      <c r="W176" s="287">
        <f>IF(W$162&lt;=インプット!$E87,-$D177*(1-インプット!$E86)/インプット!$E87,0)</f>
        <v>0</v>
      </c>
      <c r="X176" s="287">
        <f>IF(X$162&lt;=インプット!$E87,-$D177*(1-インプット!$E86)/インプット!$E87,0)</f>
        <v>0</v>
      </c>
      <c r="Y176" s="287">
        <f>IF(Y$162&lt;=インプット!$E87,-$D177*(1-インプット!$E86)/インプット!$E87,0)</f>
        <v>0</v>
      </c>
      <c r="Z176" s="287">
        <f>IF(Z$162&lt;=インプット!$E87,-$D177*(1-インプット!$E86)/インプット!$E87,0)</f>
        <v>0</v>
      </c>
      <c r="AA176" s="287">
        <f>IF(AA$162&lt;=インプット!$E87,-$D177*(1-インプット!$E86)/インプット!$E87,0)</f>
        <v>0</v>
      </c>
      <c r="AB176" s="287">
        <f>IF(AB$162&lt;=インプット!$E87,-$D177*(1-インプット!$E86)/インプット!$E87,0)</f>
        <v>0</v>
      </c>
      <c r="AC176" s="287">
        <f>IF(AC$162&lt;=インプット!$E87,-$D177*(1-インプット!$E86)/インプット!$E87,0)</f>
        <v>0</v>
      </c>
      <c r="AD176" s="287">
        <f>IF(AD$162&lt;=インプット!$E87,-$D177*(1-インプット!$E86)/インプット!$E87,0)</f>
        <v>0</v>
      </c>
      <c r="AE176" s="287">
        <f>IF(AE$162&lt;=インプット!$E87,-$D177*(1-インプット!$E86)/インプット!$E87,0)</f>
        <v>0</v>
      </c>
      <c r="AF176" s="287">
        <f>IF(AF$162&lt;=インプット!$E87,-$D177*(1-インプット!$E86)/インプット!$E87,0)</f>
        <v>0</v>
      </c>
      <c r="AG176" s="287">
        <f>IF(AG$162&lt;=インプット!$E87,-$D177*(1-インプット!$E86)/インプット!$E87,0)</f>
        <v>0</v>
      </c>
      <c r="AH176" s="290">
        <f>IF(AH$162&lt;=インプット!$E87,-$D177*(1-インプット!$E86)/インプット!$E87,0)</f>
        <v>0</v>
      </c>
    </row>
    <row r="177" spans="1:35" x14ac:dyDescent="0.25">
      <c r="A177" s="19"/>
      <c r="B177" s="286" t="s">
        <v>152</v>
      </c>
      <c r="C177" s="299" t="s">
        <v>37</v>
      </c>
      <c r="D177" s="301">
        <f>インプット!E85</f>
        <v>0</v>
      </c>
      <c r="E177" s="302">
        <f t="shared" ref="E177:AH177" si="85">D177+E176</f>
        <v>0</v>
      </c>
      <c r="F177" s="302">
        <f t="shared" si="85"/>
        <v>0</v>
      </c>
      <c r="G177" s="302">
        <f t="shared" si="85"/>
        <v>0</v>
      </c>
      <c r="H177" s="302">
        <f t="shared" si="85"/>
        <v>0</v>
      </c>
      <c r="I177" s="302">
        <f t="shared" si="85"/>
        <v>0</v>
      </c>
      <c r="J177" s="302">
        <f t="shared" si="85"/>
        <v>0</v>
      </c>
      <c r="K177" s="302">
        <f t="shared" si="85"/>
        <v>0</v>
      </c>
      <c r="L177" s="302">
        <f t="shared" si="85"/>
        <v>0</v>
      </c>
      <c r="M177" s="302">
        <f t="shared" si="85"/>
        <v>0</v>
      </c>
      <c r="N177" s="302">
        <f t="shared" si="85"/>
        <v>0</v>
      </c>
      <c r="O177" s="302">
        <f t="shared" si="85"/>
        <v>0</v>
      </c>
      <c r="P177" s="302">
        <f t="shared" si="85"/>
        <v>0</v>
      </c>
      <c r="Q177" s="302">
        <f t="shared" si="85"/>
        <v>0</v>
      </c>
      <c r="R177" s="302">
        <f t="shared" si="85"/>
        <v>0</v>
      </c>
      <c r="S177" s="302">
        <f t="shared" si="85"/>
        <v>0</v>
      </c>
      <c r="T177" s="302">
        <f t="shared" si="85"/>
        <v>0</v>
      </c>
      <c r="U177" s="302">
        <f t="shared" si="85"/>
        <v>0</v>
      </c>
      <c r="V177" s="302">
        <f t="shared" si="85"/>
        <v>0</v>
      </c>
      <c r="W177" s="302">
        <f t="shared" si="85"/>
        <v>0</v>
      </c>
      <c r="X177" s="302">
        <f t="shared" si="85"/>
        <v>0</v>
      </c>
      <c r="Y177" s="302">
        <f t="shared" si="85"/>
        <v>0</v>
      </c>
      <c r="Z177" s="302">
        <f t="shared" si="85"/>
        <v>0</v>
      </c>
      <c r="AA177" s="302">
        <f t="shared" si="85"/>
        <v>0</v>
      </c>
      <c r="AB177" s="302">
        <f t="shared" si="85"/>
        <v>0</v>
      </c>
      <c r="AC177" s="302">
        <f t="shared" si="85"/>
        <v>0</v>
      </c>
      <c r="AD177" s="302">
        <f t="shared" si="85"/>
        <v>0</v>
      </c>
      <c r="AE177" s="302">
        <f t="shared" si="85"/>
        <v>0</v>
      </c>
      <c r="AF177" s="302">
        <f t="shared" si="85"/>
        <v>0</v>
      </c>
      <c r="AG177" s="302">
        <f t="shared" si="85"/>
        <v>0</v>
      </c>
      <c r="AH177" s="303">
        <f t="shared" si="85"/>
        <v>0</v>
      </c>
    </row>
    <row r="178" spans="1:35" x14ac:dyDescent="0.25">
      <c r="A178" s="19"/>
      <c r="B178" s="172" t="str">
        <f>インプット!B88</f>
        <v>＜設備費目を入力＞</v>
      </c>
      <c r="C178" s="173"/>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c r="AA178" s="296"/>
      <c r="AB178" s="296"/>
      <c r="AC178" s="296"/>
      <c r="AD178" s="296"/>
      <c r="AE178" s="296"/>
      <c r="AF178" s="296"/>
      <c r="AG178" s="296"/>
      <c r="AH178" s="298"/>
    </row>
    <row r="179" spans="1:35" x14ac:dyDescent="0.25">
      <c r="A179" s="19"/>
      <c r="B179" s="182" t="s">
        <v>151</v>
      </c>
      <c r="C179" s="266" t="s">
        <v>37</v>
      </c>
      <c r="D179" s="36"/>
      <c r="E179" s="287">
        <f>IF(E$162&lt;=インプット!$E90,-$D180*(1-インプット!$E89)/インプット!$E90,0)</f>
        <v>0</v>
      </c>
      <c r="F179" s="287">
        <f>IF(F$162&lt;=インプット!$E90,-$D180*(1-インプット!$E89)/インプット!$E90,0)</f>
        <v>0</v>
      </c>
      <c r="G179" s="287">
        <f>IF(G$162&lt;=インプット!$E90,-$D180*(1-インプット!$E89)/インプット!$E90,0)</f>
        <v>0</v>
      </c>
      <c r="H179" s="287">
        <f>IF(H$162&lt;=インプット!$E90,-$D180*(1-インプット!$E89)/インプット!$E90,0)</f>
        <v>0</v>
      </c>
      <c r="I179" s="287">
        <f>IF(I$162&lt;=インプット!$E90,-$D180*(1-インプット!$E89)/インプット!$E90,0)</f>
        <v>0</v>
      </c>
      <c r="J179" s="287">
        <f>IF(J$162&lt;=インプット!$E90,-$D180*(1-インプット!$E89)/インプット!$E90,0)</f>
        <v>0</v>
      </c>
      <c r="K179" s="287">
        <f>IF(K$162&lt;=インプット!$E90,-$D180*(1-インプット!$E89)/インプット!$E90,0)</f>
        <v>0</v>
      </c>
      <c r="L179" s="287">
        <f>IF(L$162&lt;=インプット!$E90,-$D180*(1-インプット!$E89)/インプット!$E90,0)</f>
        <v>0</v>
      </c>
      <c r="M179" s="287">
        <f>IF(M$162&lt;=インプット!$E90,-$D180*(1-インプット!$E89)/インプット!$E90,0)</f>
        <v>0</v>
      </c>
      <c r="N179" s="287">
        <f>IF(N$162&lt;=インプット!$E90,-$D180*(1-インプット!$E89)/インプット!$E90,0)</f>
        <v>0</v>
      </c>
      <c r="O179" s="287">
        <f>IF(O$162&lt;=インプット!$E90,-$D180*(1-インプット!$E89)/インプット!$E90,0)</f>
        <v>0</v>
      </c>
      <c r="P179" s="287">
        <f>IF(P$162&lt;=インプット!$E90,-$D180*(1-インプット!$E89)/インプット!$E90,0)</f>
        <v>0</v>
      </c>
      <c r="Q179" s="287">
        <f>IF(Q$162&lt;=インプット!$E90,-$D180*(1-インプット!$E89)/インプット!$E90,0)</f>
        <v>0</v>
      </c>
      <c r="R179" s="287">
        <f>IF(R$162&lt;=インプット!$E90,-$D180*(1-インプット!$E89)/インプット!$E90,0)</f>
        <v>0</v>
      </c>
      <c r="S179" s="287">
        <f>IF(S$162&lt;=インプット!$E90,-$D180*(1-インプット!$E89)/インプット!$E90,0)</f>
        <v>0</v>
      </c>
      <c r="T179" s="287">
        <f>IF(T$162&lt;=インプット!$E90,-$D180*(1-インプット!$E89)/インプット!$E90,0)</f>
        <v>0</v>
      </c>
      <c r="U179" s="287">
        <f>IF(U$162&lt;=インプット!$E90,-$D180*(1-インプット!$E89)/インプット!$E90,0)</f>
        <v>0</v>
      </c>
      <c r="V179" s="287">
        <f>IF(V$162&lt;=インプット!$E90,-$D180*(1-インプット!$E89)/インプット!$E90,0)</f>
        <v>0</v>
      </c>
      <c r="W179" s="287">
        <f>IF(W$162&lt;=インプット!$E90,-$D180*(1-インプット!$E89)/インプット!$E90,0)</f>
        <v>0</v>
      </c>
      <c r="X179" s="287">
        <f>IF(X$162&lt;=インプット!$E90,-$D180*(1-インプット!$E89)/インプット!$E90,0)</f>
        <v>0</v>
      </c>
      <c r="Y179" s="287">
        <f>IF(Y$162&lt;=インプット!$E90,-$D180*(1-インプット!$E89)/インプット!$E90,0)</f>
        <v>0</v>
      </c>
      <c r="Z179" s="287">
        <f>IF(Z$162&lt;=インプット!$E90,-$D180*(1-インプット!$E89)/インプット!$E90,0)</f>
        <v>0</v>
      </c>
      <c r="AA179" s="287">
        <f>IF(AA$162&lt;=インプット!$E90,-$D180*(1-インプット!$E89)/インプット!$E90,0)</f>
        <v>0</v>
      </c>
      <c r="AB179" s="287">
        <f>IF(AB$162&lt;=インプット!$E90,-$D180*(1-インプット!$E89)/インプット!$E90,0)</f>
        <v>0</v>
      </c>
      <c r="AC179" s="287">
        <f>IF(AC$162&lt;=インプット!$E90,-$D180*(1-インプット!$E89)/インプット!$E90,0)</f>
        <v>0</v>
      </c>
      <c r="AD179" s="287">
        <f>IF(AD$162&lt;=インプット!$E90,-$D180*(1-インプット!$E89)/インプット!$E90,0)</f>
        <v>0</v>
      </c>
      <c r="AE179" s="287">
        <f>IF(AE$162&lt;=インプット!$E90,-$D180*(1-インプット!$E89)/インプット!$E90,0)</f>
        <v>0</v>
      </c>
      <c r="AF179" s="287">
        <f>IF(AF$162&lt;=インプット!$E90,-$D180*(1-インプット!$E89)/インプット!$E90,0)</f>
        <v>0</v>
      </c>
      <c r="AG179" s="287">
        <f>IF(AG$162&lt;=インプット!$E90,-$D180*(1-インプット!$E89)/インプット!$E90,0)</f>
        <v>0</v>
      </c>
      <c r="AH179" s="290">
        <f>IF(AH$162&lt;=インプット!$E90,-$D180*(1-インプット!$E89)/インプット!$E90,0)</f>
        <v>0</v>
      </c>
    </row>
    <row r="180" spans="1:35" x14ac:dyDescent="0.25">
      <c r="A180" s="19"/>
      <c r="B180" s="286" t="s">
        <v>152</v>
      </c>
      <c r="C180" s="299" t="s">
        <v>37</v>
      </c>
      <c r="D180" s="301">
        <f>インプット!E88</f>
        <v>0</v>
      </c>
      <c r="E180" s="302">
        <f t="shared" ref="E180:AH180" si="86">D180+E179</f>
        <v>0</v>
      </c>
      <c r="F180" s="302">
        <f t="shared" si="86"/>
        <v>0</v>
      </c>
      <c r="G180" s="302">
        <f t="shared" si="86"/>
        <v>0</v>
      </c>
      <c r="H180" s="302">
        <f t="shared" si="86"/>
        <v>0</v>
      </c>
      <c r="I180" s="302">
        <f t="shared" si="86"/>
        <v>0</v>
      </c>
      <c r="J180" s="302">
        <f t="shared" si="86"/>
        <v>0</v>
      </c>
      <c r="K180" s="302">
        <f t="shared" si="86"/>
        <v>0</v>
      </c>
      <c r="L180" s="302">
        <f t="shared" si="86"/>
        <v>0</v>
      </c>
      <c r="M180" s="302">
        <f t="shared" si="86"/>
        <v>0</v>
      </c>
      <c r="N180" s="302">
        <f t="shared" si="86"/>
        <v>0</v>
      </c>
      <c r="O180" s="302">
        <f t="shared" si="86"/>
        <v>0</v>
      </c>
      <c r="P180" s="302">
        <f t="shared" si="86"/>
        <v>0</v>
      </c>
      <c r="Q180" s="302">
        <f t="shared" si="86"/>
        <v>0</v>
      </c>
      <c r="R180" s="302">
        <f t="shared" si="86"/>
        <v>0</v>
      </c>
      <c r="S180" s="302">
        <f t="shared" si="86"/>
        <v>0</v>
      </c>
      <c r="T180" s="302">
        <f t="shared" si="86"/>
        <v>0</v>
      </c>
      <c r="U180" s="302">
        <f t="shared" si="86"/>
        <v>0</v>
      </c>
      <c r="V180" s="302">
        <f t="shared" si="86"/>
        <v>0</v>
      </c>
      <c r="W180" s="302">
        <f t="shared" si="86"/>
        <v>0</v>
      </c>
      <c r="X180" s="302">
        <f t="shared" si="86"/>
        <v>0</v>
      </c>
      <c r="Y180" s="302">
        <f t="shared" si="86"/>
        <v>0</v>
      </c>
      <c r="Z180" s="302">
        <f t="shared" si="86"/>
        <v>0</v>
      </c>
      <c r="AA180" s="302">
        <f t="shared" si="86"/>
        <v>0</v>
      </c>
      <c r="AB180" s="302">
        <f t="shared" si="86"/>
        <v>0</v>
      </c>
      <c r="AC180" s="302">
        <f t="shared" si="86"/>
        <v>0</v>
      </c>
      <c r="AD180" s="302">
        <f t="shared" si="86"/>
        <v>0</v>
      </c>
      <c r="AE180" s="302">
        <f t="shared" si="86"/>
        <v>0</v>
      </c>
      <c r="AF180" s="302">
        <f t="shared" si="86"/>
        <v>0</v>
      </c>
      <c r="AG180" s="302">
        <f t="shared" si="86"/>
        <v>0</v>
      </c>
      <c r="AH180" s="303">
        <f t="shared" si="86"/>
        <v>0</v>
      </c>
    </row>
    <row r="181" spans="1:35" x14ac:dyDescent="0.25">
      <c r="A181" s="19"/>
      <c r="B181" s="172" t="str">
        <f>インプット!B91</f>
        <v>＜設備費目を入力＞</v>
      </c>
      <c r="C181" s="173"/>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8"/>
    </row>
    <row r="182" spans="1:35" x14ac:dyDescent="0.25">
      <c r="A182" s="19"/>
      <c r="B182" s="182" t="s">
        <v>151</v>
      </c>
      <c r="C182" s="266" t="s">
        <v>37</v>
      </c>
      <c r="D182" s="36"/>
      <c r="E182" s="287">
        <f>IF(E$162&lt;=インプット!$E93,-$D183*(1-インプット!$E92)/インプット!$E93,0)</f>
        <v>0</v>
      </c>
      <c r="F182" s="287">
        <f>IF(F$162&lt;=インプット!$E93,-$D183*(1-インプット!$E92)/インプット!$E93,0)</f>
        <v>0</v>
      </c>
      <c r="G182" s="287">
        <f>IF(G$162&lt;=インプット!$E93,-$D183*(1-インプット!$E92)/インプット!$E93,0)</f>
        <v>0</v>
      </c>
      <c r="H182" s="287">
        <f>IF(H$162&lt;=インプット!$E93,-$D183*(1-インプット!$E92)/インプット!$E93,0)</f>
        <v>0</v>
      </c>
      <c r="I182" s="287">
        <f>IF(I$162&lt;=インプット!$E93,-$D183*(1-インプット!$E92)/インプット!$E93,0)</f>
        <v>0</v>
      </c>
      <c r="J182" s="287">
        <f>IF(J$162&lt;=インプット!$E93,-$D183*(1-インプット!$E92)/インプット!$E93,0)</f>
        <v>0</v>
      </c>
      <c r="K182" s="287">
        <f>IF(K$162&lt;=インプット!$E93,-$D183*(1-インプット!$E92)/インプット!$E93,0)</f>
        <v>0</v>
      </c>
      <c r="L182" s="287">
        <f>IF(L$162&lt;=インプット!$E93,-$D183*(1-インプット!$E92)/インプット!$E93,0)</f>
        <v>0</v>
      </c>
      <c r="M182" s="287">
        <f>IF(M$162&lt;=インプット!$E93,-$D183*(1-インプット!$E92)/インプット!$E93,0)</f>
        <v>0</v>
      </c>
      <c r="N182" s="287">
        <f>IF(N$162&lt;=インプット!$E93,-$D183*(1-インプット!$E92)/インプット!$E93,0)</f>
        <v>0</v>
      </c>
      <c r="O182" s="287">
        <f>IF(O$162&lt;=インプット!$E93,-$D183*(1-インプット!$E92)/インプット!$E93,0)</f>
        <v>0</v>
      </c>
      <c r="P182" s="287">
        <f>IF(P$162&lt;=インプット!$E93,-$D183*(1-インプット!$E92)/インプット!$E93,0)</f>
        <v>0</v>
      </c>
      <c r="Q182" s="287">
        <f>IF(Q$162&lt;=インプット!$E93,-$D183*(1-インプット!$E92)/インプット!$E93,0)</f>
        <v>0</v>
      </c>
      <c r="R182" s="287">
        <f>IF(R$162&lt;=インプット!$E93,-$D183*(1-インプット!$E92)/インプット!$E93,0)</f>
        <v>0</v>
      </c>
      <c r="S182" s="287">
        <f>IF(S$162&lt;=インプット!$E93,-$D183*(1-インプット!$E92)/インプット!$E93,0)</f>
        <v>0</v>
      </c>
      <c r="T182" s="287">
        <f>IF(T$162&lt;=インプット!$E93,-$D183*(1-インプット!$E92)/インプット!$E93,0)</f>
        <v>0</v>
      </c>
      <c r="U182" s="287">
        <f>IF(U$162&lt;=インプット!$E93,-$D183*(1-インプット!$E92)/インプット!$E93,0)</f>
        <v>0</v>
      </c>
      <c r="V182" s="287">
        <f>IF(V$162&lt;=インプット!$E93,-$D183*(1-インプット!$E92)/インプット!$E93,0)</f>
        <v>0</v>
      </c>
      <c r="W182" s="287">
        <f>IF(W$162&lt;=インプット!$E93,-$D183*(1-インプット!$E92)/インプット!$E93,0)</f>
        <v>0</v>
      </c>
      <c r="X182" s="287">
        <f>IF(X$162&lt;=インプット!$E93,-$D183*(1-インプット!$E92)/インプット!$E93,0)</f>
        <v>0</v>
      </c>
      <c r="Y182" s="287">
        <f>IF(Y$162&lt;=インプット!$E93,-$D183*(1-インプット!$E92)/インプット!$E93,0)</f>
        <v>0</v>
      </c>
      <c r="Z182" s="287">
        <f>IF(Z$162&lt;=インプット!$E93,-$D183*(1-インプット!$E92)/インプット!$E93,0)</f>
        <v>0</v>
      </c>
      <c r="AA182" s="287">
        <f>IF(AA$162&lt;=インプット!$E93,-$D183*(1-インプット!$E92)/インプット!$E93,0)</f>
        <v>0</v>
      </c>
      <c r="AB182" s="287">
        <f>IF(AB$162&lt;=インプット!$E93,-$D183*(1-インプット!$E92)/インプット!$E93,0)</f>
        <v>0</v>
      </c>
      <c r="AC182" s="287">
        <f>IF(AC$162&lt;=インプット!$E93,-$D183*(1-インプット!$E92)/インプット!$E93,0)</f>
        <v>0</v>
      </c>
      <c r="AD182" s="287">
        <f>IF(AD$162&lt;=インプット!$E93,-$D183*(1-インプット!$E92)/インプット!$E93,0)</f>
        <v>0</v>
      </c>
      <c r="AE182" s="287">
        <f>IF(AE$162&lt;=インプット!$E93,-$D183*(1-インプット!$E92)/インプット!$E93,0)</f>
        <v>0</v>
      </c>
      <c r="AF182" s="287">
        <f>IF(AF$162&lt;=インプット!$E93,-$D183*(1-インプット!$E92)/インプット!$E93,0)</f>
        <v>0</v>
      </c>
      <c r="AG182" s="287">
        <f>IF(AG$162&lt;=インプット!$E93,-$D183*(1-インプット!$E92)/インプット!$E93,0)</f>
        <v>0</v>
      </c>
      <c r="AH182" s="290">
        <f>IF(AH$162&lt;=インプット!$E93,-$D183*(1-インプット!$E92)/インプット!$E93,0)</f>
        <v>0</v>
      </c>
    </row>
    <row r="183" spans="1:35" ht="13" thickBot="1" x14ac:dyDescent="0.3">
      <c r="A183" s="19"/>
      <c r="B183" s="304" t="s">
        <v>152</v>
      </c>
      <c r="C183" s="300" t="s">
        <v>37</v>
      </c>
      <c r="D183" s="305">
        <f>インプット!E91</f>
        <v>0</v>
      </c>
      <c r="E183" s="306">
        <f t="shared" ref="E183:AH183" si="87">D183+E182</f>
        <v>0</v>
      </c>
      <c r="F183" s="306">
        <f t="shared" si="87"/>
        <v>0</v>
      </c>
      <c r="G183" s="306">
        <f t="shared" si="87"/>
        <v>0</v>
      </c>
      <c r="H183" s="306">
        <f t="shared" si="87"/>
        <v>0</v>
      </c>
      <c r="I183" s="306">
        <f t="shared" si="87"/>
        <v>0</v>
      </c>
      <c r="J183" s="306">
        <f t="shared" si="87"/>
        <v>0</v>
      </c>
      <c r="K183" s="306">
        <f t="shared" si="87"/>
        <v>0</v>
      </c>
      <c r="L183" s="306">
        <f t="shared" si="87"/>
        <v>0</v>
      </c>
      <c r="M183" s="306">
        <f t="shared" si="87"/>
        <v>0</v>
      </c>
      <c r="N183" s="306">
        <f t="shared" si="87"/>
        <v>0</v>
      </c>
      <c r="O183" s="306">
        <f t="shared" si="87"/>
        <v>0</v>
      </c>
      <c r="P183" s="306">
        <f t="shared" si="87"/>
        <v>0</v>
      </c>
      <c r="Q183" s="306">
        <f t="shared" si="87"/>
        <v>0</v>
      </c>
      <c r="R183" s="306">
        <f t="shared" si="87"/>
        <v>0</v>
      </c>
      <c r="S183" s="306">
        <f t="shared" si="87"/>
        <v>0</v>
      </c>
      <c r="T183" s="306">
        <f t="shared" si="87"/>
        <v>0</v>
      </c>
      <c r="U183" s="306">
        <f t="shared" si="87"/>
        <v>0</v>
      </c>
      <c r="V183" s="306">
        <f t="shared" si="87"/>
        <v>0</v>
      </c>
      <c r="W183" s="306">
        <f t="shared" si="87"/>
        <v>0</v>
      </c>
      <c r="X183" s="306">
        <f t="shared" si="87"/>
        <v>0</v>
      </c>
      <c r="Y183" s="306">
        <f t="shared" si="87"/>
        <v>0</v>
      </c>
      <c r="Z183" s="306">
        <f t="shared" si="87"/>
        <v>0</v>
      </c>
      <c r="AA183" s="306">
        <f t="shared" si="87"/>
        <v>0</v>
      </c>
      <c r="AB183" s="306">
        <f t="shared" si="87"/>
        <v>0</v>
      </c>
      <c r="AC183" s="306">
        <f t="shared" si="87"/>
        <v>0</v>
      </c>
      <c r="AD183" s="306">
        <f t="shared" si="87"/>
        <v>0</v>
      </c>
      <c r="AE183" s="306">
        <f t="shared" si="87"/>
        <v>0</v>
      </c>
      <c r="AF183" s="306">
        <f t="shared" si="87"/>
        <v>0</v>
      </c>
      <c r="AG183" s="306">
        <f t="shared" si="87"/>
        <v>0</v>
      </c>
      <c r="AH183" s="307">
        <f t="shared" si="87"/>
        <v>0</v>
      </c>
    </row>
    <row r="184" spans="1:35" x14ac:dyDescent="0.25">
      <c r="C184" s="93"/>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I184" s="14"/>
    </row>
    <row r="185" spans="1:35" ht="13" thickBot="1" x14ac:dyDescent="0.3">
      <c r="A185" s="294" t="s">
        <v>153</v>
      </c>
      <c r="B185" s="19"/>
      <c r="D185" s="8"/>
      <c r="E185" s="8"/>
      <c r="F185" s="8"/>
      <c r="G185" s="8"/>
      <c r="H185" s="8"/>
      <c r="I185" s="8"/>
      <c r="J185" s="8"/>
      <c r="K185" s="8"/>
      <c r="L185" s="8"/>
      <c r="M185" s="8"/>
      <c r="N185" s="8"/>
      <c r="O185" s="8"/>
      <c r="P185" s="8"/>
      <c r="Q185" s="8"/>
      <c r="R185" s="8"/>
      <c r="S185" s="8"/>
      <c r="T185" s="8"/>
      <c r="U185" s="8"/>
      <c r="V185" s="8"/>
      <c r="W185" s="8"/>
      <c r="X185" s="8"/>
    </row>
    <row r="186" spans="1:35" ht="13" thickBot="1" x14ac:dyDescent="0.3">
      <c r="A186" s="19"/>
      <c r="B186" s="281" t="s">
        <v>18</v>
      </c>
      <c r="C186" s="280"/>
      <c r="D186" s="26">
        <v>0</v>
      </c>
      <c r="E186" s="26">
        <v>1</v>
      </c>
      <c r="F186" s="26">
        <v>2</v>
      </c>
      <c r="G186" s="26">
        <v>3</v>
      </c>
      <c r="H186" s="26">
        <v>4</v>
      </c>
      <c r="I186" s="26">
        <v>5</v>
      </c>
      <c r="J186" s="26">
        <v>6</v>
      </c>
      <c r="K186" s="26">
        <v>7</v>
      </c>
      <c r="L186" s="26">
        <v>8</v>
      </c>
      <c r="M186" s="26">
        <v>9</v>
      </c>
      <c r="N186" s="26">
        <v>10</v>
      </c>
      <c r="O186" s="26">
        <v>11</v>
      </c>
      <c r="P186" s="26">
        <v>12</v>
      </c>
      <c r="Q186" s="26">
        <v>13</v>
      </c>
      <c r="R186" s="26">
        <v>14</v>
      </c>
      <c r="S186" s="26">
        <v>15</v>
      </c>
      <c r="T186" s="26">
        <v>16</v>
      </c>
      <c r="U186" s="26">
        <v>17</v>
      </c>
      <c r="V186" s="26">
        <v>18</v>
      </c>
      <c r="W186" s="26">
        <v>19</v>
      </c>
      <c r="X186" s="78">
        <v>20</v>
      </c>
      <c r="Y186" s="26">
        <v>21</v>
      </c>
      <c r="Z186" s="26">
        <v>22</v>
      </c>
      <c r="AA186" s="26">
        <v>23</v>
      </c>
      <c r="AB186" s="26">
        <v>24</v>
      </c>
      <c r="AC186" s="26">
        <v>25</v>
      </c>
      <c r="AD186" s="26">
        <v>26</v>
      </c>
      <c r="AE186" s="26">
        <v>27</v>
      </c>
      <c r="AF186" s="26">
        <v>28</v>
      </c>
      <c r="AG186" s="26">
        <v>29</v>
      </c>
      <c r="AH186" s="78">
        <v>30</v>
      </c>
    </row>
    <row r="187" spans="1:35" x14ac:dyDescent="0.25">
      <c r="A187" s="19"/>
      <c r="B187" s="295" t="str">
        <f>インプット!B96</f>
        <v>地域内金融機関</v>
      </c>
      <c r="C187" s="276"/>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297"/>
    </row>
    <row r="188" spans="1:35" x14ac:dyDescent="0.25">
      <c r="A188" s="19"/>
      <c r="B188" s="182" t="s">
        <v>154</v>
      </c>
      <c r="C188" s="266" t="s">
        <v>37</v>
      </c>
      <c r="D188" s="36"/>
      <c r="E188" s="287">
        <f>IF(E$186&lt;=インプット!$E97,-$D190/インプット!$E97,0)</f>
        <v>0</v>
      </c>
      <c r="F188" s="287">
        <f>IF(F$186&lt;=インプット!$E97,-$D190/インプット!$E97,0)</f>
        <v>0</v>
      </c>
      <c r="G188" s="287">
        <f>IF(G$186&lt;=インプット!$E97,-$D190/インプット!$E97,0)</f>
        <v>0</v>
      </c>
      <c r="H188" s="287">
        <f>IF(H$186&lt;=インプット!$E97,-$D190/インプット!$E97,0)</f>
        <v>0</v>
      </c>
      <c r="I188" s="287">
        <f>IF(I$186&lt;=インプット!$E97,-$D190/インプット!$E97,0)</f>
        <v>0</v>
      </c>
      <c r="J188" s="287">
        <f>IF(J$186&lt;=インプット!$E97,-$D190/インプット!$E97,0)</f>
        <v>0</v>
      </c>
      <c r="K188" s="287">
        <f>IF(K$186&lt;=インプット!$E97,-$D190/インプット!$E97,0)</f>
        <v>0</v>
      </c>
      <c r="L188" s="287">
        <f>IF(L$186&lt;=インプット!$E97,-$D190/インプット!$E97,0)</f>
        <v>0</v>
      </c>
      <c r="M188" s="287">
        <f>IF(M$186&lt;=インプット!$E97,-$D190/インプット!$E97,0)</f>
        <v>0</v>
      </c>
      <c r="N188" s="287">
        <f>IF(N$186&lt;=インプット!$E97,-$D190/インプット!$E97,0)</f>
        <v>0</v>
      </c>
      <c r="O188" s="287">
        <f>IF(O$186&lt;=インプット!$E97,-$D190/インプット!$E97,0)</f>
        <v>0</v>
      </c>
      <c r="P188" s="287">
        <f>IF(P$186&lt;=インプット!$E97,-$D190/インプット!$E97,0)</f>
        <v>0</v>
      </c>
      <c r="Q188" s="287">
        <f>IF(Q$186&lt;=インプット!$E97,-$D190/インプット!$E97,0)</f>
        <v>0</v>
      </c>
      <c r="R188" s="287">
        <f>IF(R$186&lt;=インプット!$E97,-$D190/インプット!$E97,0)</f>
        <v>0</v>
      </c>
      <c r="S188" s="287">
        <f>IF(S$186&lt;=インプット!$E97,-$D190/インプット!$E97,0)</f>
        <v>0</v>
      </c>
      <c r="T188" s="287">
        <f>IF(T$186&lt;=インプット!$E97,-$D190/インプット!$E97,0)</f>
        <v>0</v>
      </c>
      <c r="U188" s="287">
        <f>IF(U$186&lt;=インプット!$E97,-$D190/インプット!$E97,0)</f>
        <v>0</v>
      </c>
      <c r="V188" s="287">
        <f>IF(V$186&lt;=インプット!$E97,-$D190/インプット!$E97,0)</f>
        <v>0</v>
      </c>
      <c r="W188" s="287">
        <f>IF(W$186&lt;=インプット!$E97,-$D190/インプット!$E97,0)</f>
        <v>0</v>
      </c>
      <c r="X188" s="287">
        <f>IF(X$186&lt;=インプット!$E97,-$D190/インプット!$E97,0)</f>
        <v>0</v>
      </c>
      <c r="Y188" s="287">
        <f>IF(Y$186&lt;=インプット!$E97,-$D190/インプット!$E97,0)</f>
        <v>0</v>
      </c>
      <c r="Z188" s="287">
        <f>IF(Z$186&lt;=インプット!$E97,-$D190/インプット!$E97,0)</f>
        <v>0</v>
      </c>
      <c r="AA188" s="287">
        <f>IF(AA$186&lt;=インプット!$E97,-$D190/インプット!$E97,0)</f>
        <v>0</v>
      </c>
      <c r="AB188" s="287">
        <f>IF(AB$186&lt;=インプット!$E97,-$D190/インプット!$E97,0)</f>
        <v>0</v>
      </c>
      <c r="AC188" s="287">
        <f>IF(AC$186&lt;=インプット!$E97,-$D190/インプット!$E97,0)</f>
        <v>0</v>
      </c>
      <c r="AD188" s="287">
        <f>IF(AD$186&lt;=インプット!$E97,-$D190/インプット!$E97,0)</f>
        <v>0</v>
      </c>
      <c r="AE188" s="287">
        <f>IF(AE$186&lt;=インプット!$E97,-$D190/インプット!$E97,0)</f>
        <v>0</v>
      </c>
      <c r="AF188" s="287">
        <f>IF(AF$186&lt;=インプット!$E97,-$D190/インプット!$E97,0)</f>
        <v>0</v>
      </c>
      <c r="AG188" s="287">
        <f>IF(AG$186&lt;=インプット!$E97,-$D190/インプット!$E97,0)</f>
        <v>0</v>
      </c>
      <c r="AH188" s="290">
        <f>IF(AH$186&lt;=インプット!$E97,-$D190/インプット!$E97,0)</f>
        <v>0</v>
      </c>
    </row>
    <row r="189" spans="1:35" x14ac:dyDescent="0.25">
      <c r="A189" s="19"/>
      <c r="B189" s="308" t="s">
        <v>155</v>
      </c>
      <c r="C189" s="266" t="s">
        <v>37</v>
      </c>
      <c r="D189" s="309"/>
      <c r="E189" s="310">
        <f>-D190*インプット!$E98</f>
        <v>0</v>
      </c>
      <c r="F189" s="310">
        <f>-E190*インプット!$E98</f>
        <v>0</v>
      </c>
      <c r="G189" s="310">
        <f>-F190*インプット!$E98</f>
        <v>0</v>
      </c>
      <c r="H189" s="310">
        <f>-G190*インプット!$E98</f>
        <v>0</v>
      </c>
      <c r="I189" s="310">
        <f>-H190*インプット!$E98</f>
        <v>0</v>
      </c>
      <c r="J189" s="310">
        <f>-I190*インプット!$E98</f>
        <v>0</v>
      </c>
      <c r="K189" s="310">
        <f>-J190*インプット!$E98</f>
        <v>0</v>
      </c>
      <c r="L189" s="310">
        <f>-K190*インプット!$E98</f>
        <v>0</v>
      </c>
      <c r="M189" s="310">
        <f>-L190*インプット!$E98</f>
        <v>0</v>
      </c>
      <c r="N189" s="310">
        <f>-M190*インプット!$E98</f>
        <v>0</v>
      </c>
      <c r="O189" s="310">
        <f>-N190*インプット!$E98</f>
        <v>0</v>
      </c>
      <c r="P189" s="310">
        <f>-O190*インプット!$E98</f>
        <v>0</v>
      </c>
      <c r="Q189" s="310">
        <f>-P190*インプット!$E98</f>
        <v>0</v>
      </c>
      <c r="R189" s="310">
        <f>-Q190*インプット!$E98</f>
        <v>0</v>
      </c>
      <c r="S189" s="310">
        <f>-R190*インプット!$E98</f>
        <v>0</v>
      </c>
      <c r="T189" s="310">
        <f>-S190*インプット!$E98</f>
        <v>0</v>
      </c>
      <c r="U189" s="310">
        <f>-T190*インプット!$E98</f>
        <v>0</v>
      </c>
      <c r="V189" s="310">
        <f>-U190*インプット!$E98</f>
        <v>0</v>
      </c>
      <c r="W189" s="310">
        <f>-V190*インプット!$E98</f>
        <v>0</v>
      </c>
      <c r="X189" s="310">
        <f>-W190*インプット!$E98</f>
        <v>0</v>
      </c>
      <c r="Y189" s="310">
        <f>-X190*インプット!$E98</f>
        <v>0</v>
      </c>
      <c r="Z189" s="310">
        <f>-Y190*インプット!$E98</f>
        <v>0</v>
      </c>
      <c r="AA189" s="310">
        <f>-Z190*インプット!$E98</f>
        <v>0</v>
      </c>
      <c r="AB189" s="310">
        <f>-AA190*インプット!$E98</f>
        <v>0</v>
      </c>
      <c r="AC189" s="310">
        <f>-AB190*インプット!$E98</f>
        <v>0</v>
      </c>
      <c r="AD189" s="310">
        <f>-AC190*インプット!$E98</f>
        <v>0</v>
      </c>
      <c r="AE189" s="310">
        <f>-AD190*インプット!$E98</f>
        <v>0</v>
      </c>
      <c r="AF189" s="310">
        <f>-AE190*インプット!$E98</f>
        <v>0</v>
      </c>
      <c r="AG189" s="310">
        <f>-AF190*インプット!$E98</f>
        <v>0</v>
      </c>
      <c r="AH189" s="311">
        <f>-AG190*インプット!$E98</f>
        <v>0</v>
      </c>
    </row>
    <row r="190" spans="1:35" x14ac:dyDescent="0.25">
      <c r="A190" s="19"/>
      <c r="B190" s="286" t="s">
        <v>152</v>
      </c>
      <c r="C190" s="299" t="s">
        <v>37</v>
      </c>
      <c r="D190" s="301">
        <f>インプット!E96</f>
        <v>0</v>
      </c>
      <c r="E190" s="302">
        <f t="shared" ref="E190:AH190" si="88">D190+E188</f>
        <v>0</v>
      </c>
      <c r="F190" s="302">
        <f t="shared" si="88"/>
        <v>0</v>
      </c>
      <c r="G190" s="302">
        <f t="shared" si="88"/>
        <v>0</v>
      </c>
      <c r="H190" s="302">
        <f t="shared" si="88"/>
        <v>0</v>
      </c>
      <c r="I190" s="302">
        <f t="shared" si="88"/>
        <v>0</v>
      </c>
      <c r="J190" s="302">
        <f t="shared" si="88"/>
        <v>0</v>
      </c>
      <c r="K190" s="302">
        <f t="shared" si="88"/>
        <v>0</v>
      </c>
      <c r="L190" s="302">
        <f t="shared" si="88"/>
        <v>0</v>
      </c>
      <c r="M190" s="302">
        <f t="shared" si="88"/>
        <v>0</v>
      </c>
      <c r="N190" s="302">
        <f t="shared" si="88"/>
        <v>0</v>
      </c>
      <c r="O190" s="302">
        <f t="shared" si="88"/>
        <v>0</v>
      </c>
      <c r="P190" s="302">
        <f t="shared" si="88"/>
        <v>0</v>
      </c>
      <c r="Q190" s="302">
        <f t="shared" si="88"/>
        <v>0</v>
      </c>
      <c r="R190" s="302">
        <f t="shared" si="88"/>
        <v>0</v>
      </c>
      <c r="S190" s="302">
        <f t="shared" si="88"/>
        <v>0</v>
      </c>
      <c r="T190" s="302">
        <f t="shared" si="88"/>
        <v>0</v>
      </c>
      <c r="U190" s="302">
        <f t="shared" si="88"/>
        <v>0</v>
      </c>
      <c r="V190" s="302">
        <f t="shared" si="88"/>
        <v>0</v>
      </c>
      <c r="W190" s="302">
        <f t="shared" si="88"/>
        <v>0</v>
      </c>
      <c r="X190" s="302">
        <f t="shared" si="88"/>
        <v>0</v>
      </c>
      <c r="Y190" s="302">
        <f t="shared" si="88"/>
        <v>0</v>
      </c>
      <c r="Z190" s="302">
        <f t="shared" si="88"/>
        <v>0</v>
      </c>
      <c r="AA190" s="302">
        <f t="shared" si="88"/>
        <v>0</v>
      </c>
      <c r="AB190" s="302">
        <f t="shared" si="88"/>
        <v>0</v>
      </c>
      <c r="AC190" s="302">
        <f t="shared" si="88"/>
        <v>0</v>
      </c>
      <c r="AD190" s="302">
        <f t="shared" si="88"/>
        <v>0</v>
      </c>
      <c r="AE190" s="302">
        <f t="shared" si="88"/>
        <v>0</v>
      </c>
      <c r="AF190" s="302">
        <f t="shared" si="88"/>
        <v>0</v>
      </c>
      <c r="AG190" s="302">
        <f t="shared" si="88"/>
        <v>0</v>
      </c>
      <c r="AH190" s="303">
        <f t="shared" si="88"/>
        <v>0</v>
      </c>
    </row>
    <row r="191" spans="1:35" x14ac:dyDescent="0.25">
      <c r="A191" s="19"/>
      <c r="B191" s="172" t="str">
        <f>インプット!B99</f>
        <v>地域外金融機関</v>
      </c>
      <c r="C191" s="173"/>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c r="AA191" s="296"/>
      <c r="AB191" s="296"/>
      <c r="AC191" s="296"/>
      <c r="AD191" s="296"/>
      <c r="AE191" s="296"/>
      <c r="AF191" s="296"/>
      <c r="AG191" s="296"/>
      <c r="AH191" s="298"/>
    </row>
    <row r="192" spans="1:35" x14ac:dyDescent="0.25">
      <c r="A192" s="19"/>
      <c r="B192" s="182" t="s">
        <v>154</v>
      </c>
      <c r="C192" s="266" t="s">
        <v>37</v>
      </c>
      <c r="D192" s="36"/>
      <c r="E192" s="287">
        <f>IF(E$186&lt;=インプット!$E100,-$D194/インプット!$E100,0)</f>
        <v>0</v>
      </c>
      <c r="F192" s="287">
        <f>IF(F$186&lt;=インプット!$E100,-$D194/インプット!$E100,0)</f>
        <v>0</v>
      </c>
      <c r="G192" s="287">
        <f>IF(G$186&lt;=インプット!$E100,-$D194/インプット!$E100,0)</f>
        <v>0</v>
      </c>
      <c r="H192" s="287">
        <f>IF(H$186&lt;=インプット!$E100,-$D194/インプット!$E100,0)</f>
        <v>0</v>
      </c>
      <c r="I192" s="287">
        <f>IF(I$186&lt;=インプット!$E100,-$D194/インプット!$E100,0)</f>
        <v>0</v>
      </c>
      <c r="J192" s="287">
        <f>IF(J$186&lt;=インプット!$E100,-$D194/インプット!$E100,0)</f>
        <v>0</v>
      </c>
      <c r="K192" s="287">
        <f>IF(K$186&lt;=インプット!$E100,-$D194/インプット!$E100,0)</f>
        <v>0</v>
      </c>
      <c r="L192" s="287">
        <f>IF(L$186&lt;=インプット!$E100,-$D194/インプット!$E100,0)</f>
        <v>0</v>
      </c>
      <c r="M192" s="287">
        <f>IF(M$186&lt;=インプット!$E100,-$D194/インプット!$E100,0)</f>
        <v>0</v>
      </c>
      <c r="N192" s="287">
        <f>IF(N$186&lt;=インプット!$E100,-$D194/インプット!$E100,0)</f>
        <v>0</v>
      </c>
      <c r="O192" s="287">
        <f>IF(O$186&lt;=インプット!$E100,-$D194/インプット!$E100,0)</f>
        <v>0</v>
      </c>
      <c r="P192" s="287">
        <f>IF(P$186&lt;=インプット!$E100,-$D194/インプット!$E100,0)</f>
        <v>0</v>
      </c>
      <c r="Q192" s="287">
        <f>IF(Q$186&lt;=インプット!$E100,-$D194/インプット!$E100,0)</f>
        <v>0</v>
      </c>
      <c r="R192" s="287">
        <f>IF(R$186&lt;=インプット!$E100,-$D194/インプット!$E100,0)</f>
        <v>0</v>
      </c>
      <c r="S192" s="287">
        <f>IF(S$186&lt;=インプット!$E100,-$D194/インプット!$E100,0)</f>
        <v>0</v>
      </c>
      <c r="T192" s="287">
        <f>IF(T$186&lt;=インプット!$E100,-$D194/インプット!$E100,0)</f>
        <v>0</v>
      </c>
      <c r="U192" s="287">
        <f>IF(U$186&lt;=インプット!$E100,-$D194/インプット!$E100,0)</f>
        <v>0</v>
      </c>
      <c r="V192" s="287">
        <f>IF(V$186&lt;=インプット!$E100,-$D194/インプット!$E100,0)</f>
        <v>0</v>
      </c>
      <c r="W192" s="287">
        <f>IF(W$186&lt;=インプット!$E100,-$D194/インプット!$E100,0)</f>
        <v>0</v>
      </c>
      <c r="X192" s="287">
        <f>IF(X$186&lt;=インプット!$E100,-$D194/インプット!$E100,0)</f>
        <v>0</v>
      </c>
      <c r="Y192" s="287">
        <f>IF(Y$186&lt;=インプット!$E100,-$D194/インプット!$E100,0)</f>
        <v>0</v>
      </c>
      <c r="Z192" s="287">
        <f>IF(Z$186&lt;=インプット!$E100,-$D194/インプット!$E100,0)</f>
        <v>0</v>
      </c>
      <c r="AA192" s="287">
        <f>IF(AA$186&lt;=インプット!$E100,-$D194/インプット!$E100,0)</f>
        <v>0</v>
      </c>
      <c r="AB192" s="287">
        <f>IF(AB$186&lt;=インプット!$E100,-$D194/インプット!$E100,0)</f>
        <v>0</v>
      </c>
      <c r="AC192" s="287">
        <f>IF(AC$186&lt;=インプット!$E100,-$D194/インプット!$E100,0)</f>
        <v>0</v>
      </c>
      <c r="AD192" s="287">
        <f>IF(AD$186&lt;=インプット!$E100,-$D194/インプット!$E100,0)</f>
        <v>0</v>
      </c>
      <c r="AE192" s="287">
        <f>IF(AE$186&lt;=インプット!$E100,-$D194/インプット!$E100,0)</f>
        <v>0</v>
      </c>
      <c r="AF192" s="287">
        <f>IF(AF$186&lt;=インプット!$E100,-$D194/インプット!$E100,0)</f>
        <v>0</v>
      </c>
      <c r="AG192" s="287">
        <f>IF(AG$186&lt;=インプット!$E100,-$D194/インプット!$E100,0)</f>
        <v>0</v>
      </c>
      <c r="AH192" s="290">
        <f>IF(AH$186&lt;=インプット!$E100,-$D194/インプット!$E100,0)</f>
        <v>0</v>
      </c>
    </row>
    <row r="193" spans="1:35" x14ac:dyDescent="0.25">
      <c r="A193" s="19"/>
      <c r="B193" s="308" t="s">
        <v>155</v>
      </c>
      <c r="C193" s="266" t="s">
        <v>37</v>
      </c>
      <c r="D193" s="309"/>
      <c r="E193" s="310">
        <f>-D194*インプット!$E101</f>
        <v>0</v>
      </c>
      <c r="F193" s="310">
        <f>-E194*インプット!$E101</f>
        <v>0</v>
      </c>
      <c r="G193" s="310">
        <f>-F194*インプット!$E101</f>
        <v>0</v>
      </c>
      <c r="H193" s="310">
        <f>-G194*インプット!$E101</f>
        <v>0</v>
      </c>
      <c r="I193" s="310">
        <f>-H194*インプット!$E101</f>
        <v>0</v>
      </c>
      <c r="J193" s="310">
        <f>-I194*インプット!$E101</f>
        <v>0</v>
      </c>
      <c r="K193" s="310">
        <f>-J194*インプット!$E101</f>
        <v>0</v>
      </c>
      <c r="L193" s="310">
        <f>-K194*インプット!$E101</f>
        <v>0</v>
      </c>
      <c r="M193" s="310">
        <f>-L194*インプット!$E101</f>
        <v>0</v>
      </c>
      <c r="N193" s="310">
        <f>-M194*インプット!$E101</f>
        <v>0</v>
      </c>
      <c r="O193" s="310">
        <f>-N194*インプット!$E101</f>
        <v>0</v>
      </c>
      <c r="P193" s="310">
        <f>-O194*インプット!$E101</f>
        <v>0</v>
      </c>
      <c r="Q193" s="310">
        <f>-P194*インプット!$E101</f>
        <v>0</v>
      </c>
      <c r="R193" s="310">
        <f>-Q194*インプット!$E101</f>
        <v>0</v>
      </c>
      <c r="S193" s="310">
        <f>-R194*インプット!$E101</f>
        <v>0</v>
      </c>
      <c r="T193" s="310">
        <f>-S194*インプット!$E101</f>
        <v>0</v>
      </c>
      <c r="U193" s="310">
        <f>-T194*インプット!$E101</f>
        <v>0</v>
      </c>
      <c r="V193" s="310">
        <f>-U194*インプット!$E101</f>
        <v>0</v>
      </c>
      <c r="W193" s="310">
        <f>-V194*インプット!$E101</f>
        <v>0</v>
      </c>
      <c r="X193" s="310">
        <f>-W194*インプット!$E101</f>
        <v>0</v>
      </c>
      <c r="Y193" s="310">
        <f>-X194*インプット!$E101</f>
        <v>0</v>
      </c>
      <c r="Z193" s="310">
        <f>-Y194*インプット!$E101</f>
        <v>0</v>
      </c>
      <c r="AA193" s="310">
        <f>-Z194*インプット!$E101</f>
        <v>0</v>
      </c>
      <c r="AB193" s="310">
        <f>-AA194*インプット!$E101</f>
        <v>0</v>
      </c>
      <c r="AC193" s="310">
        <f>-AB194*インプット!$E101</f>
        <v>0</v>
      </c>
      <c r="AD193" s="310">
        <f>-AC194*インプット!$E101</f>
        <v>0</v>
      </c>
      <c r="AE193" s="310">
        <f>-AD194*インプット!$E101</f>
        <v>0</v>
      </c>
      <c r="AF193" s="310">
        <f>-AE194*インプット!$E101</f>
        <v>0</v>
      </c>
      <c r="AG193" s="310">
        <f>-AF194*インプット!$E101</f>
        <v>0</v>
      </c>
      <c r="AH193" s="311">
        <f>-AG194*インプット!$E101</f>
        <v>0</v>
      </c>
    </row>
    <row r="194" spans="1:35" x14ac:dyDescent="0.25">
      <c r="A194" s="19"/>
      <c r="B194" s="286" t="s">
        <v>152</v>
      </c>
      <c r="C194" s="299" t="s">
        <v>37</v>
      </c>
      <c r="D194" s="301">
        <f>インプット!E99</f>
        <v>0</v>
      </c>
      <c r="E194" s="302">
        <f t="shared" ref="E194:AH194" si="89">D194+E192</f>
        <v>0</v>
      </c>
      <c r="F194" s="302">
        <f t="shared" si="89"/>
        <v>0</v>
      </c>
      <c r="G194" s="302">
        <f t="shared" si="89"/>
        <v>0</v>
      </c>
      <c r="H194" s="302">
        <f t="shared" si="89"/>
        <v>0</v>
      </c>
      <c r="I194" s="302">
        <f t="shared" si="89"/>
        <v>0</v>
      </c>
      <c r="J194" s="302">
        <f t="shared" si="89"/>
        <v>0</v>
      </c>
      <c r="K194" s="302">
        <f t="shared" si="89"/>
        <v>0</v>
      </c>
      <c r="L194" s="302">
        <f t="shared" si="89"/>
        <v>0</v>
      </c>
      <c r="M194" s="302">
        <f t="shared" si="89"/>
        <v>0</v>
      </c>
      <c r="N194" s="302">
        <f t="shared" si="89"/>
        <v>0</v>
      </c>
      <c r="O194" s="302">
        <f t="shared" si="89"/>
        <v>0</v>
      </c>
      <c r="P194" s="302">
        <f t="shared" si="89"/>
        <v>0</v>
      </c>
      <c r="Q194" s="302">
        <f t="shared" si="89"/>
        <v>0</v>
      </c>
      <c r="R194" s="302">
        <f t="shared" si="89"/>
        <v>0</v>
      </c>
      <c r="S194" s="302">
        <f t="shared" si="89"/>
        <v>0</v>
      </c>
      <c r="T194" s="302">
        <f t="shared" si="89"/>
        <v>0</v>
      </c>
      <c r="U194" s="302">
        <f t="shared" si="89"/>
        <v>0</v>
      </c>
      <c r="V194" s="302">
        <f t="shared" si="89"/>
        <v>0</v>
      </c>
      <c r="W194" s="302">
        <f t="shared" si="89"/>
        <v>0</v>
      </c>
      <c r="X194" s="302">
        <f t="shared" si="89"/>
        <v>0</v>
      </c>
      <c r="Y194" s="302">
        <f t="shared" si="89"/>
        <v>0</v>
      </c>
      <c r="Z194" s="302">
        <f t="shared" si="89"/>
        <v>0</v>
      </c>
      <c r="AA194" s="302">
        <f t="shared" si="89"/>
        <v>0</v>
      </c>
      <c r="AB194" s="302">
        <f t="shared" si="89"/>
        <v>0</v>
      </c>
      <c r="AC194" s="302">
        <f t="shared" si="89"/>
        <v>0</v>
      </c>
      <c r="AD194" s="302">
        <f t="shared" si="89"/>
        <v>0</v>
      </c>
      <c r="AE194" s="302">
        <f t="shared" si="89"/>
        <v>0</v>
      </c>
      <c r="AF194" s="302">
        <f t="shared" si="89"/>
        <v>0</v>
      </c>
      <c r="AG194" s="302">
        <f t="shared" si="89"/>
        <v>0</v>
      </c>
      <c r="AH194" s="303">
        <f t="shared" si="89"/>
        <v>0</v>
      </c>
    </row>
    <row r="195" spans="1:35" x14ac:dyDescent="0.25">
      <c r="A195" s="19"/>
      <c r="B195" s="172" t="str">
        <f>インプット!B102</f>
        <v>＜名称を入力＞</v>
      </c>
      <c r="C195" s="173"/>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c r="AA195" s="296"/>
      <c r="AB195" s="296"/>
      <c r="AC195" s="296"/>
      <c r="AD195" s="296"/>
      <c r="AE195" s="296"/>
      <c r="AF195" s="296"/>
      <c r="AG195" s="296"/>
      <c r="AH195" s="298"/>
    </row>
    <row r="196" spans="1:35" x14ac:dyDescent="0.25">
      <c r="A196" s="19"/>
      <c r="B196" s="182" t="s">
        <v>154</v>
      </c>
      <c r="C196" s="266" t="s">
        <v>37</v>
      </c>
      <c r="D196" s="36"/>
      <c r="E196" s="287">
        <f>IF(E$186&lt;=インプット!$E103,-$D198/インプット!$E103,0)</f>
        <v>0</v>
      </c>
      <c r="F196" s="287">
        <f>IF(F$186&lt;=インプット!$E103,-$D198/インプット!$E103,0)</f>
        <v>0</v>
      </c>
      <c r="G196" s="287">
        <f>IF(G$186&lt;=インプット!$E103,-$D198/インプット!$E103,0)</f>
        <v>0</v>
      </c>
      <c r="H196" s="287">
        <f>IF(H$186&lt;=インプット!$E103,-$D198/インプット!$E103,0)</f>
        <v>0</v>
      </c>
      <c r="I196" s="287">
        <f>IF(I$186&lt;=インプット!$E103,-$D198/インプット!$E103,0)</f>
        <v>0</v>
      </c>
      <c r="J196" s="287">
        <f>IF(J$186&lt;=インプット!$E103,-$D198/インプット!$E103,0)</f>
        <v>0</v>
      </c>
      <c r="K196" s="287">
        <f>IF(K$186&lt;=インプット!$E103,-$D198/インプット!$E103,0)</f>
        <v>0</v>
      </c>
      <c r="L196" s="287">
        <f>IF(L$186&lt;=インプット!$E103,-$D198/インプット!$E103,0)</f>
        <v>0</v>
      </c>
      <c r="M196" s="287">
        <f>IF(M$186&lt;=インプット!$E103,-$D198/インプット!$E103,0)</f>
        <v>0</v>
      </c>
      <c r="N196" s="287">
        <f>IF(N$186&lt;=インプット!$E103,-$D198/インプット!$E103,0)</f>
        <v>0</v>
      </c>
      <c r="O196" s="287">
        <f>IF(O$186&lt;=インプット!$E103,-$D198/インプット!$E103,0)</f>
        <v>0</v>
      </c>
      <c r="P196" s="287">
        <f>IF(P$186&lt;=インプット!$E103,-$D198/インプット!$E103,0)</f>
        <v>0</v>
      </c>
      <c r="Q196" s="287">
        <f>IF(Q$186&lt;=インプット!$E103,-$D198/インプット!$E103,0)</f>
        <v>0</v>
      </c>
      <c r="R196" s="287">
        <f>IF(R$186&lt;=インプット!$E103,-$D198/インプット!$E103,0)</f>
        <v>0</v>
      </c>
      <c r="S196" s="287">
        <f>IF(S$186&lt;=インプット!$E103,-$D198/インプット!$E103,0)</f>
        <v>0</v>
      </c>
      <c r="T196" s="287">
        <f>IF(T$186&lt;=インプット!$E103,-$D198/インプット!$E103,0)</f>
        <v>0</v>
      </c>
      <c r="U196" s="287">
        <f>IF(U$186&lt;=インプット!$E103,-$D198/インプット!$E103,0)</f>
        <v>0</v>
      </c>
      <c r="V196" s="287">
        <f>IF(V$186&lt;=インプット!$E103,-$D198/インプット!$E103,0)</f>
        <v>0</v>
      </c>
      <c r="W196" s="287">
        <f>IF(W$186&lt;=インプット!$E103,-$D198/インプット!$E103,0)</f>
        <v>0</v>
      </c>
      <c r="X196" s="287">
        <f>IF(X$186&lt;=インプット!$E103,-$D198/インプット!$E103,0)</f>
        <v>0</v>
      </c>
      <c r="Y196" s="287">
        <f>IF(Y$186&lt;=インプット!$E103,-$D198/インプット!$E103,0)</f>
        <v>0</v>
      </c>
      <c r="Z196" s="287">
        <f>IF(Z$186&lt;=インプット!$E103,-$D198/インプット!$E103,0)</f>
        <v>0</v>
      </c>
      <c r="AA196" s="287">
        <f>IF(AA$186&lt;=インプット!$E103,-$D198/インプット!$E103,0)</f>
        <v>0</v>
      </c>
      <c r="AB196" s="287">
        <f>IF(AB$186&lt;=インプット!$E103,-$D198/インプット!$E103,0)</f>
        <v>0</v>
      </c>
      <c r="AC196" s="287">
        <f>IF(AC$186&lt;=インプット!$E103,-$D198/インプット!$E103,0)</f>
        <v>0</v>
      </c>
      <c r="AD196" s="287">
        <f>IF(AD$186&lt;=インプット!$E103,-$D198/インプット!$E103,0)</f>
        <v>0</v>
      </c>
      <c r="AE196" s="287">
        <f>IF(AE$186&lt;=インプット!$E103,-$D198/インプット!$E103,0)</f>
        <v>0</v>
      </c>
      <c r="AF196" s="287">
        <f>IF(AF$186&lt;=インプット!$E103,-$D198/インプット!$E103,0)</f>
        <v>0</v>
      </c>
      <c r="AG196" s="287">
        <f>IF(AG$186&lt;=インプット!$E103,-$D198/インプット!$E103,0)</f>
        <v>0</v>
      </c>
      <c r="AH196" s="290">
        <f>IF(AH$186&lt;=インプット!$E103,-$D198/インプット!$E103,0)</f>
        <v>0</v>
      </c>
    </row>
    <row r="197" spans="1:35" x14ac:dyDescent="0.25">
      <c r="A197" s="19"/>
      <c r="B197" s="308" t="s">
        <v>155</v>
      </c>
      <c r="C197" s="266" t="s">
        <v>37</v>
      </c>
      <c r="D197" s="309"/>
      <c r="E197" s="310">
        <f>-D198*インプット!$E104</f>
        <v>0</v>
      </c>
      <c r="F197" s="310">
        <f>-E198*インプット!$E104</f>
        <v>0</v>
      </c>
      <c r="G197" s="310">
        <f>-F198*インプット!$E104</f>
        <v>0</v>
      </c>
      <c r="H197" s="310">
        <f>-G198*インプット!$E104</f>
        <v>0</v>
      </c>
      <c r="I197" s="310">
        <f>-H198*インプット!$E104</f>
        <v>0</v>
      </c>
      <c r="J197" s="310">
        <f>-I198*インプット!$E104</f>
        <v>0</v>
      </c>
      <c r="K197" s="310">
        <f>-J198*インプット!$E104</f>
        <v>0</v>
      </c>
      <c r="L197" s="310">
        <f>-K198*インプット!$E104</f>
        <v>0</v>
      </c>
      <c r="M197" s="310">
        <f>-L198*インプット!$E104</f>
        <v>0</v>
      </c>
      <c r="N197" s="310">
        <f>-M198*インプット!$E104</f>
        <v>0</v>
      </c>
      <c r="O197" s="310">
        <f>-N198*インプット!$E104</f>
        <v>0</v>
      </c>
      <c r="P197" s="310">
        <f>-O198*インプット!$E104</f>
        <v>0</v>
      </c>
      <c r="Q197" s="310">
        <f>-P198*インプット!$E104</f>
        <v>0</v>
      </c>
      <c r="R197" s="310">
        <f>-Q198*インプット!$E104</f>
        <v>0</v>
      </c>
      <c r="S197" s="310">
        <f>-R198*インプット!$E104</f>
        <v>0</v>
      </c>
      <c r="T197" s="310">
        <f>-S198*インプット!$E104</f>
        <v>0</v>
      </c>
      <c r="U197" s="310">
        <f>-T198*インプット!$E104</f>
        <v>0</v>
      </c>
      <c r="V197" s="310">
        <f>-U198*インプット!$E104</f>
        <v>0</v>
      </c>
      <c r="W197" s="310">
        <f>-V198*インプット!$E104</f>
        <v>0</v>
      </c>
      <c r="X197" s="310">
        <f>-W198*インプット!$E104</f>
        <v>0</v>
      </c>
      <c r="Y197" s="310">
        <f>-X198*インプット!$E104</f>
        <v>0</v>
      </c>
      <c r="Z197" s="310">
        <f>-Y198*インプット!$E104</f>
        <v>0</v>
      </c>
      <c r="AA197" s="310">
        <f>-Z198*インプット!$E104</f>
        <v>0</v>
      </c>
      <c r="AB197" s="310">
        <f>-AA198*インプット!$E104</f>
        <v>0</v>
      </c>
      <c r="AC197" s="310">
        <f>-AB198*インプット!$E104</f>
        <v>0</v>
      </c>
      <c r="AD197" s="310">
        <f>-AC198*インプット!$E104</f>
        <v>0</v>
      </c>
      <c r="AE197" s="310">
        <f>-AD198*インプット!$E104</f>
        <v>0</v>
      </c>
      <c r="AF197" s="310">
        <f>-AE198*インプット!$E104</f>
        <v>0</v>
      </c>
      <c r="AG197" s="310">
        <f>-AF198*インプット!$E104</f>
        <v>0</v>
      </c>
      <c r="AH197" s="311">
        <f>-AG198*インプット!$E104</f>
        <v>0</v>
      </c>
    </row>
    <row r="198" spans="1:35" ht="13" thickBot="1" x14ac:dyDescent="0.3">
      <c r="A198" s="19"/>
      <c r="B198" s="304" t="s">
        <v>152</v>
      </c>
      <c r="C198" s="300" t="s">
        <v>37</v>
      </c>
      <c r="D198" s="305">
        <f>インプット!E102</f>
        <v>0</v>
      </c>
      <c r="E198" s="306">
        <f t="shared" ref="E198:AH198" si="90">D198+E196</f>
        <v>0</v>
      </c>
      <c r="F198" s="306">
        <f t="shared" si="90"/>
        <v>0</v>
      </c>
      <c r="G198" s="306">
        <f t="shared" si="90"/>
        <v>0</v>
      </c>
      <c r="H198" s="306">
        <f t="shared" si="90"/>
        <v>0</v>
      </c>
      <c r="I198" s="306">
        <f t="shared" si="90"/>
        <v>0</v>
      </c>
      <c r="J198" s="306">
        <f t="shared" si="90"/>
        <v>0</v>
      </c>
      <c r="K198" s="306">
        <f t="shared" si="90"/>
        <v>0</v>
      </c>
      <c r="L198" s="306">
        <f t="shared" si="90"/>
        <v>0</v>
      </c>
      <c r="M198" s="306">
        <f t="shared" si="90"/>
        <v>0</v>
      </c>
      <c r="N198" s="306">
        <f t="shared" si="90"/>
        <v>0</v>
      </c>
      <c r="O198" s="306">
        <f t="shared" si="90"/>
        <v>0</v>
      </c>
      <c r="P198" s="306">
        <f t="shared" si="90"/>
        <v>0</v>
      </c>
      <c r="Q198" s="306">
        <f t="shared" si="90"/>
        <v>0</v>
      </c>
      <c r="R198" s="306">
        <f t="shared" si="90"/>
        <v>0</v>
      </c>
      <c r="S198" s="306">
        <f t="shared" si="90"/>
        <v>0</v>
      </c>
      <c r="T198" s="306">
        <f t="shared" si="90"/>
        <v>0</v>
      </c>
      <c r="U198" s="306">
        <f t="shared" si="90"/>
        <v>0</v>
      </c>
      <c r="V198" s="306">
        <f t="shared" si="90"/>
        <v>0</v>
      </c>
      <c r="W198" s="306">
        <f t="shared" si="90"/>
        <v>0</v>
      </c>
      <c r="X198" s="306">
        <f t="shared" si="90"/>
        <v>0</v>
      </c>
      <c r="Y198" s="306">
        <f t="shared" si="90"/>
        <v>0</v>
      </c>
      <c r="Z198" s="306">
        <f t="shared" si="90"/>
        <v>0</v>
      </c>
      <c r="AA198" s="306">
        <f t="shared" si="90"/>
        <v>0</v>
      </c>
      <c r="AB198" s="306">
        <f t="shared" si="90"/>
        <v>0</v>
      </c>
      <c r="AC198" s="306">
        <f t="shared" si="90"/>
        <v>0</v>
      </c>
      <c r="AD198" s="306">
        <f t="shared" si="90"/>
        <v>0</v>
      </c>
      <c r="AE198" s="306">
        <f t="shared" si="90"/>
        <v>0</v>
      </c>
      <c r="AF198" s="306">
        <f t="shared" si="90"/>
        <v>0</v>
      </c>
      <c r="AG198" s="306">
        <f t="shared" si="90"/>
        <v>0</v>
      </c>
      <c r="AH198" s="307">
        <f t="shared" si="90"/>
        <v>0</v>
      </c>
    </row>
    <row r="199" spans="1:35" x14ac:dyDescent="0.25">
      <c r="C199" s="93"/>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I199" s="14"/>
    </row>
    <row r="200" spans="1:35" customFormat="1" ht="15" customHeight="1" thickBot="1" x14ac:dyDescent="0.25"/>
    <row r="201" spans="1:35" ht="13" thickBot="1" x14ac:dyDescent="0.3">
      <c r="A201" s="19"/>
      <c r="B201" s="281" t="s">
        <v>18</v>
      </c>
      <c r="C201" s="280"/>
      <c r="D201" s="26">
        <v>0</v>
      </c>
      <c r="E201" s="26">
        <v>1</v>
      </c>
      <c r="F201" s="26">
        <v>2</v>
      </c>
      <c r="G201" s="26">
        <v>3</v>
      </c>
      <c r="H201" s="26">
        <v>4</v>
      </c>
      <c r="I201" s="26">
        <v>5</v>
      </c>
      <c r="J201" s="26">
        <v>6</v>
      </c>
      <c r="K201" s="26">
        <v>7</v>
      </c>
      <c r="L201" s="26">
        <v>8</v>
      </c>
      <c r="M201" s="26">
        <v>9</v>
      </c>
      <c r="N201" s="26">
        <v>10</v>
      </c>
      <c r="O201" s="26">
        <v>11</v>
      </c>
      <c r="P201" s="26">
        <v>12</v>
      </c>
      <c r="Q201" s="26">
        <v>13</v>
      </c>
      <c r="R201" s="26">
        <v>14</v>
      </c>
      <c r="S201" s="26">
        <v>15</v>
      </c>
      <c r="T201" s="26">
        <v>16</v>
      </c>
      <c r="U201" s="26">
        <v>17</v>
      </c>
      <c r="V201" s="26">
        <v>18</v>
      </c>
      <c r="W201" s="26">
        <v>19</v>
      </c>
      <c r="X201" s="78">
        <v>20</v>
      </c>
      <c r="Y201" s="26">
        <v>21</v>
      </c>
      <c r="Z201" s="26">
        <v>22</v>
      </c>
      <c r="AA201" s="26">
        <v>23</v>
      </c>
      <c r="AB201" s="26">
        <v>24</v>
      </c>
      <c r="AC201" s="26">
        <v>25</v>
      </c>
      <c r="AD201" s="26">
        <v>26</v>
      </c>
      <c r="AE201" s="26">
        <v>27</v>
      </c>
      <c r="AF201" s="26">
        <v>28</v>
      </c>
      <c r="AG201" s="26">
        <v>29</v>
      </c>
      <c r="AH201" s="70">
        <v>30</v>
      </c>
      <c r="AI201" s="27" t="s">
        <v>156</v>
      </c>
    </row>
    <row r="202" spans="1:35" x14ac:dyDescent="0.25">
      <c r="A202" s="19"/>
      <c r="B202" s="193" t="s">
        <v>117</v>
      </c>
      <c r="C202" s="276" t="s">
        <v>70</v>
      </c>
      <c r="D202" s="269"/>
      <c r="E202" s="289">
        <f t="shared" ref="E202:AH202" si="91">E20</f>
        <v>94031128.125</v>
      </c>
      <c r="F202" s="289">
        <f t="shared" si="91"/>
        <v>94031128.125</v>
      </c>
      <c r="G202" s="289">
        <f t="shared" si="91"/>
        <v>94031128.125</v>
      </c>
      <c r="H202" s="289">
        <f t="shared" si="91"/>
        <v>94031128.125</v>
      </c>
      <c r="I202" s="289">
        <f t="shared" si="91"/>
        <v>94031128.125</v>
      </c>
      <c r="J202" s="289">
        <f t="shared" si="91"/>
        <v>94031128.125</v>
      </c>
      <c r="K202" s="289">
        <f t="shared" si="91"/>
        <v>94031128.125</v>
      </c>
      <c r="L202" s="289">
        <f t="shared" si="91"/>
        <v>94031128.125</v>
      </c>
      <c r="M202" s="289">
        <f t="shared" si="91"/>
        <v>94031128.125</v>
      </c>
      <c r="N202" s="289">
        <f t="shared" si="91"/>
        <v>94031128.125</v>
      </c>
      <c r="O202" s="289">
        <f t="shared" si="91"/>
        <v>94031128.125</v>
      </c>
      <c r="P202" s="289">
        <f t="shared" si="91"/>
        <v>94031128.125</v>
      </c>
      <c r="Q202" s="289">
        <f t="shared" si="91"/>
        <v>94031128.125</v>
      </c>
      <c r="R202" s="289">
        <f t="shared" si="91"/>
        <v>94031128.125</v>
      </c>
      <c r="S202" s="289">
        <f t="shared" si="91"/>
        <v>94031128.125</v>
      </c>
      <c r="T202" s="289">
        <f t="shared" si="91"/>
        <v>94031128.125</v>
      </c>
      <c r="U202" s="289">
        <f t="shared" si="91"/>
        <v>94031128.125</v>
      </c>
      <c r="V202" s="289">
        <f t="shared" si="91"/>
        <v>94031128.125</v>
      </c>
      <c r="W202" s="289">
        <f t="shared" si="91"/>
        <v>94031128.125</v>
      </c>
      <c r="X202" s="289">
        <f t="shared" si="91"/>
        <v>94031128.125</v>
      </c>
      <c r="Y202" s="289">
        <f t="shared" si="91"/>
        <v>94031128.125</v>
      </c>
      <c r="Z202" s="289">
        <f t="shared" si="91"/>
        <v>94031128.125</v>
      </c>
      <c r="AA202" s="289">
        <f t="shared" si="91"/>
        <v>94031128.125</v>
      </c>
      <c r="AB202" s="289">
        <f t="shared" si="91"/>
        <v>94031128.125</v>
      </c>
      <c r="AC202" s="289">
        <f t="shared" si="91"/>
        <v>94031128.125</v>
      </c>
      <c r="AD202" s="289">
        <f t="shared" si="91"/>
        <v>94031128.125</v>
      </c>
      <c r="AE202" s="289">
        <f t="shared" si="91"/>
        <v>94031128.125</v>
      </c>
      <c r="AF202" s="289">
        <f t="shared" si="91"/>
        <v>94031128.125</v>
      </c>
      <c r="AG202" s="289">
        <f t="shared" si="91"/>
        <v>94031128.125</v>
      </c>
      <c r="AH202" s="312">
        <f t="shared" si="91"/>
        <v>94031128.125</v>
      </c>
      <c r="AI202" s="318">
        <f>SUM(D202:X202)</f>
        <v>1880622562.5</v>
      </c>
    </row>
    <row r="203" spans="1:35" x14ac:dyDescent="0.25">
      <c r="A203" s="19"/>
      <c r="B203" s="636" t="s">
        <v>448</v>
      </c>
      <c r="C203" s="257"/>
      <c r="D203" s="633"/>
      <c r="E203" s="634">
        <f t="shared" ref="E203:AH203" si="92">E17</f>
        <v>1222404665.625</v>
      </c>
      <c r="F203" s="634">
        <f t="shared" si="92"/>
        <v>1222404665.625</v>
      </c>
      <c r="G203" s="634">
        <f t="shared" si="92"/>
        <v>1222404665.625</v>
      </c>
      <c r="H203" s="634">
        <f t="shared" si="92"/>
        <v>1222404665.625</v>
      </c>
      <c r="I203" s="634">
        <f t="shared" si="92"/>
        <v>1222404665.625</v>
      </c>
      <c r="J203" s="634">
        <f t="shared" si="92"/>
        <v>1222404665.625</v>
      </c>
      <c r="K203" s="634">
        <f t="shared" si="92"/>
        <v>1222404665.625</v>
      </c>
      <c r="L203" s="634">
        <f t="shared" si="92"/>
        <v>1222404665.625</v>
      </c>
      <c r="M203" s="634">
        <f t="shared" si="92"/>
        <v>1222404665.625</v>
      </c>
      <c r="N203" s="634">
        <f t="shared" si="92"/>
        <v>1222404665.625</v>
      </c>
      <c r="O203" s="634">
        <f t="shared" si="92"/>
        <v>1222404665.625</v>
      </c>
      <c r="P203" s="634">
        <f t="shared" si="92"/>
        <v>1222404665.625</v>
      </c>
      <c r="Q203" s="634">
        <f t="shared" si="92"/>
        <v>1222404665.625</v>
      </c>
      <c r="R203" s="634">
        <f t="shared" si="92"/>
        <v>1222404665.625</v>
      </c>
      <c r="S203" s="634">
        <f t="shared" si="92"/>
        <v>1222404665.625</v>
      </c>
      <c r="T203" s="634">
        <f t="shared" si="92"/>
        <v>1222404665.625</v>
      </c>
      <c r="U203" s="634">
        <f t="shared" si="92"/>
        <v>1222404665.625</v>
      </c>
      <c r="V203" s="634">
        <f t="shared" si="92"/>
        <v>1222404665.625</v>
      </c>
      <c r="W203" s="634">
        <f t="shared" si="92"/>
        <v>1222404665.625</v>
      </c>
      <c r="X203" s="634">
        <f t="shared" si="92"/>
        <v>1222404665.625</v>
      </c>
      <c r="Y203" s="634">
        <f t="shared" si="92"/>
        <v>1222404665.625</v>
      </c>
      <c r="Z203" s="634">
        <f t="shared" si="92"/>
        <v>1222404665.625</v>
      </c>
      <c r="AA203" s="634">
        <f t="shared" si="92"/>
        <v>1222404665.625</v>
      </c>
      <c r="AB203" s="634">
        <f t="shared" si="92"/>
        <v>1222404665.625</v>
      </c>
      <c r="AC203" s="634">
        <f t="shared" si="92"/>
        <v>1222404665.625</v>
      </c>
      <c r="AD203" s="634">
        <f t="shared" si="92"/>
        <v>1222404665.625</v>
      </c>
      <c r="AE203" s="634">
        <f t="shared" si="92"/>
        <v>1222404665.625</v>
      </c>
      <c r="AF203" s="634">
        <f t="shared" si="92"/>
        <v>1222404665.625</v>
      </c>
      <c r="AG203" s="634">
        <f t="shared" si="92"/>
        <v>1222404665.625</v>
      </c>
      <c r="AH203" s="635">
        <f t="shared" si="92"/>
        <v>1222404665.625</v>
      </c>
      <c r="AI203" s="359">
        <f t="shared" ref="AI203:AI211" si="93">SUM(D203:X203)</f>
        <v>24448093312.5</v>
      </c>
    </row>
    <row r="204" spans="1:35" x14ac:dyDescent="0.25">
      <c r="A204" s="19"/>
      <c r="B204" s="636" t="s">
        <v>450</v>
      </c>
      <c r="C204" s="257" t="s">
        <v>453</v>
      </c>
      <c r="D204" s="633"/>
      <c r="E204" s="634">
        <f t="shared" ref="E204:AH204" si="94">E25</f>
        <v>52239515.625</v>
      </c>
      <c r="F204" s="634">
        <f t="shared" si="94"/>
        <v>52239515.625</v>
      </c>
      <c r="G204" s="634">
        <f t="shared" si="94"/>
        <v>52239515.625</v>
      </c>
      <c r="H204" s="634">
        <f t="shared" si="94"/>
        <v>52239515.625</v>
      </c>
      <c r="I204" s="634">
        <f t="shared" si="94"/>
        <v>52239515.625</v>
      </c>
      <c r="J204" s="634">
        <f t="shared" si="94"/>
        <v>52239515.625</v>
      </c>
      <c r="K204" s="634">
        <f t="shared" si="94"/>
        <v>52239515.625</v>
      </c>
      <c r="L204" s="634">
        <f t="shared" si="94"/>
        <v>52239515.625</v>
      </c>
      <c r="M204" s="634">
        <f t="shared" si="94"/>
        <v>52239515.625</v>
      </c>
      <c r="N204" s="634">
        <f t="shared" si="94"/>
        <v>52239515.625</v>
      </c>
      <c r="O204" s="634">
        <f t="shared" si="94"/>
        <v>52239515.625</v>
      </c>
      <c r="P204" s="634">
        <f t="shared" si="94"/>
        <v>52239515.625</v>
      </c>
      <c r="Q204" s="634">
        <f t="shared" si="94"/>
        <v>52239515.625</v>
      </c>
      <c r="R204" s="634">
        <f t="shared" si="94"/>
        <v>52239515.625</v>
      </c>
      <c r="S204" s="634">
        <f t="shared" si="94"/>
        <v>52239515.625</v>
      </c>
      <c r="T204" s="634">
        <f t="shared" si="94"/>
        <v>52239515.625</v>
      </c>
      <c r="U204" s="634">
        <f t="shared" si="94"/>
        <v>52239515.625</v>
      </c>
      <c r="V204" s="634">
        <f t="shared" si="94"/>
        <v>52239515.625</v>
      </c>
      <c r="W204" s="634">
        <f t="shared" si="94"/>
        <v>52239515.625</v>
      </c>
      <c r="X204" s="634">
        <f t="shared" si="94"/>
        <v>52239515.625</v>
      </c>
      <c r="Y204" s="634">
        <f t="shared" si="94"/>
        <v>52239515.625</v>
      </c>
      <c r="Z204" s="634">
        <f t="shared" si="94"/>
        <v>52239515.625</v>
      </c>
      <c r="AA204" s="634">
        <f t="shared" si="94"/>
        <v>52239515.625</v>
      </c>
      <c r="AB204" s="634">
        <f t="shared" si="94"/>
        <v>52239515.625</v>
      </c>
      <c r="AC204" s="634">
        <f t="shared" si="94"/>
        <v>52239515.625</v>
      </c>
      <c r="AD204" s="634">
        <f t="shared" si="94"/>
        <v>52239515.625</v>
      </c>
      <c r="AE204" s="634">
        <f t="shared" si="94"/>
        <v>52239515.625</v>
      </c>
      <c r="AF204" s="634">
        <f t="shared" si="94"/>
        <v>52239515.625</v>
      </c>
      <c r="AG204" s="634">
        <f t="shared" si="94"/>
        <v>52239515.625</v>
      </c>
      <c r="AH204" s="635">
        <f t="shared" si="94"/>
        <v>52239515.625</v>
      </c>
      <c r="AI204" s="359">
        <f t="shared" si="93"/>
        <v>1044790312.5</v>
      </c>
    </row>
    <row r="205" spans="1:35" x14ac:dyDescent="0.25">
      <c r="A205" s="19"/>
      <c r="B205" s="636" t="s">
        <v>449</v>
      </c>
      <c r="C205" s="632" t="s">
        <v>452</v>
      </c>
      <c r="D205" s="633"/>
      <c r="E205" s="634">
        <f t="shared" ref="E205:AH205" si="95">E22</f>
        <v>261197578.125</v>
      </c>
      <c r="F205" s="634">
        <f t="shared" si="95"/>
        <v>261197578.125</v>
      </c>
      <c r="G205" s="634">
        <f t="shared" si="95"/>
        <v>261197578.125</v>
      </c>
      <c r="H205" s="634">
        <f t="shared" si="95"/>
        <v>261197578.125</v>
      </c>
      <c r="I205" s="634">
        <f t="shared" si="95"/>
        <v>261197578.125</v>
      </c>
      <c r="J205" s="634">
        <f t="shared" si="95"/>
        <v>261197578.125</v>
      </c>
      <c r="K205" s="634">
        <f t="shared" si="95"/>
        <v>261197578.125</v>
      </c>
      <c r="L205" s="634">
        <f t="shared" si="95"/>
        <v>261197578.125</v>
      </c>
      <c r="M205" s="634">
        <f t="shared" si="95"/>
        <v>261197578.125</v>
      </c>
      <c r="N205" s="634">
        <f t="shared" si="95"/>
        <v>261197578.125</v>
      </c>
      <c r="O205" s="634">
        <f t="shared" si="95"/>
        <v>261197578.125</v>
      </c>
      <c r="P205" s="634">
        <f t="shared" si="95"/>
        <v>261197578.125</v>
      </c>
      <c r="Q205" s="634">
        <f t="shared" si="95"/>
        <v>261197578.125</v>
      </c>
      <c r="R205" s="634">
        <f t="shared" si="95"/>
        <v>261197578.125</v>
      </c>
      <c r="S205" s="634">
        <f t="shared" si="95"/>
        <v>261197578.125</v>
      </c>
      <c r="T205" s="634">
        <f t="shared" si="95"/>
        <v>261197578.125</v>
      </c>
      <c r="U205" s="634">
        <f t="shared" si="95"/>
        <v>261197578.125</v>
      </c>
      <c r="V205" s="634">
        <f t="shared" si="95"/>
        <v>261197578.125</v>
      </c>
      <c r="W205" s="634">
        <f t="shared" si="95"/>
        <v>261197578.125</v>
      </c>
      <c r="X205" s="634">
        <f t="shared" si="95"/>
        <v>261197578.125</v>
      </c>
      <c r="Y205" s="634">
        <f t="shared" si="95"/>
        <v>261197578.125</v>
      </c>
      <c r="Z205" s="634">
        <f t="shared" si="95"/>
        <v>261197578.125</v>
      </c>
      <c r="AA205" s="634">
        <f t="shared" si="95"/>
        <v>261197578.125</v>
      </c>
      <c r="AB205" s="634">
        <f t="shared" si="95"/>
        <v>261197578.125</v>
      </c>
      <c r="AC205" s="634">
        <f t="shared" si="95"/>
        <v>261197578.125</v>
      </c>
      <c r="AD205" s="634">
        <f t="shared" si="95"/>
        <v>261197578.125</v>
      </c>
      <c r="AE205" s="634">
        <f t="shared" si="95"/>
        <v>261197578.125</v>
      </c>
      <c r="AF205" s="634">
        <f t="shared" si="95"/>
        <v>261197578.125</v>
      </c>
      <c r="AG205" s="634">
        <f t="shared" si="95"/>
        <v>261197578.125</v>
      </c>
      <c r="AH205" s="635">
        <f t="shared" si="95"/>
        <v>261197578.125</v>
      </c>
      <c r="AI205" s="359">
        <f t="shared" si="93"/>
        <v>5223951562.5</v>
      </c>
    </row>
    <row r="206" spans="1:35" x14ac:dyDescent="0.25">
      <c r="A206" s="19"/>
      <c r="B206" s="636" t="str">
        <f>インプット!$A$18&amp;インプット!B18&amp;"収益"</f>
        <v>その他収益収益</v>
      </c>
      <c r="C206" s="632" t="s">
        <v>452</v>
      </c>
      <c r="D206" s="633"/>
      <c r="E206" s="634">
        <f t="shared" ref="E206:AH206" si="96">E27</f>
        <v>0</v>
      </c>
      <c r="F206" s="634">
        <f t="shared" si="96"/>
        <v>0</v>
      </c>
      <c r="G206" s="634">
        <f t="shared" si="96"/>
        <v>0</v>
      </c>
      <c r="H206" s="634">
        <f t="shared" si="96"/>
        <v>0</v>
      </c>
      <c r="I206" s="634">
        <f t="shared" si="96"/>
        <v>0</v>
      </c>
      <c r="J206" s="634">
        <f t="shared" si="96"/>
        <v>0</v>
      </c>
      <c r="K206" s="634">
        <f t="shared" si="96"/>
        <v>0</v>
      </c>
      <c r="L206" s="634">
        <f t="shared" si="96"/>
        <v>0</v>
      </c>
      <c r="M206" s="634">
        <f t="shared" si="96"/>
        <v>0</v>
      </c>
      <c r="N206" s="634">
        <f t="shared" si="96"/>
        <v>0</v>
      </c>
      <c r="O206" s="634">
        <f t="shared" si="96"/>
        <v>0</v>
      </c>
      <c r="P206" s="634">
        <f t="shared" si="96"/>
        <v>0</v>
      </c>
      <c r="Q206" s="634">
        <f t="shared" si="96"/>
        <v>0</v>
      </c>
      <c r="R206" s="634">
        <f t="shared" si="96"/>
        <v>0</v>
      </c>
      <c r="S206" s="634">
        <f t="shared" si="96"/>
        <v>0</v>
      </c>
      <c r="T206" s="634">
        <f t="shared" si="96"/>
        <v>0</v>
      </c>
      <c r="U206" s="634">
        <f t="shared" si="96"/>
        <v>0</v>
      </c>
      <c r="V206" s="634">
        <f t="shared" si="96"/>
        <v>0</v>
      </c>
      <c r="W206" s="634">
        <f t="shared" si="96"/>
        <v>0</v>
      </c>
      <c r="X206" s="634">
        <f t="shared" si="96"/>
        <v>0</v>
      </c>
      <c r="Y206" s="634">
        <f t="shared" si="96"/>
        <v>0</v>
      </c>
      <c r="Z206" s="634">
        <f t="shared" si="96"/>
        <v>0</v>
      </c>
      <c r="AA206" s="634">
        <f t="shared" si="96"/>
        <v>0</v>
      </c>
      <c r="AB206" s="634">
        <f t="shared" si="96"/>
        <v>0</v>
      </c>
      <c r="AC206" s="634">
        <f t="shared" si="96"/>
        <v>0</v>
      </c>
      <c r="AD206" s="634">
        <f t="shared" si="96"/>
        <v>0</v>
      </c>
      <c r="AE206" s="634">
        <f t="shared" si="96"/>
        <v>0</v>
      </c>
      <c r="AF206" s="634">
        <f t="shared" si="96"/>
        <v>0</v>
      </c>
      <c r="AG206" s="634">
        <f t="shared" si="96"/>
        <v>0</v>
      </c>
      <c r="AH206" s="635">
        <f t="shared" si="96"/>
        <v>0</v>
      </c>
      <c r="AI206" s="359">
        <f t="shared" si="93"/>
        <v>0</v>
      </c>
    </row>
    <row r="207" spans="1:35" x14ac:dyDescent="0.25">
      <c r="A207" s="19"/>
      <c r="B207" s="636" t="str">
        <f>インプット!A20&amp;インプット!B20&amp;"収益"</f>
        <v>その他収益②収益</v>
      </c>
      <c r="C207" s="632" t="s">
        <v>452</v>
      </c>
      <c r="D207" s="633"/>
      <c r="E207" s="634">
        <f t="shared" ref="E207:AH207" si="97">E30</f>
        <v>0</v>
      </c>
      <c r="F207" s="634">
        <f t="shared" si="97"/>
        <v>0</v>
      </c>
      <c r="G207" s="634">
        <f t="shared" si="97"/>
        <v>0</v>
      </c>
      <c r="H207" s="634">
        <f t="shared" si="97"/>
        <v>0</v>
      </c>
      <c r="I207" s="634">
        <f t="shared" si="97"/>
        <v>0</v>
      </c>
      <c r="J207" s="634">
        <f t="shared" si="97"/>
        <v>0</v>
      </c>
      <c r="K207" s="634">
        <f t="shared" si="97"/>
        <v>0</v>
      </c>
      <c r="L207" s="634">
        <f t="shared" si="97"/>
        <v>0</v>
      </c>
      <c r="M207" s="634">
        <f t="shared" si="97"/>
        <v>0</v>
      </c>
      <c r="N207" s="634">
        <f t="shared" si="97"/>
        <v>0</v>
      </c>
      <c r="O207" s="634">
        <f t="shared" si="97"/>
        <v>0</v>
      </c>
      <c r="P207" s="634">
        <f t="shared" si="97"/>
        <v>0</v>
      </c>
      <c r="Q207" s="634">
        <f t="shared" si="97"/>
        <v>0</v>
      </c>
      <c r="R207" s="634">
        <f t="shared" si="97"/>
        <v>0</v>
      </c>
      <c r="S207" s="634">
        <f t="shared" si="97"/>
        <v>0</v>
      </c>
      <c r="T207" s="634">
        <f t="shared" si="97"/>
        <v>0</v>
      </c>
      <c r="U207" s="634">
        <f t="shared" si="97"/>
        <v>0</v>
      </c>
      <c r="V207" s="634">
        <f t="shared" si="97"/>
        <v>0</v>
      </c>
      <c r="W207" s="634">
        <f t="shared" si="97"/>
        <v>0</v>
      </c>
      <c r="X207" s="634">
        <f t="shared" si="97"/>
        <v>0</v>
      </c>
      <c r="Y207" s="634">
        <f t="shared" si="97"/>
        <v>0</v>
      </c>
      <c r="Z207" s="634">
        <f t="shared" si="97"/>
        <v>0</v>
      </c>
      <c r="AA207" s="634">
        <f t="shared" si="97"/>
        <v>0</v>
      </c>
      <c r="AB207" s="634">
        <f t="shared" si="97"/>
        <v>0</v>
      </c>
      <c r="AC207" s="634">
        <f t="shared" si="97"/>
        <v>0</v>
      </c>
      <c r="AD207" s="634">
        <f t="shared" si="97"/>
        <v>0</v>
      </c>
      <c r="AE207" s="634">
        <f t="shared" si="97"/>
        <v>0</v>
      </c>
      <c r="AF207" s="634">
        <f t="shared" si="97"/>
        <v>0</v>
      </c>
      <c r="AG207" s="634">
        <f t="shared" si="97"/>
        <v>0</v>
      </c>
      <c r="AH207" s="635">
        <f t="shared" si="97"/>
        <v>0</v>
      </c>
      <c r="AI207" s="359">
        <f t="shared" si="93"/>
        <v>0</v>
      </c>
    </row>
    <row r="208" spans="1:35" x14ac:dyDescent="0.25">
      <c r="A208" s="19"/>
      <c r="B208" s="636" t="str">
        <f>インプット!A22&amp;インプット!B22&amp;"収益"</f>
        <v>その他収益③収益</v>
      </c>
      <c r="C208" s="632" t="s">
        <v>452</v>
      </c>
      <c r="D208" s="633"/>
      <c r="E208" s="634">
        <f t="shared" ref="E208:AH208" si="98">E33</f>
        <v>0</v>
      </c>
      <c r="F208" s="634">
        <f t="shared" si="98"/>
        <v>0</v>
      </c>
      <c r="G208" s="634">
        <f t="shared" si="98"/>
        <v>0</v>
      </c>
      <c r="H208" s="634">
        <f t="shared" si="98"/>
        <v>0</v>
      </c>
      <c r="I208" s="634">
        <f t="shared" si="98"/>
        <v>0</v>
      </c>
      <c r="J208" s="634">
        <f t="shared" si="98"/>
        <v>0</v>
      </c>
      <c r="K208" s="634">
        <f t="shared" si="98"/>
        <v>0</v>
      </c>
      <c r="L208" s="634">
        <f t="shared" si="98"/>
        <v>0</v>
      </c>
      <c r="M208" s="634">
        <f t="shared" si="98"/>
        <v>0</v>
      </c>
      <c r="N208" s="634">
        <f t="shared" si="98"/>
        <v>0</v>
      </c>
      <c r="O208" s="634">
        <f t="shared" si="98"/>
        <v>0</v>
      </c>
      <c r="P208" s="634">
        <f t="shared" si="98"/>
        <v>0</v>
      </c>
      <c r="Q208" s="634">
        <f t="shared" si="98"/>
        <v>0</v>
      </c>
      <c r="R208" s="634">
        <f t="shared" si="98"/>
        <v>0</v>
      </c>
      <c r="S208" s="634">
        <f t="shared" si="98"/>
        <v>0</v>
      </c>
      <c r="T208" s="634">
        <f t="shared" si="98"/>
        <v>0</v>
      </c>
      <c r="U208" s="634">
        <f t="shared" si="98"/>
        <v>0</v>
      </c>
      <c r="V208" s="634">
        <f t="shared" si="98"/>
        <v>0</v>
      </c>
      <c r="W208" s="634">
        <f t="shared" si="98"/>
        <v>0</v>
      </c>
      <c r="X208" s="634">
        <f t="shared" si="98"/>
        <v>0</v>
      </c>
      <c r="Y208" s="634">
        <f t="shared" si="98"/>
        <v>0</v>
      </c>
      <c r="Z208" s="634">
        <f t="shared" si="98"/>
        <v>0</v>
      </c>
      <c r="AA208" s="634">
        <f t="shared" si="98"/>
        <v>0</v>
      </c>
      <c r="AB208" s="634">
        <f t="shared" si="98"/>
        <v>0</v>
      </c>
      <c r="AC208" s="634">
        <f t="shared" si="98"/>
        <v>0</v>
      </c>
      <c r="AD208" s="634">
        <f t="shared" si="98"/>
        <v>0</v>
      </c>
      <c r="AE208" s="634">
        <f t="shared" si="98"/>
        <v>0</v>
      </c>
      <c r="AF208" s="634">
        <f t="shared" si="98"/>
        <v>0</v>
      </c>
      <c r="AG208" s="634">
        <f t="shared" si="98"/>
        <v>0</v>
      </c>
      <c r="AH208" s="635">
        <f t="shared" si="98"/>
        <v>0</v>
      </c>
      <c r="AI208" s="359">
        <f t="shared" si="93"/>
        <v>0</v>
      </c>
    </row>
    <row r="209" spans="1:35" x14ac:dyDescent="0.25">
      <c r="A209" s="19"/>
      <c r="B209" s="636" t="str">
        <f>インプット!A24&amp;インプット!B24&amp;"収益"</f>
        <v>その他収益④収益</v>
      </c>
      <c r="C209" s="632" t="s">
        <v>452</v>
      </c>
      <c r="D209" s="633"/>
      <c r="E209" s="634">
        <f t="shared" ref="E209:AH209" si="99">E36</f>
        <v>0</v>
      </c>
      <c r="F209" s="634">
        <f t="shared" si="99"/>
        <v>0</v>
      </c>
      <c r="G209" s="634">
        <f t="shared" si="99"/>
        <v>0</v>
      </c>
      <c r="H209" s="634">
        <f t="shared" si="99"/>
        <v>0</v>
      </c>
      <c r="I209" s="634">
        <f t="shared" si="99"/>
        <v>0</v>
      </c>
      <c r="J209" s="634">
        <f t="shared" si="99"/>
        <v>0</v>
      </c>
      <c r="K209" s="634">
        <f t="shared" si="99"/>
        <v>0</v>
      </c>
      <c r="L209" s="634">
        <f t="shared" si="99"/>
        <v>0</v>
      </c>
      <c r="M209" s="634">
        <f t="shared" si="99"/>
        <v>0</v>
      </c>
      <c r="N209" s="634">
        <f t="shared" si="99"/>
        <v>0</v>
      </c>
      <c r="O209" s="634">
        <f t="shared" si="99"/>
        <v>0</v>
      </c>
      <c r="P209" s="634">
        <f t="shared" si="99"/>
        <v>0</v>
      </c>
      <c r="Q209" s="634">
        <f t="shared" si="99"/>
        <v>0</v>
      </c>
      <c r="R209" s="634">
        <f t="shared" si="99"/>
        <v>0</v>
      </c>
      <c r="S209" s="634">
        <f t="shared" si="99"/>
        <v>0</v>
      </c>
      <c r="T209" s="634">
        <f t="shared" si="99"/>
        <v>0</v>
      </c>
      <c r="U209" s="634">
        <f t="shared" si="99"/>
        <v>0</v>
      </c>
      <c r="V209" s="634">
        <f t="shared" si="99"/>
        <v>0</v>
      </c>
      <c r="W209" s="634">
        <f t="shared" si="99"/>
        <v>0</v>
      </c>
      <c r="X209" s="634">
        <f t="shared" si="99"/>
        <v>0</v>
      </c>
      <c r="Y209" s="634">
        <f t="shared" si="99"/>
        <v>0</v>
      </c>
      <c r="Z209" s="634">
        <f t="shared" si="99"/>
        <v>0</v>
      </c>
      <c r="AA209" s="634">
        <f t="shared" si="99"/>
        <v>0</v>
      </c>
      <c r="AB209" s="634">
        <f t="shared" si="99"/>
        <v>0</v>
      </c>
      <c r="AC209" s="634">
        <f t="shared" si="99"/>
        <v>0</v>
      </c>
      <c r="AD209" s="634">
        <f t="shared" si="99"/>
        <v>0</v>
      </c>
      <c r="AE209" s="634">
        <f t="shared" si="99"/>
        <v>0</v>
      </c>
      <c r="AF209" s="634">
        <f t="shared" si="99"/>
        <v>0</v>
      </c>
      <c r="AG209" s="634">
        <f t="shared" si="99"/>
        <v>0</v>
      </c>
      <c r="AH209" s="635">
        <f t="shared" si="99"/>
        <v>0</v>
      </c>
      <c r="AI209" s="359">
        <f t="shared" si="93"/>
        <v>0</v>
      </c>
    </row>
    <row r="210" spans="1:35" x14ac:dyDescent="0.25">
      <c r="A210" s="19"/>
      <c r="B210" s="636" t="str">
        <f>インプット!A26&amp;インプット!B26&amp;"収益"</f>
        <v>その他収益⑤収益</v>
      </c>
      <c r="C210" s="632" t="s">
        <v>452</v>
      </c>
      <c r="D210" s="633"/>
      <c r="E210" s="634">
        <f t="shared" ref="E210:AH210" si="100">E39</f>
        <v>0</v>
      </c>
      <c r="F210" s="634">
        <f t="shared" si="100"/>
        <v>0</v>
      </c>
      <c r="G210" s="634">
        <f t="shared" si="100"/>
        <v>0</v>
      </c>
      <c r="H210" s="634">
        <f t="shared" si="100"/>
        <v>0</v>
      </c>
      <c r="I210" s="634">
        <f t="shared" si="100"/>
        <v>0</v>
      </c>
      <c r="J210" s="634">
        <f t="shared" si="100"/>
        <v>0</v>
      </c>
      <c r="K210" s="634">
        <f t="shared" si="100"/>
        <v>0</v>
      </c>
      <c r="L210" s="634">
        <f t="shared" si="100"/>
        <v>0</v>
      </c>
      <c r="M210" s="634">
        <f t="shared" si="100"/>
        <v>0</v>
      </c>
      <c r="N210" s="634">
        <f t="shared" si="100"/>
        <v>0</v>
      </c>
      <c r="O210" s="634">
        <f t="shared" si="100"/>
        <v>0</v>
      </c>
      <c r="P210" s="634">
        <f t="shared" si="100"/>
        <v>0</v>
      </c>
      <c r="Q210" s="634">
        <f t="shared" si="100"/>
        <v>0</v>
      </c>
      <c r="R210" s="634">
        <f t="shared" si="100"/>
        <v>0</v>
      </c>
      <c r="S210" s="634">
        <f t="shared" si="100"/>
        <v>0</v>
      </c>
      <c r="T210" s="634">
        <f t="shared" si="100"/>
        <v>0</v>
      </c>
      <c r="U210" s="634">
        <f t="shared" si="100"/>
        <v>0</v>
      </c>
      <c r="V210" s="634">
        <f t="shared" si="100"/>
        <v>0</v>
      </c>
      <c r="W210" s="634">
        <f t="shared" si="100"/>
        <v>0</v>
      </c>
      <c r="X210" s="634">
        <f t="shared" si="100"/>
        <v>0</v>
      </c>
      <c r="Y210" s="634">
        <f t="shared" si="100"/>
        <v>0</v>
      </c>
      <c r="Z210" s="634">
        <f t="shared" si="100"/>
        <v>0</v>
      </c>
      <c r="AA210" s="634">
        <f t="shared" si="100"/>
        <v>0</v>
      </c>
      <c r="AB210" s="634">
        <f t="shared" si="100"/>
        <v>0</v>
      </c>
      <c r="AC210" s="634">
        <f t="shared" si="100"/>
        <v>0</v>
      </c>
      <c r="AD210" s="634">
        <f t="shared" si="100"/>
        <v>0</v>
      </c>
      <c r="AE210" s="634">
        <f t="shared" si="100"/>
        <v>0</v>
      </c>
      <c r="AF210" s="634">
        <f t="shared" si="100"/>
        <v>0</v>
      </c>
      <c r="AG210" s="634">
        <f t="shared" si="100"/>
        <v>0</v>
      </c>
      <c r="AH210" s="635">
        <f t="shared" si="100"/>
        <v>0</v>
      </c>
      <c r="AI210" s="359">
        <f t="shared" si="93"/>
        <v>0</v>
      </c>
    </row>
    <row r="211" spans="1:35" x14ac:dyDescent="0.25">
      <c r="A211" s="19"/>
      <c r="B211" s="636" t="s">
        <v>451</v>
      </c>
      <c r="C211" s="632" t="s">
        <v>452</v>
      </c>
      <c r="D211" s="633">
        <f>D120</f>
        <v>0</v>
      </c>
      <c r="E211" s="633">
        <f>E120</f>
        <v>0</v>
      </c>
      <c r="F211" s="634">
        <f t="shared" ref="F211:AH211" si="101">F120</f>
        <v>0</v>
      </c>
      <c r="G211" s="634">
        <f t="shared" si="101"/>
        <v>0</v>
      </c>
      <c r="H211" s="634">
        <f t="shared" si="101"/>
        <v>0</v>
      </c>
      <c r="I211" s="634">
        <f t="shared" si="101"/>
        <v>0</v>
      </c>
      <c r="J211" s="634">
        <f t="shared" si="101"/>
        <v>0</v>
      </c>
      <c r="K211" s="634">
        <f t="shared" si="101"/>
        <v>0</v>
      </c>
      <c r="L211" s="634">
        <f t="shared" si="101"/>
        <v>0</v>
      </c>
      <c r="M211" s="634">
        <f t="shared" si="101"/>
        <v>0</v>
      </c>
      <c r="N211" s="634">
        <f t="shared" si="101"/>
        <v>0</v>
      </c>
      <c r="O211" s="634">
        <f t="shared" si="101"/>
        <v>0</v>
      </c>
      <c r="P211" s="634">
        <f t="shared" si="101"/>
        <v>0</v>
      </c>
      <c r="Q211" s="634">
        <f t="shared" si="101"/>
        <v>0</v>
      </c>
      <c r="R211" s="634">
        <f t="shared" si="101"/>
        <v>0</v>
      </c>
      <c r="S211" s="634">
        <f t="shared" si="101"/>
        <v>0</v>
      </c>
      <c r="T211" s="634">
        <f t="shared" si="101"/>
        <v>0</v>
      </c>
      <c r="U211" s="634">
        <f t="shared" si="101"/>
        <v>0</v>
      </c>
      <c r="V211" s="634">
        <f t="shared" si="101"/>
        <v>0</v>
      </c>
      <c r="W211" s="634">
        <f t="shared" si="101"/>
        <v>0</v>
      </c>
      <c r="X211" s="634">
        <f t="shared" si="101"/>
        <v>0</v>
      </c>
      <c r="Y211" s="634">
        <f t="shared" si="101"/>
        <v>0</v>
      </c>
      <c r="Z211" s="634">
        <f t="shared" si="101"/>
        <v>0</v>
      </c>
      <c r="AA211" s="634">
        <f t="shared" si="101"/>
        <v>0</v>
      </c>
      <c r="AB211" s="634">
        <f t="shared" si="101"/>
        <v>0</v>
      </c>
      <c r="AC211" s="634">
        <f t="shared" si="101"/>
        <v>0</v>
      </c>
      <c r="AD211" s="634">
        <f t="shared" si="101"/>
        <v>0</v>
      </c>
      <c r="AE211" s="634">
        <f t="shared" si="101"/>
        <v>0</v>
      </c>
      <c r="AF211" s="634">
        <f t="shared" si="101"/>
        <v>0</v>
      </c>
      <c r="AG211" s="634">
        <f t="shared" si="101"/>
        <v>0</v>
      </c>
      <c r="AH211" s="635">
        <f t="shared" si="101"/>
        <v>0</v>
      </c>
      <c r="AI211" s="359">
        <f t="shared" si="93"/>
        <v>0</v>
      </c>
    </row>
    <row r="212" spans="1:35" ht="13" thickBot="1" x14ac:dyDescent="0.3">
      <c r="A212" s="19"/>
      <c r="B212" s="263" t="s">
        <v>118</v>
      </c>
      <c r="C212" s="264" t="s">
        <v>70</v>
      </c>
      <c r="D212" s="270"/>
      <c r="E212" s="282">
        <f>E202+E204</f>
        <v>146270643.75</v>
      </c>
      <c r="F212" s="282">
        <f t="shared" ref="F212:AH212" si="102">F202+F204</f>
        <v>146270643.75</v>
      </c>
      <c r="G212" s="282">
        <f t="shared" si="102"/>
        <v>146270643.75</v>
      </c>
      <c r="H212" s="282">
        <f t="shared" si="102"/>
        <v>146270643.75</v>
      </c>
      <c r="I212" s="282">
        <f t="shared" si="102"/>
        <v>146270643.75</v>
      </c>
      <c r="J212" s="282">
        <f t="shared" si="102"/>
        <v>146270643.75</v>
      </c>
      <c r="K212" s="282">
        <f t="shared" si="102"/>
        <v>146270643.75</v>
      </c>
      <c r="L212" s="282">
        <f t="shared" si="102"/>
        <v>146270643.75</v>
      </c>
      <c r="M212" s="282">
        <f t="shared" si="102"/>
        <v>146270643.75</v>
      </c>
      <c r="N212" s="282">
        <f t="shared" si="102"/>
        <v>146270643.75</v>
      </c>
      <c r="O212" s="282">
        <f t="shared" si="102"/>
        <v>146270643.75</v>
      </c>
      <c r="P212" s="282">
        <f t="shared" si="102"/>
        <v>146270643.75</v>
      </c>
      <c r="Q212" s="282">
        <f t="shared" si="102"/>
        <v>146270643.75</v>
      </c>
      <c r="R212" s="282">
        <f t="shared" si="102"/>
        <v>146270643.75</v>
      </c>
      <c r="S212" s="282">
        <f t="shared" si="102"/>
        <v>146270643.75</v>
      </c>
      <c r="T212" s="282">
        <f t="shared" si="102"/>
        <v>146270643.75</v>
      </c>
      <c r="U212" s="282">
        <f t="shared" si="102"/>
        <v>146270643.75</v>
      </c>
      <c r="V212" s="282">
        <f t="shared" si="102"/>
        <v>146270643.75</v>
      </c>
      <c r="W212" s="282">
        <f t="shared" si="102"/>
        <v>146270643.75</v>
      </c>
      <c r="X212" s="282">
        <f t="shared" si="102"/>
        <v>146270643.75</v>
      </c>
      <c r="Y212" s="282">
        <f t="shared" si="102"/>
        <v>146270643.75</v>
      </c>
      <c r="Z212" s="282">
        <f t="shared" si="102"/>
        <v>146270643.75</v>
      </c>
      <c r="AA212" s="282">
        <f t="shared" si="102"/>
        <v>146270643.75</v>
      </c>
      <c r="AB212" s="282">
        <f t="shared" si="102"/>
        <v>146270643.75</v>
      </c>
      <c r="AC212" s="282">
        <f t="shared" si="102"/>
        <v>146270643.75</v>
      </c>
      <c r="AD212" s="282">
        <f t="shared" si="102"/>
        <v>146270643.75</v>
      </c>
      <c r="AE212" s="282">
        <f t="shared" si="102"/>
        <v>146270643.75</v>
      </c>
      <c r="AF212" s="282">
        <f t="shared" si="102"/>
        <v>146270643.75</v>
      </c>
      <c r="AG212" s="282">
        <f t="shared" si="102"/>
        <v>146270643.75</v>
      </c>
      <c r="AH212" s="314">
        <f t="shared" si="102"/>
        <v>146270643.75</v>
      </c>
      <c r="AI212" s="319">
        <f>SUM(E212:X212)</f>
        <v>2925412875</v>
      </c>
    </row>
    <row r="213" spans="1:35" ht="13" thickBot="1" x14ac:dyDescent="0.3">
      <c r="A213" s="19"/>
      <c r="B213" s="291" t="s">
        <v>121</v>
      </c>
      <c r="C213" s="280"/>
      <c r="D213" s="26">
        <v>0</v>
      </c>
      <c r="E213" s="26">
        <v>1</v>
      </c>
      <c r="F213" s="26">
        <v>2</v>
      </c>
      <c r="G213" s="26">
        <v>3</v>
      </c>
      <c r="H213" s="26">
        <v>4</v>
      </c>
      <c r="I213" s="26">
        <v>5</v>
      </c>
      <c r="J213" s="26">
        <v>6</v>
      </c>
      <c r="K213" s="26">
        <v>7</v>
      </c>
      <c r="L213" s="26">
        <v>8</v>
      </c>
      <c r="M213" s="26">
        <v>9</v>
      </c>
      <c r="N213" s="26">
        <v>10</v>
      </c>
      <c r="O213" s="26">
        <v>11</v>
      </c>
      <c r="P213" s="26">
        <v>12</v>
      </c>
      <c r="Q213" s="26">
        <v>13</v>
      </c>
      <c r="R213" s="26">
        <v>14</v>
      </c>
      <c r="S213" s="26">
        <v>15</v>
      </c>
      <c r="T213" s="26">
        <v>16</v>
      </c>
      <c r="U213" s="26">
        <v>17</v>
      </c>
      <c r="V213" s="26">
        <v>18</v>
      </c>
      <c r="W213" s="26">
        <v>19</v>
      </c>
      <c r="X213" s="78">
        <v>20</v>
      </c>
      <c r="Y213" s="26">
        <v>21</v>
      </c>
      <c r="Z213" s="26">
        <v>22</v>
      </c>
      <c r="AA213" s="26">
        <v>23</v>
      </c>
      <c r="AB213" s="26">
        <v>24</v>
      </c>
      <c r="AC213" s="26">
        <v>25</v>
      </c>
      <c r="AD213" s="26">
        <v>26</v>
      </c>
      <c r="AE213" s="26">
        <v>27</v>
      </c>
      <c r="AF213" s="26">
        <v>28</v>
      </c>
      <c r="AG213" s="26">
        <v>29</v>
      </c>
      <c r="AH213" s="70">
        <v>30</v>
      </c>
      <c r="AI213" s="27" t="s">
        <v>156</v>
      </c>
    </row>
    <row r="214" spans="1:35" x14ac:dyDescent="0.25">
      <c r="A214" s="19"/>
      <c r="B214" s="193" t="s">
        <v>119</v>
      </c>
      <c r="C214" s="283" t="s">
        <v>37</v>
      </c>
      <c r="D214" s="271"/>
      <c r="E214" s="289">
        <f t="shared" ref="E214:AH214" si="103">E44</f>
        <v>495000000</v>
      </c>
      <c r="F214" s="289">
        <f t="shared" si="103"/>
        <v>495000000</v>
      </c>
      <c r="G214" s="289">
        <f t="shared" si="103"/>
        <v>495000000</v>
      </c>
      <c r="H214" s="289">
        <f t="shared" si="103"/>
        <v>495000000</v>
      </c>
      <c r="I214" s="289">
        <f t="shared" si="103"/>
        <v>495000000</v>
      </c>
      <c r="J214" s="289">
        <f t="shared" si="103"/>
        <v>495000000</v>
      </c>
      <c r="K214" s="289">
        <f t="shared" si="103"/>
        <v>495000000</v>
      </c>
      <c r="L214" s="289">
        <f t="shared" si="103"/>
        <v>495000000</v>
      </c>
      <c r="M214" s="289">
        <f t="shared" si="103"/>
        <v>495000000</v>
      </c>
      <c r="N214" s="289">
        <f t="shared" si="103"/>
        <v>495000000</v>
      </c>
      <c r="O214" s="289">
        <f t="shared" si="103"/>
        <v>495000000</v>
      </c>
      <c r="P214" s="289">
        <f t="shared" si="103"/>
        <v>495000000</v>
      </c>
      <c r="Q214" s="289">
        <f t="shared" si="103"/>
        <v>495000000</v>
      </c>
      <c r="R214" s="289">
        <f t="shared" si="103"/>
        <v>495000000</v>
      </c>
      <c r="S214" s="289">
        <f t="shared" si="103"/>
        <v>495000000</v>
      </c>
      <c r="T214" s="289">
        <f t="shared" si="103"/>
        <v>495000000</v>
      </c>
      <c r="U214" s="289">
        <f t="shared" si="103"/>
        <v>495000000</v>
      </c>
      <c r="V214" s="289">
        <f t="shared" si="103"/>
        <v>495000000</v>
      </c>
      <c r="W214" s="289">
        <f t="shared" si="103"/>
        <v>495000000</v>
      </c>
      <c r="X214" s="289">
        <f t="shared" si="103"/>
        <v>495000000</v>
      </c>
      <c r="Y214" s="289">
        <f t="shared" si="103"/>
        <v>495000000</v>
      </c>
      <c r="Z214" s="289">
        <f t="shared" si="103"/>
        <v>495000000</v>
      </c>
      <c r="AA214" s="289">
        <f t="shared" si="103"/>
        <v>495000000</v>
      </c>
      <c r="AB214" s="289">
        <f t="shared" si="103"/>
        <v>495000000</v>
      </c>
      <c r="AC214" s="289">
        <f t="shared" si="103"/>
        <v>495000000</v>
      </c>
      <c r="AD214" s="289">
        <f t="shared" si="103"/>
        <v>495000000</v>
      </c>
      <c r="AE214" s="289">
        <f t="shared" si="103"/>
        <v>495000000</v>
      </c>
      <c r="AF214" s="289">
        <f t="shared" si="103"/>
        <v>495000000</v>
      </c>
      <c r="AG214" s="289">
        <f t="shared" si="103"/>
        <v>495000000</v>
      </c>
      <c r="AH214" s="312">
        <f t="shared" si="103"/>
        <v>495000000</v>
      </c>
      <c r="AI214" s="318">
        <f>SUM(E214:X214)</f>
        <v>9900000000</v>
      </c>
    </row>
    <row r="215" spans="1:35" x14ac:dyDescent="0.25">
      <c r="A215" s="19"/>
      <c r="B215" s="284" t="s">
        <v>491</v>
      </c>
      <c r="C215" s="186" t="s">
        <v>37</v>
      </c>
      <c r="D215" s="272">
        <f>インプット!E73</f>
        <v>3615143431.2222729</v>
      </c>
      <c r="E215" s="287">
        <v>0</v>
      </c>
      <c r="F215" s="287">
        <v>0</v>
      </c>
      <c r="G215" s="287">
        <v>0</v>
      </c>
      <c r="H215" s="287">
        <v>0</v>
      </c>
      <c r="I215" s="287">
        <v>0</v>
      </c>
      <c r="J215" s="287">
        <v>0</v>
      </c>
      <c r="K215" s="287">
        <v>0</v>
      </c>
      <c r="L215" s="287">
        <v>0</v>
      </c>
      <c r="M215" s="287">
        <v>0</v>
      </c>
      <c r="N215" s="287">
        <v>0</v>
      </c>
      <c r="O215" s="287">
        <v>0</v>
      </c>
      <c r="P215" s="287">
        <v>0</v>
      </c>
      <c r="Q215" s="287">
        <v>0</v>
      </c>
      <c r="R215" s="287">
        <v>0</v>
      </c>
      <c r="S215" s="287">
        <v>0</v>
      </c>
      <c r="T215" s="287">
        <v>0</v>
      </c>
      <c r="U215" s="287">
        <v>0</v>
      </c>
      <c r="V215" s="287">
        <v>0</v>
      </c>
      <c r="W215" s="287">
        <v>0</v>
      </c>
      <c r="X215" s="287">
        <v>0</v>
      </c>
      <c r="Y215" s="287">
        <v>0</v>
      </c>
      <c r="Z215" s="287">
        <v>0</v>
      </c>
      <c r="AA215" s="287">
        <v>0</v>
      </c>
      <c r="AB215" s="287">
        <v>0</v>
      </c>
      <c r="AC215" s="287">
        <v>0</v>
      </c>
      <c r="AD215" s="287">
        <v>0</v>
      </c>
      <c r="AE215" s="287">
        <v>0</v>
      </c>
      <c r="AF215" s="287">
        <v>0</v>
      </c>
      <c r="AG215" s="287">
        <v>0</v>
      </c>
      <c r="AH215" s="287">
        <v>0</v>
      </c>
      <c r="AI215" s="324">
        <f>SUM(D215:X215)</f>
        <v>3615143431.2222729</v>
      </c>
    </row>
    <row r="216" spans="1:35" x14ac:dyDescent="0.25">
      <c r="A216" s="19"/>
      <c r="B216" s="822" t="str">
        <f>インプット!B76</f>
        <v>工事費</v>
      </c>
      <c r="C216" s="186" t="s">
        <v>37</v>
      </c>
      <c r="D216" s="823">
        <f>インプット!E76</f>
        <v>1205047810.4074242</v>
      </c>
      <c r="E216" s="357">
        <v>0</v>
      </c>
      <c r="F216" s="357">
        <v>0</v>
      </c>
      <c r="G216" s="357">
        <v>0</v>
      </c>
      <c r="H216" s="357">
        <v>0</v>
      </c>
      <c r="I216" s="357">
        <v>0</v>
      </c>
      <c r="J216" s="357">
        <v>0</v>
      </c>
      <c r="K216" s="357">
        <v>0</v>
      </c>
      <c r="L216" s="357">
        <v>0</v>
      </c>
      <c r="M216" s="357">
        <v>0</v>
      </c>
      <c r="N216" s="357">
        <v>0</v>
      </c>
      <c r="O216" s="357">
        <v>0</v>
      </c>
      <c r="P216" s="357">
        <v>0</v>
      </c>
      <c r="Q216" s="357">
        <v>0</v>
      </c>
      <c r="R216" s="357">
        <v>0</v>
      </c>
      <c r="S216" s="357">
        <v>0</v>
      </c>
      <c r="T216" s="357">
        <v>0</v>
      </c>
      <c r="U216" s="357">
        <v>0</v>
      </c>
      <c r="V216" s="357">
        <v>0</v>
      </c>
      <c r="W216" s="357">
        <v>0</v>
      </c>
      <c r="X216" s="357">
        <v>0</v>
      </c>
      <c r="Y216" s="357">
        <v>0</v>
      </c>
      <c r="Z216" s="357">
        <v>0</v>
      </c>
      <c r="AA216" s="357">
        <v>0</v>
      </c>
      <c r="AB216" s="357">
        <v>0</v>
      </c>
      <c r="AC216" s="357">
        <v>0</v>
      </c>
      <c r="AD216" s="357">
        <v>0</v>
      </c>
      <c r="AE216" s="357">
        <v>0</v>
      </c>
      <c r="AF216" s="357">
        <v>0</v>
      </c>
      <c r="AG216" s="357">
        <v>0</v>
      </c>
      <c r="AH216" s="357">
        <v>0</v>
      </c>
      <c r="AI216" s="324">
        <f>SUM(D216:X216)</f>
        <v>1205047810.4074242</v>
      </c>
    </row>
    <row r="217" spans="1:35" x14ac:dyDescent="0.25">
      <c r="A217" s="19"/>
      <c r="B217" s="354" t="str">
        <f>B59</f>
        <v>ユーティリティー費用</v>
      </c>
      <c r="C217" s="355" t="s">
        <v>37</v>
      </c>
      <c r="D217" s="356"/>
      <c r="E217" s="357">
        <f t="shared" ref="E217:AH217" si="104">E59</f>
        <v>84281810.798385695</v>
      </c>
      <c r="F217" s="357">
        <f t="shared" si="104"/>
        <v>84281810.798385695</v>
      </c>
      <c r="G217" s="357">
        <f t="shared" si="104"/>
        <v>84281810.798385695</v>
      </c>
      <c r="H217" s="357">
        <f t="shared" si="104"/>
        <v>84281810.798385695</v>
      </c>
      <c r="I217" s="357">
        <f t="shared" si="104"/>
        <v>84281810.798385695</v>
      </c>
      <c r="J217" s="357">
        <f t="shared" si="104"/>
        <v>84281810.798385695</v>
      </c>
      <c r="K217" s="357">
        <f t="shared" si="104"/>
        <v>84281810.798385695</v>
      </c>
      <c r="L217" s="357">
        <f t="shared" si="104"/>
        <v>84281810.798385695</v>
      </c>
      <c r="M217" s="357">
        <f t="shared" si="104"/>
        <v>84281810.798385695</v>
      </c>
      <c r="N217" s="357">
        <f t="shared" si="104"/>
        <v>84281810.798385695</v>
      </c>
      <c r="O217" s="357">
        <f t="shared" si="104"/>
        <v>84281810.798385695</v>
      </c>
      <c r="P217" s="357">
        <f t="shared" si="104"/>
        <v>84281810.798385695</v>
      </c>
      <c r="Q217" s="357">
        <f t="shared" si="104"/>
        <v>84281810.798385695</v>
      </c>
      <c r="R217" s="357">
        <f t="shared" si="104"/>
        <v>84281810.798385695</v>
      </c>
      <c r="S217" s="357">
        <f t="shared" si="104"/>
        <v>84281810.798385695</v>
      </c>
      <c r="T217" s="357">
        <f t="shared" si="104"/>
        <v>84281810.798385695</v>
      </c>
      <c r="U217" s="357">
        <f t="shared" si="104"/>
        <v>84281810.798385695</v>
      </c>
      <c r="V217" s="357">
        <f t="shared" si="104"/>
        <v>84281810.798385695</v>
      </c>
      <c r="W217" s="357">
        <f t="shared" si="104"/>
        <v>84281810.798385695</v>
      </c>
      <c r="X217" s="357">
        <f t="shared" si="104"/>
        <v>84281810.798385695</v>
      </c>
      <c r="Y217" s="357">
        <f t="shared" si="104"/>
        <v>84281810.798385695</v>
      </c>
      <c r="Z217" s="357">
        <f t="shared" si="104"/>
        <v>84281810.798385695</v>
      </c>
      <c r="AA217" s="357">
        <f t="shared" si="104"/>
        <v>84281810.798385695</v>
      </c>
      <c r="AB217" s="357">
        <f t="shared" si="104"/>
        <v>84281810.798385695</v>
      </c>
      <c r="AC217" s="357">
        <f t="shared" si="104"/>
        <v>84281810.798385695</v>
      </c>
      <c r="AD217" s="357">
        <f t="shared" si="104"/>
        <v>84281810.798385695</v>
      </c>
      <c r="AE217" s="357">
        <f t="shared" si="104"/>
        <v>84281810.798385695</v>
      </c>
      <c r="AF217" s="357">
        <f t="shared" si="104"/>
        <v>84281810.798385695</v>
      </c>
      <c r="AG217" s="357">
        <f t="shared" si="104"/>
        <v>84281810.798385695</v>
      </c>
      <c r="AH217" s="358">
        <f t="shared" si="104"/>
        <v>84281810.798385695</v>
      </c>
      <c r="AI217" s="359">
        <f t="shared" ref="AI217:AI222" si="105">SUM(E217:X217)</f>
        <v>1685636215.9677136</v>
      </c>
    </row>
    <row r="218" spans="1:35" x14ac:dyDescent="0.25">
      <c r="A218" s="19"/>
      <c r="B218" s="354" t="str">
        <f>B60</f>
        <v>灰処理費用</v>
      </c>
      <c r="C218" s="355" t="s">
        <v>37</v>
      </c>
      <c r="D218" s="356"/>
      <c r="E218" s="357">
        <f t="shared" ref="E218:AH218" si="106">E60</f>
        <v>60201293.427418359</v>
      </c>
      <c r="F218" s="357">
        <f t="shared" si="106"/>
        <v>60201293.427418359</v>
      </c>
      <c r="G218" s="357">
        <f t="shared" si="106"/>
        <v>60201293.427418359</v>
      </c>
      <c r="H218" s="357">
        <f t="shared" si="106"/>
        <v>60201293.427418359</v>
      </c>
      <c r="I218" s="357">
        <f t="shared" si="106"/>
        <v>60201293.427418359</v>
      </c>
      <c r="J218" s="357">
        <f t="shared" si="106"/>
        <v>60201293.427418359</v>
      </c>
      <c r="K218" s="357">
        <f t="shared" si="106"/>
        <v>60201293.427418359</v>
      </c>
      <c r="L218" s="357">
        <f t="shared" si="106"/>
        <v>60201293.427418359</v>
      </c>
      <c r="M218" s="357">
        <f t="shared" si="106"/>
        <v>60201293.427418359</v>
      </c>
      <c r="N218" s="357">
        <f t="shared" si="106"/>
        <v>60201293.427418359</v>
      </c>
      <c r="O218" s="357">
        <f t="shared" si="106"/>
        <v>60201293.427418359</v>
      </c>
      <c r="P218" s="357">
        <f t="shared" si="106"/>
        <v>60201293.427418359</v>
      </c>
      <c r="Q218" s="357">
        <f t="shared" si="106"/>
        <v>60201293.427418359</v>
      </c>
      <c r="R218" s="357">
        <f t="shared" si="106"/>
        <v>60201293.427418359</v>
      </c>
      <c r="S218" s="357">
        <f t="shared" si="106"/>
        <v>60201293.427418359</v>
      </c>
      <c r="T218" s="357">
        <f t="shared" si="106"/>
        <v>60201293.427418359</v>
      </c>
      <c r="U218" s="357">
        <f t="shared" si="106"/>
        <v>60201293.427418359</v>
      </c>
      <c r="V218" s="357">
        <f t="shared" si="106"/>
        <v>60201293.427418359</v>
      </c>
      <c r="W218" s="357">
        <f t="shared" si="106"/>
        <v>60201293.427418359</v>
      </c>
      <c r="X218" s="357">
        <f t="shared" si="106"/>
        <v>60201293.427418359</v>
      </c>
      <c r="Y218" s="357">
        <f t="shared" si="106"/>
        <v>60201293.427418359</v>
      </c>
      <c r="Z218" s="357">
        <f t="shared" si="106"/>
        <v>60201293.427418359</v>
      </c>
      <c r="AA218" s="357">
        <f t="shared" si="106"/>
        <v>60201293.427418359</v>
      </c>
      <c r="AB218" s="357">
        <f t="shared" si="106"/>
        <v>60201293.427418359</v>
      </c>
      <c r="AC218" s="357">
        <f t="shared" si="106"/>
        <v>60201293.427418359</v>
      </c>
      <c r="AD218" s="357">
        <f t="shared" si="106"/>
        <v>60201293.427418359</v>
      </c>
      <c r="AE218" s="357">
        <f t="shared" si="106"/>
        <v>60201293.427418359</v>
      </c>
      <c r="AF218" s="357">
        <f t="shared" si="106"/>
        <v>60201293.427418359</v>
      </c>
      <c r="AG218" s="357">
        <f t="shared" si="106"/>
        <v>60201293.427418359</v>
      </c>
      <c r="AH218" s="358">
        <f t="shared" si="106"/>
        <v>60201293.427418359</v>
      </c>
      <c r="AI218" s="359">
        <f t="shared" si="105"/>
        <v>1204025868.5483675</v>
      </c>
    </row>
    <row r="219" spans="1:35" x14ac:dyDescent="0.25">
      <c r="A219" s="19"/>
      <c r="B219" s="354" t="str">
        <f>インプット!A61&amp;B61</f>
        <v>変動費③＜その他・費目を入力＞</v>
      </c>
      <c r="C219" s="355" t="s">
        <v>37</v>
      </c>
      <c r="D219" s="823">
        <f>インプット!E79</f>
        <v>0</v>
      </c>
      <c r="E219" s="357">
        <f t="shared" ref="E219:AH219" si="107">E61</f>
        <v>0</v>
      </c>
      <c r="F219" s="357">
        <f t="shared" si="107"/>
        <v>0</v>
      </c>
      <c r="G219" s="357">
        <f t="shared" si="107"/>
        <v>0</v>
      </c>
      <c r="H219" s="357">
        <f t="shared" si="107"/>
        <v>0</v>
      </c>
      <c r="I219" s="357">
        <f t="shared" si="107"/>
        <v>0</v>
      </c>
      <c r="J219" s="357">
        <f t="shared" si="107"/>
        <v>0</v>
      </c>
      <c r="K219" s="357">
        <f t="shared" si="107"/>
        <v>0</v>
      </c>
      <c r="L219" s="357">
        <f t="shared" si="107"/>
        <v>0</v>
      </c>
      <c r="M219" s="357">
        <f t="shared" si="107"/>
        <v>0</v>
      </c>
      <c r="N219" s="357">
        <f t="shared" si="107"/>
        <v>0</v>
      </c>
      <c r="O219" s="357">
        <f t="shared" si="107"/>
        <v>0</v>
      </c>
      <c r="P219" s="357">
        <f t="shared" si="107"/>
        <v>0</v>
      </c>
      <c r="Q219" s="357">
        <f t="shared" si="107"/>
        <v>0</v>
      </c>
      <c r="R219" s="357">
        <f t="shared" si="107"/>
        <v>0</v>
      </c>
      <c r="S219" s="357">
        <f t="shared" si="107"/>
        <v>0</v>
      </c>
      <c r="T219" s="357">
        <f t="shared" si="107"/>
        <v>0</v>
      </c>
      <c r="U219" s="357">
        <f t="shared" si="107"/>
        <v>0</v>
      </c>
      <c r="V219" s="357">
        <f t="shared" si="107"/>
        <v>0</v>
      </c>
      <c r="W219" s="357">
        <f t="shared" si="107"/>
        <v>0</v>
      </c>
      <c r="X219" s="357">
        <f t="shared" si="107"/>
        <v>0</v>
      </c>
      <c r="Y219" s="357">
        <f t="shared" si="107"/>
        <v>0</v>
      </c>
      <c r="Z219" s="357">
        <f t="shared" si="107"/>
        <v>0</v>
      </c>
      <c r="AA219" s="357">
        <f t="shared" si="107"/>
        <v>0</v>
      </c>
      <c r="AB219" s="357">
        <f t="shared" si="107"/>
        <v>0</v>
      </c>
      <c r="AC219" s="357">
        <f t="shared" si="107"/>
        <v>0</v>
      </c>
      <c r="AD219" s="357">
        <f t="shared" si="107"/>
        <v>0</v>
      </c>
      <c r="AE219" s="357">
        <f t="shared" si="107"/>
        <v>0</v>
      </c>
      <c r="AF219" s="357">
        <f t="shared" si="107"/>
        <v>0</v>
      </c>
      <c r="AG219" s="357">
        <f t="shared" si="107"/>
        <v>0</v>
      </c>
      <c r="AH219" s="358">
        <f t="shared" si="107"/>
        <v>0</v>
      </c>
      <c r="AI219" s="359">
        <f t="shared" si="105"/>
        <v>0</v>
      </c>
    </row>
    <row r="220" spans="1:35" x14ac:dyDescent="0.25">
      <c r="A220" s="19"/>
      <c r="B220" s="354" t="str">
        <f>インプット!A62&amp;B62</f>
        <v>変動費④＜その他・費目を入力＞</v>
      </c>
      <c r="C220" s="355" t="s">
        <v>37</v>
      </c>
      <c r="D220" s="356"/>
      <c r="E220" s="357">
        <f t="shared" ref="E220:AH220" si="108">E62</f>
        <v>0</v>
      </c>
      <c r="F220" s="357">
        <f t="shared" si="108"/>
        <v>0</v>
      </c>
      <c r="G220" s="357">
        <f t="shared" si="108"/>
        <v>0</v>
      </c>
      <c r="H220" s="357">
        <f t="shared" si="108"/>
        <v>0</v>
      </c>
      <c r="I220" s="357">
        <f t="shared" si="108"/>
        <v>0</v>
      </c>
      <c r="J220" s="357">
        <f t="shared" si="108"/>
        <v>0</v>
      </c>
      <c r="K220" s="357">
        <f t="shared" si="108"/>
        <v>0</v>
      </c>
      <c r="L220" s="357">
        <f t="shared" si="108"/>
        <v>0</v>
      </c>
      <c r="M220" s="357">
        <f t="shared" si="108"/>
        <v>0</v>
      </c>
      <c r="N220" s="357">
        <f t="shared" si="108"/>
        <v>0</v>
      </c>
      <c r="O220" s="357">
        <f t="shared" si="108"/>
        <v>0</v>
      </c>
      <c r="P220" s="357">
        <f t="shared" si="108"/>
        <v>0</v>
      </c>
      <c r="Q220" s="357">
        <f t="shared" si="108"/>
        <v>0</v>
      </c>
      <c r="R220" s="357">
        <f t="shared" si="108"/>
        <v>0</v>
      </c>
      <c r="S220" s="357">
        <f t="shared" si="108"/>
        <v>0</v>
      </c>
      <c r="T220" s="357">
        <f t="shared" si="108"/>
        <v>0</v>
      </c>
      <c r="U220" s="357">
        <f t="shared" si="108"/>
        <v>0</v>
      </c>
      <c r="V220" s="357">
        <f t="shared" si="108"/>
        <v>0</v>
      </c>
      <c r="W220" s="357">
        <f t="shared" si="108"/>
        <v>0</v>
      </c>
      <c r="X220" s="357">
        <f t="shared" si="108"/>
        <v>0</v>
      </c>
      <c r="Y220" s="357">
        <f t="shared" si="108"/>
        <v>0</v>
      </c>
      <c r="Z220" s="357">
        <f t="shared" si="108"/>
        <v>0</v>
      </c>
      <c r="AA220" s="357">
        <f t="shared" si="108"/>
        <v>0</v>
      </c>
      <c r="AB220" s="357">
        <f t="shared" si="108"/>
        <v>0</v>
      </c>
      <c r="AC220" s="357">
        <f t="shared" si="108"/>
        <v>0</v>
      </c>
      <c r="AD220" s="357">
        <f t="shared" si="108"/>
        <v>0</v>
      </c>
      <c r="AE220" s="357">
        <f t="shared" si="108"/>
        <v>0</v>
      </c>
      <c r="AF220" s="357">
        <f t="shared" si="108"/>
        <v>0</v>
      </c>
      <c r="AG220" s="357">
        <f t="shared" si="108"/>
        <v>0</v>
      </c>
      <c r="AH220" s="358">
        <f t="shared" si="108"/>
        <v>0</v>
      </c>
      <c r="AI220" s="359">
        <f t="shared" si="105"/>
        <v>0</v>
      </c>
    </row>
    <row r="221" spans="1:35" x14ac:dyDescent="0.25">
      <c r="A221" s="19"/>
      <c r="B221" s="354" t="str">
        <f>インプット!A63&amp;B63</f>
        <v>変動費⑤＜その他・費目を入力＞</v>
      </c>
      <c r="C221" s="355" t="s">
        <v>37</v>
      </c>
      <c r="D221" s="356"/>
      <c r="E221" s="357">
        <f t="shared" ref="E221:AH221" si="109">E63</f>
        <v>0</v>
      </c>
      <c r="F221" s="357">
        <f t="shared" si="109"/>
        <v>0</v>
      </c>
      <c r="G221" s="357">
        <f t="shared" si="109"/>
        <v>0</v>
      </c>
      <c r="H221" s="357">
        <f t="shared" si="109"/>
        <v>0</v>
      </c>
      <c r="I221" s="357">
        <f t="shared" si="109"/>
        <v>0</v>
      </c>
      <c r="J221" s="357">
        <f t="shared" si="109"/>
        <v>0</v>
      </c>
      <c r="K221" s="357">
        <f t="shared" si="109"/>
        <v>0</v>
      </c>
      <c r="L221" s="357">
        <f t="shared" si="109"/>
        <v>0</v>
      </c>
      <c r="M221" s="357">
        <f t="shared" si="109"/>
        <v>0</v>
      </c>
      <c r="N221" s="357">
        <f t="shared" si="109"/>
        <v>0</v>
      </c>
      <c r="O221" s="357">
        <f t="shared" si="109"/>
        <v>0</v>
      </c>
      <c r="P221" s="357">
        <f t="shared" si="109"/>
        <v>0</v>
      </c>
      <c r="Q221" s="357">
        <f t="shared" si="109"/>
        <v>0</v>
      </c>
      <c r="R221" s="357">
        <f t="shared" si="109"/>
        <v>0</v>
      </c>
      <c r="S221" s="357">
        <f t="shared" si="109"/>
        <v>0</v>
      </c>
      <c r="T221" s="357">
        <f t="shared" si="109"/>
        <v>0</v>
      </c>
      <c r="U221" s="357">
        <f t="shared" si="109"/>
        <v>0</v>
      </c>
      <c r="V221" s="357">
        <f t="shared" si="109"/>
        <v>0</v>
      </c>
      <c r="W221" s="357">
        <f t="shared" si="109"/>
        <v>0</v>
      </c>
      <c r="X221" s="357">
        <f t="shared" si="109"/>
        <v>0</v>
      </c>
      <c r="Y221" s="357">
        <f t="shared" si="109"/>
        <v>0</v>
      </c>
      <c r="Z221" s="357">
        <f t="shared" si="109"/>
        <v>0</v>
      </c>
      <c r="AA221" s="357">
        <f t="shared" si="109"/>
        <v>0</v>
      </c>
      <c r="AB221" s="357">
        <f t="shared" si="109"/>
        <v>0</v>
      </c>
      <c r="AC221" s="357">
        <f t="shared" si="109"/>
        <v>0</v>
      </c>
      <c r="AD221" s="357">
        <f t="shared" si="109"/>
        <v>0</v>
      </c>
      <c r="AE221" s="357">
        <f t="shared" si="109"/>
        <v>0</v>
      </c>
      <c r="AF221" s="357">
        <f t="shared" si="109"/>
        <v>0</v>
      </c>
      <c r="AG221" s="357">
        <f t="shared" si="109"/>
        <v>0</v>
      </c>
      <c r="AH221" s="358">
        <f t="shared" si="109"/>
        <v>0</v>
      </c>
      <c r="AI221" s="359">
        <f t="shared" si="105"/>
        <v>0</v>
      </c>
    </row>
    <row r="222" spans="1:35" x14ac:dyDescent="0.25">
      <c r="A222" s="19"/>
      <c r="B222" s="284" t="str">
        <f>インプット!A64&amp;B64</f>
        <v>変動費⑥＜その他・費目を入力＞</v>
      </c>
      <c r="C222" s="355" t="s">
        <v>37</v>
      </c>
      <c r="D222" s="356"/>
      <c r="E222" s="357">
        <f t="shared" ref="E222:AH222" si="110">E64</f>
        <v>0</v>
      </c>
      <c r="F222" s="357">
        <f t="shared" si="110"/>
        <v>0</v>
      </c>
      <c r="G222" s="357">
        <f t="shared" si="110"/>
        <v>0</v>
      </c>
      <c r="H222" s="357">
        <f t="shared" si="110"/>
        <v>0</v>
      </c>
      <c r="I222" s="357">
        <f t="shared" si="110"/>
        <v>0</v>
      </c>
      <c r="J222" s="357">
        <f t="shared" si="110"/>
        <v>0</v>
      </c>
      <c r="K222" s="357">
        <f t="shared" si="110"/>
        <v>0</v>
      </c>
      <c r="L222" s="357">
        <f t="shared" si="110"/>
        <v>0</v>
      </c>
      <c r="M222" s="357">
        <f t="shared" si="110"/>
        <v>0</v>
      </c>
      <c r="N222" s="357">
        <f t="shared" si="110"/>
        <v>0</v>
      </c>
      <c r="O222" s="357">
        <f t="shared" si="110"/>
        <v>0</v>
      </c>
      <c r="P222" s="357">
        <f t="shared" si="110"/>
        <v>0</v>
      </c>
      <c r="Q222" s="357">
        <f t="shared" si="110"/>
        <v>0</v>
      </c>
      <c r="R222" s="357">
        <f t="shared" si="110"/>
        <v>0</v>
      </c>
      <c r="S222" s="357">
        <f t="shared" si="110"/>
        <v>0</v>
      </c>
      <c r="T222" s="357">
        <f t="shared" si="110"/>
        <v>0</v>
      </c>
      <c r="U222" s="357">
        <f t="shared" si="110"/>
        <v>0</v>
      </c>
      <c r="V222" s="357">
        <f t="shared" si="110"/>
        <v>0</v>
      </c>
      <c r="W222" s="357">
        <f t="shared" si="110"/>
        <v>0</v>
      </c>
      <c r="X222" s="357">
        <f t="shared" si="110"/>
        <v>0</v>
      </c>
      <c r="Y222" s="357">
        <f t="shared" si="110"/>
        <v>0</v>
      </c>
      <c r="Z222" s="357">
        <f t="shared" si="110"/>
        <v>0</v>
      </c>
      <c r="AA222" s="357">
        <f t="shared" si="110"/>
        <v>0</v>
      </c>
      <c r="AB222" s="357">
        <f t="shared" si="110"/>
        <v>0</v>
      </c>
      <c r="AC222" s="357">
        <f t="shared" si="110"/>
        <v>0</v>
      </c>
      <c r="AD222" s="357">
        <f t="shared" si="110"/>
        <v>0</v>
      </c>
      <c r="AE222" s="357">
        <f t="shared" si="110"/>
        <v>0</v>
      </c>
      <c r="AF222" s="357">
        <f t="shared" si="110"/>
        <v>0</v>
      </c>
      <c r="AG222" s="357">
        <f t="shared" si="110"/>
        <v>0</v>
      </c>
      <c r="AH222" s="358">
        <f t="shared" si="110"/>
        <v>0</v>
      </c>
      <c r="AI222" s="359">
        <f t="shared" si="105"/>
        <v>0</v>
      </c>
    </row>
    <row r="223" spans="1:35" x14ac:dyDescent="0.25">
      <c r="A223" s="19"/>
      <c r="B223" s="284" t="str">
        <f>B66</f>
        <v>メンテナンス費</v>
      </c>
      <c r="C223" s="186" t="s">
        <v>157</v>
      </c>
      <c r="D223" s="272"/>
      <c r="E223" s="287">
        <f t="shared" ref="E223:AH223" si="111">E66</f>
        <v>258880890.86578479</v>
      </c>
      <c r="F223" s="287">
        <f t="shared" si="111"/>
        <v>258880890.86578479</v>
      </c>
      <c r="G223" s="287">
        <f t="shared" si="111"/>
        <v>258880890.86578479</v>
      </c>
      <c r="H223" s="287">
        <f t="shared" si="111"/>
        <v>258880890.86578479</v>
      </c>
      <c r="I223" s="287">
        <f t="shared" si="111"/>
        <v>258880890.86578479</v>
      </c>
      <c r="J223" s="287">
        <f t="shared" si="111"/>
        <v>258880890.86578479</v>
      </c>
      <c r="K223" s="287">
        <f t="shared" si="111"/>
        <v>258880890.86578479</v>
      </c>
      <c r="L223" s="287">
        <f t="shared" si="111"/>
        <v>258880890.86578479</v>
      </c>
      <c r="M223" s="287">
        <f t="shared" si="111"/>
        <v>258880890.86578479</v>
      </c>
      <c r="N223" s="287">
        <f t="shared" si="111"/>
        <v>258880890.86578479</v>
      </c>
      <c r="O223" s="287">
        <f t="shared" si="111"/>
        <v>258880890.86578479</v>
      </c>
      <c r="P223" s="287">
        <f t="shared" si="111"/>
        <v>258880890.86578479</v>
      </c>
      <c r="Q223" s="287">
        <f t="shared" si="111"/>
        <v>258880890.86578479</v>
      </c>
      <c r="R223" s="287">
        <f t="shared" si="111"/>
        <v>258880890.86578479</v>
      </c>
      <c r="S223" s="287">
        <f t="shared" si="111"/>
        <v>258880890.86578479</v>
      </c>
      <c r="T223" s="287">
        <f t="shared" si="111"/>
        <v>258880890.86578479</v>
      </c>
      <c r="U223" s="287">
        <f t="shared" si="111"/>
        <v>258880890.86578479</v>
      </c>
      <c r="V223" s="287">
        <f t="shared" si="111"/>
        <v>258880890.86578479</v>
      </c>
      <c r="W223" s="287">
        <f t="shared" si="111"/>
        <v>258880890.86578479</v>
      </c>
      <c r="X223" s="287">
        <f t="shared" si="111"/>
        <v>258880890.86578479</v>
      </c>
      <c r="Y223" s="287">
        <f t="shared" si="111"/>
        <v>258880890.86578479</v>
      </c>
      <c r="Z223" s="287">
        <f t="shared" si="111"/>
        <v>258880890.86578479</v>
      </c>
      <c r="AA223" s="287">
        <f t="shared" si="111"/>
        <v>258880890.86578479</v>
      </c>
      <c r="AB223" s="287">
        <f t="shared" si="111"/>
        <v>258880890.86578479</v>
      </c>
      <c r="AC223" s="287">
        <f t="shared" si="111"/>
        <v>258880890.86578479</v>
      </c>
      <c r="AD223" s="287">
        <f t="shared" si="111"/>
        <v>258880890.86578479</v>
      </c>
      <c r="AE223" s="287">
        <f t="shared" si="111"/>
        <v>258880890.86578479</v>
      </c>
      <c r="AF223" s="287">
        <f t="shared" si="111"/>
        <v>258880890.86578479</v>
      </c>
      <c r="AG223" s="287">
        <f t="shared" si="111"/>
        <v>258880890.86578479</v>
      </c>
      <c r="AH223" s="287">
        <f t="shared" si="111"/>
        <v>258880890.86578479</v>
      </c>
      <c r="AI223" s="324">
        <f t="shared" ref="AI223:AI231" si="112">SUM(E223:X223)</f>
        <v>5177617817.3156948</v>
      </c>
    </row>
    <row r="224" spans="1:35" x14ac:dyDescent="0.25">
      <c r="A224" s="19"/>
      <c r="B224" s="284" t="str">
        <f>B67</f>
        <v>人件費</v>
      </c>
      <c r="C224" s="266" t="s">
        <v>37</v>
      </c>
      <c r="D224" s="272"/>
      <c r="E224" s="287">
        <f t="shared" ref="E224:AH224" si="113">E67</f>
        <v>72241552.11290203</v>
      </c>
      <c r="F224" s="287">
        <f t="shared" si="113"/>
        <v>72241552.11290203</v>
      </c>
      <c r="G224" s="287">
        <f t="shared" si="113"/>
        <v>72241552.11290203</v>
      </c>
      <c r="H224" s="287">
        <f t="shared" si="113"/>
        <v>72241552.11290203</v>
      </c>
      <c r="I224" s="287">
        <f t="shared" si="113"/>
        <v>72241552.11290203</v>
      </c>
      <c r="J224" s="287">
        <f t="shared" si="113"/>
        <v>72241552.11290203</v>
      </c>
      <c r="K224" s="287">
        <f t="shared" si="113"/>
        <v>72241552.11290203</v>
      </c>
      <c r="L224" s="287">
        <f t="shared" si="113"/>
        <v>72241552.11290203</v>
      </c>
      <c r="M224" s="287">
        <f t="shared" si="113"/>
        <v>72241552.11290203</v>
      </c>
      <c r="N224" s="287">
        <f t="shared" si="113"/>
        <v>72241552.11290203</v>
      </c>
      <c r="O224" s="287">
        <f t="shared" si="113"/>
        <v>72241552.11290203</v>
      </c>
      <c r="P224" s="287">
        <f t="shared" si="113"/>
        <v>72241552.11290203</v>
      </c>
      <c r="Q224" s="287">
        <f t="shared" si="113"/>
        <v>72241552.11290203</v>
      </c>
      <c r="R224" s="287">
        <f t="shared" si="113"/>
        <v>72241552.11290203</v>
      </c>
      <c r="S224" s="287">
        <f t="shared" si="113"/>
        <v>72241552.11290203</v>
      </c>
      <c r="T224" s="287">
        <f t="shared" si="113"/>
        <v>72241552.11290203</v>
      </c>
      <c r="U224" s="287">
        <f t="shared" si="113"/>
        <v>72241552.11290203</v>
      </c>
      <c r="V224" s="287">
        <f t="shared" si="113"/>
        <v>72241552.11290203</v>
      </c>
      <c r="W224" s="287">
        <f t="shared" si="113"/>
        <v>72241552.11290203</v>
      </c>
      <c r="X224" s="287">
        <f t="shared" si="113"/>
        <v>72241552.11290203</v>
      </c>
      <c r="Y224" s="287">
        <f t="shared" si="113"/>
        <v>72241552.11290203</v>
      </c>
      <c r="Z224" s="287">
        <f t="shared" si="113"/>
        <v>72241552.11290203</v>
      </c>
      <c r="AA224" s="287">
        <f t="shared" si="113"/>
        <v>72241552.11290203</v>
      </c>
      <c r="AB224" s="287">
        <f t="shared" si="113"/>
        <v>72241552.11290203</v>
      </c>
      <c r="AC224" s="287">
        <f t="shared" si="113"/>
        <v>72241552.11290203</v>
      </c>
      <c r="AD224" s="287">
        <f t="shared" si="113"/>
        <v>72241552.11290203</v>
      </c>
      <c r="AE224" s="287">
        <f t="shared" si="113"/>
        <v>72241552.11290203</v>
      </c>
      <c r="AF224" s="287">
        <f t="shared" si="113"/>
        <v>72241552.11290203</v>
      </c>
      <c r="AG224" s="287">
        <f t="shared" si="113"/>
        <v>72241552.11290203</v>
      </c>
      <c r="AH224" s="287">
        <f t="shared" si="113"/>
        <v>72241552.11290203</v>
      </c>
      <c r="AI224" s="324">
        <f t="shared" si="112"/>
        <v>1444831042.2580402</v>
      </c>
    </row>
    <row r="225" spans="1:35" x14ac:dyDescent="0.25">
      <c r="A225" s="19"/>
      <c r="B225" s="284" t="str">
        <f>B68</f>
        <v>一般管理費</v>
      </c>
      <c r="C225" s="267" t="s">
        <v>37</v>
      </c>
      <c r="D225" s="273"/>
      <c r="E225" s="287">
        <f t="shared" ref="E225:AH225" si="114">E68</f>
        <v>24080517.37096734</v>
      </c>
      <c r="F225" s="287">
        <f t="shared" si="114"/>
        <v>24080517.37096734</v>
      </c>
      <c r="G225" s="287">
        <f t="shared" si="114"/>
        <v>24080517.37096734</v>
      </c>
      <c r="H225" s="287">
        <f t="shared" si="114"/>
        <v>24080517.37096734</v>
      </c>
      <c r="I225" s="287">
        <f t="shared" si="114"/>
        <v>24080517.37096734</v>
      </c>
      <c r="J225" s="287">
        <f t="shared" si="114"/>
        <v>24080517.37096734</v>
      </c>
      <c r="K225" s="287">
        <f t="shared" si="114"/>
        <v>24080517.37096734</v>
      </c>
      <c r="L225" s="287">
        <f t="shared" si="114"/>
        <v>24080517.37096734</v>
      </c>
      <c r="M225" s="287">
        <f t="shared" si="114"/>
        <v>24080517.37096734</v>
      </c>
      <c r="N225" s="287">
        <f t="shared" si="114"/>
        <v>24080517.37096734</v>
      </c>
      <c r="O225" s="287">
        <f t="shared" si="114"/>
        <v>24080517.37096734</v>
      </c>
      <c r="P225" s="287">
        <f t="shared" si="114"/>
        <v>24080517.37096734</v>
      </c>
      <c r="Q225" s="287">
        <f t="shared" si="114"/>
        <v>24080517.37096734</v>
      </c>
      <c r="R225" s="287">
        <f t="shared" si="114"/>
        <v>24080517.37096734</v>
      </c>
      <c r="S225" s="287">
        <f t="shared" si="114"/>
        <v>24080517.37096734</v>
      </c>
      <c r="T225" s="287">
        <f t="shared" si="114"/>
        <v>24080517.37096734</v>
      </c>
      <c r="U225" s="287">
        <f t="shared" si="114"/>
        <v>24080517.37096734</v>
      </c>
      <c r="V225" s="287">
        <f t="shared" si="114"/>
        <v>24080517.37096734</v>
      </c>
      <c r="W225" s="287">
        <f t="shared" si="114"/>
        <v>24080517.37096734</v>
      </c>
      <c r="X225" s="287">
        <f t="shared" si="114"/>
        <v>24080517.37096734</v>
      </c>
      <c r="Y225" s="287">
        <f t="shared" si="114"/>
        <v>24080517.37096734</v>
      </c>
      <c r="Z225" s="287">
        <f t="shared" si="114"/>
        <v>24080517.37096734</v>
      </c>
      <c r="AA225" s="287">
        <f t="shared" si="114"/>
        <v>24080517.37096734</v>
      </c>
      <c r="AB225" s="287">
        <f t="shared" si="114"/>
        <v>24080517.37096734</v>
      </c>
      <c r="AC225" s="287">
        <f t="shared" si="114"/>
        <v>24080517.37096734</v>
      </c>
      <c r="AD225" s="287">
        <f t="shared" si="114"/>
        <v>24080517.37096734</v>
      </c>
      <c r="AE225" s="287">
        <f t="shared" si="114"/>
        <v>24080517.37096734</v>
      </c>
      <c r="AF225" s="287">
        <f t="shared" si="114"/>
        <v>24080517.37096734</v>
      </c>
      <c r="AG225" s="287">
        <f t="shared" si="114"/>
        <v>24080517.37096734</v>
      </c>
      <c r="AH225" s="287">
        <f t="shared" si="114"/>
        <v>24080517.37096734</v>
      </c>
      <c r="AI225" s="325">
        <f t="shared" si="112"/>
        <v>481610347.41934663</v>
      </c>
    </row>
    <row r="226" spans="1:35" x14ac:dyDescent="0.25">
      <c r="A226" s="19"/>
      <c r="B226" s="284" t="str">
        <f>インプット!A69&amp;B69</f>
        <v>固定費④＜その他・費目を入力＞</v>
      </c>
      <c r="C226" s="268" t="s">
        <v>37</v>
      </c>
      <c r="D226" s="274"/>
      <c r="E226" s="287">
        <f t="shared" ref="E226:AH226" si="115">E69</f>
        <v>0</v>
      </c>
      <c r="F226" s="287">
        <f t="shared" si="115"/>
        <v>0</v>
      </c>
      <c r="G226" s="287">
        <f t="shared" si="115"/>
        <v>0</v>
      </c>
      <c r="H226" s="287">
        <f t="shared" si="115"/>
        <v>0</v>
      </c>
      <c r="I226" s="287">
        <f t="shared" si="115"/>
        <v>0</v>
      </c>
      <c r="J226" s="287">
        <f t="shared" si="115"/>
        <v>0</v>
      </c>
      <c r="K226" s="287">
        <f t="shared" si="115"/>
        <v>0</v>
      </c>
      <c r="L226" s="287">
        <f t="shared" si="115"/>
        <v>0</v>
      </c>
      <c r="M226" s="287">
        <f t="shared" si="115"/>
        <v>0</v>
      </c>
      <c r="N226" s="287">
        <f t="shared" si="115"/>
        <v>0</v>
      </c>
      <c r="O226" s="287">
        <f t="shared" si="115"/>
        <v>0</v>
      </c>
      <c r="P226" s="287">
        <f t="shared" si="115"/>
        <v>0</v>
      </c>
      <c r="Q226" s="287">
        <f t="shared" si="115"/>
        <v>0</v>
      </c>
      <c r="R226" s="287">
        <f t="shared" si="115"/>
        <v>0</v>
      </c>
      <c r="S226" s="287">
        <f t="shared" si="115"/>
        <v>0</v>
      </c>
      <c r="T226" s="287">
        <f t="shared" si="115"/>
        <v>0</v>
      </c>
      <c r="U226" s="287">
        <f t="shared" si="115"/>
        <v>0</v>
      </c>
      <c r="V226" s="287">
        <f t="shared" si="115"/>
        <v>0</v>
      </c>
      <c r="W226" s="287">
        <f t="shared" si="115"/>
        <v>0</v>
      </c>
      <c r="X226" s="287">
        <f t="shared" si="115"/>
        <v>0</v>
      </c>
      <c r="Y226" s="287">
        <f t="shared" si="115"/>
        <v>0</v>
      </c>
      <c r="Z226" s="287">
        <f t="shared" si="115"/>
        <v>0</v>
      </c>
      <c r="AA226" s="287">
        <f t="shared" si="115"/>
        <v>0</v>
      </c>
      <c r="AB226" s="287">
        <f t="shared" si="115"/>
        <v>0</v>
      </c>
      <c r="AC226" s="287">
        <f t="shared" si="115"/>
        <v>0</v>
      </c>
      <c r="AD226" s="287">
        <f t="shared" si="115"/>
        <v>0</v>
      </c>
      <c r="AE226" s="287">
        <f t="shared" si="115"/>
        <v>0</v>
      </c>
      <c r="AF226" s="287">
        <f t="shared" si="115"/>
        <v>0</v>
      </c>
      <c r="AG226" s="287">
        <f t="shared" si="115"/>
        <v>0</v>
      </c>
      <c r="AH226" s="287">
        <f t="shared" si="115"/>
        <v>0</v>
      </c>
      <c r="AI226" s="320">
        <f t="shared" si="112"/>
        <v>0</v>
      </c>
    </row>
    <row r="227" spans="1:35" x14ac:dyDescent="0.25">
      <c r="A227" s="19"/>
      <c r="B227" s="284" t="str">
        <f>インプット!A70&amp;B70</f>
        <v>固定費⑤＜その他・費目を入力＞</v>
      </c>
      <c r="C227" s="268" t="s">
        <v>37</v>
      </c>
      <c r="D227" s="274"/>
      <c r="E227" s="287">
        <f t="shared" ref="E227:AH227" si="116">E70</f>
        <v>0</v>
      </c>
      <c r="F227" s="287">
        <f t="shared" si="116"/>
        <v>0</v>
      </c>
      <c r="G227" s="287">
        <f t="shared" si="116"/>
        <v>0</v>
      </c>
      <c r="H227" s="287">
        <f t="shared" si="116"/>
        <v>0</v>
      </c>
      <c r="I227" s="287">
        <f t="shared" si="116"/>
        <v>0</v>
      </c>
      <c r="J227" s="287">
        <f t="shared" si="116"/>
        <v>0</v>
      </c>
      <c r="K227" s="287">
        <f t="shared" si="116"/>
        <v>0</v>
      </c>
      <c r="L227" s="287">
        <f t="shared" si="116"/>
        <v>0</v>
      </c>
      <c r="M227" s="287">
        <f t="shared" si="116"/>
        <v>0</v>
      </c>
      <c r="N227" s="287">
        <f t="shared" si="116"/>
        <v>0</v>
      </c>
      <c r="O227" s="287">
        <f t="shared" si="116"/>
        <v>0</v>
      </c>
      <c r="P227" s="287">
        <f t="shared" si="116"/>
        <v>0</v>
      </c>
      <c r="Q227" s="287">
        <f t="shared" si="116"/>
        <v>0</v>
      </c>
      <c r="R227" s="287">
        <f t="shared" si="116"/>
        <v>0</v>
      </c>
      <c r="S227" s="287">
        <f t="shared" si="116"/>
        <v>0</v>
      </c>
      <c r="T227" s="287">
        <f t="shared" si="116"/>
        <v>0</v>
      </c>
      <c r="U227" s="287">
        <f t="shared" si="116"/>
        <v>0</v>
      </c>
      <c r="V227" s="287">
        <f t="shared" si="116"/>
        <v>0</v>
      </c>
      <c r="W227" s="287">
        <f t="shared" si="116"/>
        <v>0</v>
      </c>
      <c r="X227" s="287">
        <f t="shared" si="116"/>
        <v>0</v>
      </c>
      <c r="Y227" s="287">
        <f t="shared" si="116"/>
        <v>0</v>
      </c>
      <c r="Z227" s="287">
        <f t="shared" si="116"/>
        <v>0</v>
      </c>
      <c r="AA227" s="287">
        <f t="shared" si="116"/>
        <v>0</v>
      </c>
      <c r="AB227" s="287">
        <f t="shared" si="116"/>
        <v>0</v>
      </c>
      <c r="AC227" s="287">
        <f t="shared" si="116"/>
        <v>0</v>
      </c>
      <c r="AD227" s="287">
        <f t="shared" si="116"/>
        <v>0</v>
      </c>
      <c r="AE227" s="287">
        <f t="shared" si="116"/>
        <v>0</v>
      </c>
      <c r="AF227" s="287">
        <f t="shared" si="116"/>
        <v>0</v>
      </c>
      <c r="AG227" s="287">
        <f t="shared" si="116"/>
        <v>0</v>
      </c>
      <c r="AH227" s="287">
        <f t="shared" si="116"/>
        <v>0</v>
      </c>
      <c r="AI227" s="320">
        <f>SUM(E227:X227)</f>
        <v>0</v>
      </c>
    </row>
    <row r="228" spans="1:35" x14ac:dyDescent="0.25">
      <c r="A228" s="19"/>
      <c r="B228" s="284" t="s">
        <v>120</v>
      </c>
      <c r="C228" s="267" t="s">
        <v>37</v>
      </c>
      <c r="D228" s="273"/>
      <c r="E228" s="285">
        <f>MAX(-E76-E82-E83,0)</f>
        <v>112096323.95056632</v>
      </c>
      <c r="F228" s="287">
        <f t="shared" ref="F228:AH228" si="117">MAX(-F76-F82-F83,0)</f>
        <v>109423654.7542206</v>
      </c>
      <c r="G228" s="287">
        <f t="shared" si="117"/>
        <v>106750985.55787486</v>
      </c>
      <c r="H228" s="287">
        <f t="shared" si="117"/>
        <v>104078316.36152914</v>
      </c>
      <c r="I228" s="287">
        <f t="shared" si="117"/>
        <v>101405647.1651834</v>
      </c>
      <c r="J228" s="287">
        <f t="shared" si="117"/>
        <v>98732977.968837678</v>
      </c>
      <c r="K228" s="287">
        <f t="shared" si="117"/>
        <v>96060308.772491947</v>
      </c>
      <c r="L228" s="287">
        <f t="shared" si="117"/>
        <v>93387639.576146215</v>
      </c>
      <c r="M228" s="287">
        <f t="shared" si="117"/>
        <v>90714970.379800498</v>
      </c>
      <c r="N228" s="287">
        <f t="shared" si="117"/>
        <v>88042301.183454767</v>
      </c>
      <c r="O228" s="287">
        <f t="shared" si="117"/>
        <v>85369631.987109035</v>
      </c>
      <c r="P228" s="287">
        <f t="shared" si="117"/>
        <v>82696962.790763304</v>
      </c>
      <c r="Q228" s="287">
        <f t="shared" si="117"/>
        <v>80024293.594417587</v>
      </c>
      <c r="R228" s="287">
        <f t="shared" si="117"/>
        <v>77351624.398071855</v>
      </c>
      <c r="S228" s="287">
        <f t="shared" si="117"/>
        <v>74678955.201726124</v>
      </c>
      <c r="T228" s="287">
        <f t="shared" si="117"/>
        <v>144309154.62982586</v>
      </c>
      <c r="U228" s="287">
        <f t="shared" si="117"/>
        <v>143998379.14187863</v>
      </c>
      <c r="V228" s="287">
        <f t="shared" si="117"/>
        <v>143687603.65393147</v>
      </c>
      <c r="W228" s="287">
        <f t="shared" si="117"/>
        <v>143376828.1659843</v>
      </c>
      <c r="X228" s="287">
        <f t="shared" si="117"/>
        <v>143066052.67803714</v>
      </c>
      <c r="Y228" s="287">
        <f t="shared" si="117"/>
        <v>142755277.19008997</v>
      </c>
      <c r="Z228" s="287">
        <f t="shared" si="117"/>
        <v>142444501.70214278</v>
      </c>
      <c r="AA228" s="287">
        <f t="shared" si="117"/>
        <v>142133726.21419561</v>
      </c>
      <c r="AB228" s="287">
        <f t="shared" si="117"/>
        <v>141822950.72624844</v>
      </c>
      <c r="AC228" s="287">
        <f t="shared" si="117"/>
        <v>141512175.23830125</v>
      </c>
      <c r="AD228" s="287">
        <f t="shared" si="117"/>
        <v>141201399.75035405</v>
      </c>
      <c r="AE228" s="287">
        <f t="shared" si="117"/>
        <v>140890624.26240689</v>
      </c>
      <c r="AF228" s="287">
        <f t="shared" si="117"/>
        <v>140579848.77445972</v>
      </c>
      <c r="AG228" s="287">
        <f t="shared" si="117"/>
        <v>140269073.28651252</v>
      </c>
      <c r="AH228" s="315">
        <f t="shared" si="117"/>
        <v>139958297.79856536</v>
      </c>
      <c r="AI228" s="320">
        <f t="shared" si="112"/>
        <v>2119252611.9118507</v>
      </c>
    </row>
    <row r="229" spans="1:35" x14ac:dyDescent="0.25">
      <c r="A229" s="19"/>
      <c r="B229" s="265" t="s">
        <v>8</v>
      </c>
      <c r="C229" s="186" t="s">
        <v>37</v>
      </c>
      <c r="D229" s="272"/>
      <c r="E229" s="598">
        <f t="shared" ref="E229:AH229" si="118">-E75</f>
        <v>0</v>
      </c>
      <c r="F229" s="285">
        <f t="shared" si="118"/>
        <v>0</v>
      </c>
      <c r="G229" s="285">
        <f t="shared" si="118"/>
        <v>0</v>
      </c>
      <c r="H229" s="285">
        <f t="shared" si="118"/>
        <v>0</v>
      </c>
      <c r="I229" s="285">
        <f t="shared" si="118"/>
        <v>0</v>
      </c>
      <c r="J229" s="597">
        <f t="shared" si="118"/>
        <v>0</v>
      </c>
      <c r="K229" s="285">
        <f t="shared" si="118"/>
        <v>0</v>
      </c>
      <c r="L229" s="285">
        <f t="shared" si="118"/>
        <v>0</v>
      </c>
      <c r="M229" s="285">
        <f t="shared" si="118"/>
        <v>0</v>
      </c>
      <c r="N229" s="285">
        <f t="shared" si="118"/>
        <v>0</v>
      </c>
      <c r="O229" s="285">
        <f t="shared" si="118"/>
        <v>0</v>
      </c>
      <c r="P229" s="285">
        <f t="shared" si="118"/>
        <v>0</v>
      </c>
      <c r="Q229" s="285">
        <f t="shared" si="118"/>
        <v>0</v>
      </c>
      <c r="R229" s="285">
        <f t="shared" si="118"/>
        <v>0</v>
      </c>
      <c r="S229" s="285">
        <f t="shared" si="118"/>
        <v>0</v>
      </c>
      <c r="T229" s="285">
        <f t="shared" si="118"/>
        <v>0</v>
      </c>
      <c r="U229" s="285">
        <f t="shared" si="118"/>
        <v>0</v>
      </c>
      <c r="V229" s="285">
        <f t="shared" si="118"/>
        <v>0</v>
      </c>
      <c r="W229" s="285">
        <f t="shared" si="118"/>
        <v>0</v>
      </c>
      <c r="X229" s="285">
        <f t="shared" si="118"/>
        <v>0</v>
      </c>
      <c r="Y229" s="285">
        <f t="shared" si="118"/>
        <v>0</v>
      </c>
      <c r="Z229" s="285">
        <f t="shared" si="118"/>
        <v>0</v>
      </c>
      <c r="AA229" s="285">
        <f t="shared" si="118"/>
        <v>0</v>
      </c>
      <c r="AB229" s="285">
        <f t="shared" si="118"/>
        <v>0</v>
      </c>
      <c r="AC229" s="285">
        <f t="shared" si="118"/>
        <v>0</v>
      </c>
      <c r="AD229" s="285">
        <f t="shared" si="118"/>
        <v>0</v>
      </c>
      <c r="AE229" s="285">
        <f t="shared" si="118"/>
        <v>0</v>
      </c>
      <c r="AF229" s="285">
        <f t="shared" si="118"/>
        <v>0</v>
      </c>
      <c r="AG229" s="285">
        <f t="shared" si="118"/>
        <v>0</v>
      </c>
      <c r="AH229" s="316">
        <f t="shared" si="118"/>
        <v>0</v>
      </c>
      <c r="AI229" s="321">
        <f t="shared" si="112"/>
        <v>0</v>
      </c>
    </row>
    <row r="230" spans="1:35" x14ac:dyDescent="0.25">
      <c r="A230" s="19"/>
      <c r="B230" s="346" t="s">
        <v>166</v>
      </c>
      <c r="C230" s="348" t="s">
        <v>37</v>
      </c>
      <c r="D230" s="343"/>
      <c r="E230" s="310">
        <f t="shared" ref="E230:AH230" si="119">-SUM(E27,E30,E33)</f>
        <v>0</v>
      </c>
      <c r="F230" s="344">
        <f t="shared" si="119"/>
        <v>0</v>
      </c>
      <c r="G230" s="344">
        <f t="shared" si="119"/>
        <v>0</v>
      </c>
      <c r="H230" s="344">
        <f t="shared" si="119"/>
        <v>0</v>
      </c>
      <c r="I230" s="344">
        <f t="shared" si="119"/>
        <v>0</v>
      </c>
      <c r="J230" s="344">
        <f t="shared" si="119"/>
        <v>0</v>
      </c>
      <c r="K230" s="344">
        <f t="shared" si="119"/>
        <v>0</v>
      </c>
      <c r="L230" s="344">
        <f t="shared" si="119"/>
        <v>0</v>
      </c>
      <c r="M230" s="344">
        <f t="shared" si="119"/>
        <v>0</v>
      </c>
      <c r="N230" s="344">
        <f t="shared" si="119"/>
        <v>0</v>
      </c>
      <c r="O230" s="344">
        <f t="shared" si="119"/>
        <v>0</v>
      </c>
      <c r="P230" s="344">
        <f t="shared" si="119"/>
        <v>0</v>
      </c>
      <c r="Q230" s="344">
        <f t="shared" si="119"/>
        <v>0</v>
      </c>
      <c r="R230" s="344">
        <f t="shared" si="119"/>
        <v>0</v>
      </c>
      <c r="S230" s="344">
        <f t="shared" si="119"/>
        <v>0</v>
      </c>
      <c r="T230" s="344">
        <f t="shared" si="119"/>
        <v>0</v>
      </c>
      <c r="U230" s="344">
        <f t="shared" si="119"/>
        <v>0</v>
      </c>
      <c r="V230" s="344">
        <f t="shared" si="119"/>
        <v>0</v>
      </c>
      <c r="W230" s="344">
        <f t="shared" si="119"/>
        <v>0</v>
      </c>
      <c r="X230" s="344">
        <f t="shared" si="119"/>
        <v>0</v>
      </c>
      <c r="Y230" s="344">
        <f t="shared" si="119"/>
        <v>0</v>
      </c>
      <c r="Z230" s="344">
        <f t="shared" si="119"/>
        <v>0</v>
      </c>
      <c r="AA230" s="344">
        <f t="shared" si="119"/>
        <v>0</v>
      </c>
      <c r="AB230" s="344">
        <f t="shared" si="119"/>
        <v>0</v>
      </c>
      <c r="AC230" s="344">
        <f t="shared" si="119"/>
        <v>0</v>
      </c>
      <c r="AD230" s="344">
        <f t="shared" si="119"/>
        <v>0</v>
      </c>
      <c r="AE230" s="344">
        <f t="shared" si="119"/>
        <v>0</v>
      </c>
      <c r="AF230" s="344">
        <f t="shared" si="119"/>
        <v>0</v>
      </c>
      <c r="AG230" s="344">
        <f t="shared" si="119"/>
        <v>0</v>
      </c>
      <c r="AH230" s="345">
        <f t="shared" si="119"/>
        <v>0</v>
      </c>
      <c r="AI230" s="321">
        <f t="shared" si="112"/>
        <v>0</v>
      </c>
    </row>
    <row r="231" spans="1:35" x14ac:dyDescent="0.25">
      <c r="A231" s="19"/>
      <c r="B231" s="286" t="s">
        <v>167</v>
      </c>
      <c r="C231" s="347" t="s">
        <v>37</v>
      </c>
      <c r="D231" s="275"/>
      <c r="E231" s="288">
        <f t="shared" ref="E231:AH231" si="120">-E78</f>
        <v>0</v>
      </c>
      <c r="F231" s="288">
        <f t="shared" si="120"/>
        <v>0</v>
      </c>
      <c r="G231" s="288">
        <f t="shared" si="120"/>
        <v>0</v>
      </c>
      <c r="H231" s="288">
        <f t="shared" si="120"/>
        <v>0</v>
      </c>
      <c r="I231" s="288">
        <f t="shared" si="120"/>
        <v>0</v>
      </c>
      <c r="J231" s="288">
        <f t="shared" si="120"/>
        <v>0</v>
      </c>
      <c r="K231" s="288">
        <f t="shared" si="120"/>
        <v>0</v>
      </c>
      <c r="L231" s="288">
        <f t="shared" si="120"/>
        <v>0</v>
      </c>
      <c r="M231" s="288">
        <f t="shared" si="120"/>
        <v>0</v>
      </c>
      <c r="N231" s="288">
        <f t="shared" si="120"/>
        <v>0</v>
      </c>
      <c r="O231" s="288">
        <f t="shared" si="120"/>
        <v>0</v>
      </c>
      <c r="P231" s="288">
        <f t="shared" si="120"/>
        <v>0</v>
      </c>
      <c r="Q231" s="288">
        <f t="shared" si="120"/>
        <v>0</v>
      </c>
      <c r="R231" s="288">
        <f t="shared" si="120"/>
        <v>0</v>
      </c>
      <c r="S231" s="288">
        <f t="shared" si="120"/>
        <v>0</v>
      </c>
      <c r="T231" s="288">
        <f t="shared" si="120"/>
        <v>0</v>
      </c>
      <c r="U231" s="288">
        <f t="shared" si="120"/>
        <v>0</v>
      </c>
      <c r="V231" s="288">
        <f t="shared" si="120"/>
        <v>0</v>
      </c>
      <c r="W231" s="288">
        <f t="shared" si="120"/>
        <v>0</v>
      </c>
      <c r="X231" s="288">
        <f t="shared" si="120"/>
        <v>0</v>
      </c>
      <c r="Y231" s="288">
        <f t="shared" si="120"/>
        <v>0</v>
      </c>
      <c r="Z231" s="288">
        <f t="shared" si="120"/>
        <v>0</v>
      </c>
      <c r="AA231" s="288">
        <f t="shared" si="120"/>
        <v>0</v>
      </c>
      <c r="AB231" s="288">
        <f t="shared" si="120"/>
        <v>0</v>
      </c>
      <c r="AC231" s="288">
        <f t="shared" si="120"/>
        <v>0</v>
      </c>
      <c r="AD231" s="288">
        <f t="shared" si="120"/>
        <v>0</v>
      </c>
      <c r="AE231" s="288">
        <f t="shared" si="120"/>
        <v>0</v>
      </c>
      <c r="AF231" s="288">
        <f t="shared" si="120"/>
        <v>0</v>
      </c>
      <c r="AG231" s="288">
        <f t="shared" si="120"/>
        <v>0</v>
      </c>
      <c r="AH231" s="313">
        <f t="shared" si="120"/>
        <v>0</v>
      </c>
      <c r="AI231" s="321">
        <f t="shared" si="112"/>
        <v>0</v>
      </c>
    </row>
    <row r="232" spans="1:35" ht="13" thickBot="1" x14ac:dyDescent="0.3">
      <c r="A232" s="19"/>
      <c r="B232" s="277" t="s">
        <v>69</v>
      </c>
      <c r="C232" s="278"/>
      <c r="D232" s="279"/>
      <c r="E232" s="279"/>
      <c r="F232" s="279"/>
      <c r="G232" s="279"/>
      <c r="H232" s="279"/>
      <c r="I232" s="279"/>
      <c r="J232" s="279"/>
      <c r="K232" s="279"/>
      <c r="L232" s="279"/>
      <c r="M232" s="279"/>
      <c r="N232" s="279"/>
      <c r="O232" s="279"/>
      <c r="P232" s="279"/>
      <c r="Q232" s="279"/>
      <c r="R232" s="279"/>
      <c r="S232" s="279"/>
      <c r="T232" s="279"/>
      <c r="U232" s="279"/>
      <c r="V232" s="279"/>
      <c r="W232" s="279"/>
      <c r="X232" s="279"/>
      <c r="Y232" s="279"/>
      <c r="Z232" s="279"/>
      <c r="AA232" s="279"/>
      <c r="AB232" s="279"/>
      <c r="AC232" s="279"/>
      <c r="AD232" s="279"/>
      <c r="AE232" s="279"/>
      <c r="AF232" s="279"/>
      <c r="AG232" s="279"/>
      <c r="AH232" s="317"/>
      <c r="AI232" s="322"/>
    </row>
    <row r="233" spans="1:35" x14ac:dyDescent="0.25">
      <c r="AI233" s="323"/>
    </row>
    <row r="234" spans="1:35" ht="13" thickBot="1" x14ac:dyDescent="0.3"/>
    <row r="235" spans="1:35" ht="13" thickBot="1" x14ac:dyDescent="0.3">
      <c r="A235" s="19"/>
      <c r="B235" s="681" t="s">
        <v>18</v>
      </c>
      <c r="C235" s="184" t="s">
        <v>456</v>
      </c>
      <c r="D235" s="25" t="s">
        <v>457</v>
      </c>
      <c r="E235" s="26" t="s">
        <v>458</v>
      </c>
      <c r="F235" s="26" t="s">
        <v>459</v>
      </c>
      <c r="G235" s="26" t="s">
        <v>460</v>
      </c>
      <c r="H235" s="26" t="s">
        <v>461</v>
      </c>
      <c r="I235" s="26" t="s">
        <v>462</v>
      </c>
      <c r="J235" s="26" t="s">
        <v>463</v>
      </c>
      <c r="K235" s="26" t="s">
        <v>464</v>
      </c>
      <c r="L235" s="26" t="s">
        <v>465</v>
      </c>
      <c r="M235" s="26" t="s">
        <v>466</v>
      </c>
      <c r="N235" s="26" t="s">
        <v>467</v>
      </c>
      <c r="O235" s="26" t="s">
        <v>468</v>
      </c>
      <c r="P235" s="26" t="s">
        <v>469</v>
      </c>
      <c r="Q235" s="26" t="s">
        <v>470</v>
      </c>
      <c r="R235" s="26" t="s">
        <v>471</v>
      </c>
      <c r="S235" s="26" t="s">
        <v>472</v>
      </c>
      <c r="T235" s="26" t="s">
        <v>473</v>
      </c>
      <c r="U235" s="26" t="s">
        <v>474</v>
      </c>
      <c r="V235" s="26" t="s">
        <v>475</v>
      </c>
      <c r="W235" s="78" t="s">
        <v>476</v>
      </c>
      <c r="X235" s="26" t="s">
        <v>477</v>
      </c>
      <c r="Y235" s="26" t="s">
        <v>478</v>
      </c>
      <c r="Z235" s="26" t="s">
        <v>479</v>
      </c>
      <c r="AA235" s="26" t="s">
        <v>480</v>
      </c>
      <c r="AB235" s="26" t="s">
        <v>481</v>
      </c>
      <c r="AC235" s="26" t="s">
        <v>482</v>
      </c>
      <c r="AD235" s="26" t="s">
        <v>483</v>
      </c>
      <c r="AE235" s="26" t="s">
        <v>484</v>
      </c>
      <c r="AF235" s="26" t="s">
        <v>485</v>
      </c>
      <c r="AG235" s="70" t="s">
        <v>486</v>
      </c>
      <c r="AH235" s="27" t="s">
        <v>156</v>
      </c>
      <c r="AI235" s="27" t="s">
        <v>489</v>
      </c>
    </row>
    <row r="236" spans="1:35" x14ac:dyDescent="0.25">
      <c r="A236" s="19"/>
      <c r="B236" s="682" t="s">
        <v>448</v>
      </c>
      <c r="C236" s="674">
        <f t="shared" ref="C236:AG236" si="121">D203/1000000</f>
        <v>0</v>
      </c>
      <c r="D236" s="643">
        <f t="shared" si="121"/>
        <v>1222.404665625</v>
      </c>
      <c r="E236" s="644">
        <f t="shared" si="121"/>
        <v>1222.404665625</v>
      </c>
      <c r="F236" s="644">
        <f t="shared" si="121"/>
        <v>1222.404665625</v>
      </c>
      <c r="G236" s="644">
        <f t="shared" si="121"/>
        <v>1222.404665625</v>
      </c>
      <c r="H236" s="644">
        <f t="shared" si="121"/>
        <v>1222.404665625</v>
      </c>
      <c r="I236" s="644">
        <f t="shared" si="121"/>
        <v>1222.404665625</v>
      </c>
      <c r="J236" s="644">
        <f t="shared" si="121"/>
        <v>1222.404665625</v>
      </c>
      <c r="K236" s="644">
        <f t="shared" si="121"/>
        <v>1222.404665625</v>
      </c>
      <c r="L236" s="644">
        <f t="shared" si="121"/>
        <v>1222.404665625</v>
      </c>
      <c r="M236" s="644">
        <f t="shared" si="121"/>
        <v>1222.404665625</v>
      </c>
      <c r="N236" s="644">
        <f t="shared" si="121"/>
        <v>1222.404665625</v>
      </c>
      <c r="O236" s="644">
        <f t="shared" si="121"/>
        <v>1222.404665625</v>
      </c>
      <c r="P236" s="644">
        <f t="shared" si="121"/>
        <v>1222.404665625</v>
      </c>
      <c r="Q236" s="644">
        <f t="shared" si="121"/>
        <v>1222.404665625</v>
      </c>
      <c r="R236" s="644">
        <f t="shared" si="121"/>
        <v>1222.404665625</v>
      </c>
      <c r="S236" s="644">
        <f t="shared" si="121"/>
        <v>1222.404665625</v>
      </c>
      <c r="T236" s="644">
        <f t="shared" si="121"/>
        <v>1222.404665625</v>
      </c>
      <c r="U236" s="644">
        <f t="shared" si="121"/>
        <v>1222.404665625</v>
      </c>
      <c r="V236" s="644">
        <f t="shared" si="121"/>
        <v>1222.404665625</v>
      </c>
      <c r="W236" s="644">
        <f t="shared" si="121"/>
        <v>1222.404665625</v>
      </c>
      <c r="X236" s="644">
        <f t="shared" si="121"/>
        <v>1222.404665625</v>
      </c>
      <c r="Y236" s="644">
        <f t="shared" si="121"/>
        <v>1222.404665625</v>
      </c>
      <c r="Z236" s="644">
        <f t="shared" si="121"/>
        <v>1222.404665625</v>
      </c>
      <c r="AA236" s="644">
        <f t="shared" si="121"/>
        <v>1222.404665625</v>
      </c>
      <c r="AB236" s="644">
        <f t="shared" si="121"/>
        <v>1222.404665625</v>
      </c>
      <c r="AC236" s="644">
        <f t="shared" si="121"/>
        <v>1222.404665625</v>
      </c>
      <c r="AD236" s="644">
        <f t="shared" si="121"/>
        <v>1222.404665625</v>
      </c>
      <c r="AE236" s="644">
        <f t="shared" si="121"/>
        <v>1222.404665625</v>
      </c>
      <c r="AF236" s="644">
        <f t="shared" si="121"/>
        <v>1222.404665625</v>
      </c>
      <c r="AG236" s="645">
        <f t="shared" si="121"/>
        <v>1222.404665625</v>
      </c>
      <c r="AH236" s="646">
        <f>SUM(C236:W236)</f>
        <v>24448.093312499994</v>
      </c>
      <c r="AI236" s="646">
        <f>SUM(C236:AG236)</f>
        <v>36672.139968749987</v>
      </c>
    </row>
    <row r="237" spans="1:35" x14ac:dyDescent="0.25">
      <c r="A237" s="19"/>
      <c r="B237" s="683" t="s">
        <v>449</v>
      </c>
      <c r="C237" s="675">
        <f t="shared" ref="C237:AG237" si="122">D205/1000000</f>
        <v>0</v>
      </c>
      <c r="D237" s="647">
        <f t="shared" si="122"/>
        <v>261.19757812500001</v>
      </c>
      <c r="E237" s="648">
        <f t="shared" si="122"/>
        <v>261.19757812500001</v>
      </c>
      <c r="F237" s="648">
        <f t="shared" si="122"/>
        <v>261.19757812500001</v>
      </c>
      <c r="G237" s="648">
        <f t="shared" si="122"/>
        <v>261.19757812500001</v>
      </c>
      <c r="H237" s="648">
        <f t="shared" si="122"/>
        <v>261.19757812500001</v>
      </c>
      <c r="I237" s="648">
        <f t="shared" si="122"/>
        <v>261.19757812500001</v>
      </c>
      <c r="J237" s="648">
        <f t="shared" si="122"/>
        <v>261.19757812500001</v>
      </c>
      <c r="K237" s="648">
        <f t="shared" si="122"/>
        <v>261.19757812500001</v>
      </c>
      <c r="L237" s="648">
        <f t="shared" si="122"/>
        <v>261.19757812500001</v>
      </c>
      <c r="M237" s="648">
        <f t="shared" si="122"/>
        <v>261.19757812500001</v>
      </c>
      <c r="N237" s="648">
        <f t="shared" si="122"/>
        <v>261.19757812500001</v>
      </c>
      <c r="O237" s="648">
        <f t="shared" si="122"/>
        <v>261.19757812500001</v>
      </c>
      <c r="P237" s="648">
        <f t="shared" si="122"/>
        <v>261.19757812500001</v>
      </c>
      <c r="Q237" s="648">
        <f t="shared" si="122"/>
        <v>261.19757812500001</v>
      </c>
      <c r="R237" s="648">
        <f t="shared" si="122"/>
        <v>261.19757812500001</v>
      </c>
      <c r="S237" s="648">
        <f t="shared" si="122"/>
        <v>261.19757812500001</v>
      </c>
      <c r="T237" s="648">
        <f t="shared" si="122"/>
        <v>261.19757812500001</v>
      </c>
      <c r="U237" s="648">
        <f t="shared" si="122"/>
        <v>261.19757812500001</v>
      </c>
      <c r="V237" s="648">
        <f t="shared" si="122"/>
        <v>261.19757812500001</v>
      </c>
      <c r="W237" s="648">
        <f t="shared" si="122"/>
        <v>261.19757812500001</v>
      </c>
      <c r="X237" s="648">
        <f t="shared" si="122"/>
        <v>261.19757812500001</v>
      </c>
      <c r="Y237" s="648">
        <f t="shared" si="122"/>
        <v>261.19757812500001</v>
      </c>
      <c r="Z237" s="648">
        <f t="shared" si="122"/>
        <v>261.19757812500001</v>
      </c>
      <c r="AA237" s="648">
        <f t="shared" si="122"/>
        <v>261.19757812500001</v>
      </c>
      <c r="AB237" s="648">
        <f t="shared" si="122"/>
        <v>261.19757812500001</v>
      </c>
      <c r="AC237" s="648">
        <f t="shared" si="122"/>
        <v>261.19757812500001</v>
      </c>
      <c r="AD237" s="648">
        <f t="shared" si="122"/>
        <v>261.19757812500001</v>
      </c>
      <c r="AE237" s="648">
        <f t="shared" si="122"/>
        <v>261.19757812500001</v>
      </c>
      <c r="AF237" s="648">
        <f t="shared" si="122"/>
        <v>261.19757812500001</v>
      </c>
      <c r="AG237" s="649">
        <f t="shared" si="122"/>
        <v>261.19757812500001</v>
      </c>
      <c r="AH237" s="650">
        <f t="shared" ref="AH237:AH260" si="123">SUM(C237:W237)</f>
        <v>5223.9515625000004</v>
      </c>
      <c r="AI237" s="650">
        <f t="shared" ref="AI237:AI260" si="124">SUM(C237:AG237)</f>
        <v>7835.9273437500033</v>
      </c>
    </row>
    <row r="238" spans="1:35" x14ac:dyDescent="0.25">
      <c r="A238" s="19"/>
      <c r="B238" s="683" t="str">
        <f>B206</f>
        <v>その他収益収益</v>
      </c>
      <c r="C238" s="675">
        <f t="shared" ref="C238:AG238" si="125">D206/1000000</f>
        <v>0</v>
      </c>
      <c r="D238" s="637">
        <f t="shared" si="125"/>
        <v>0</v>
      </c>
      <c r="E238" s="688">
        <f t="shared" si="125"/>
        <v>0</v>
      </c>
      <c r="F238" s="688">
        <f t="shared" si="125"/>
        <v>0</v>
      </c>
      <c r="G238" s="688">
        <f t="shared" si="125"/>
        <v>0</v>
      </c>
      <c r="H238" s="688">
        <f t="shared" si="125"/>
        <v>0</v>
      </c>
      <c r="I238" s="688">
        <f t="shared" si="125"/>
        <v>0</v>
      </c>
      <c r="J238" s="688">
        <f t="shared" si="125"/>
        <v>0</v>
      </c>
      <c r="K238" s="688">
        <f t="shared" si="125"/>
        <v>0</v>
      </c>
      <c r="L238" s="688">
        <f t="shared" si="125"/>
        <v>0</v>
      </c>
      <c r="M238" s="688">
        <f t="shared" si="125"/>
        <v>0</v>
      </c>
      <c r="N238" s="688">
        <f t="shared" si="125"/>
        <v>0</v>
      </c>
      <c r="O238" s="688">
        <f t="shared" si="125"/>
        <v>0</v>
      </c>
      <c r="P238" s="688">
        <f t="shared" si="125"/>
        <v>0</v>
      </c>
      <c r="Q238" s="688">
        <f t="shared" si="125"/>
        <v>0</v>
      </c>
      <c r="R238" s="688">
        <f t="shared" si="125"/>
        <v>0</v>
      </c>
      <c r="S238" s="688">
        <f t="shared" si="125"/>
        <v>0</v>
      </c>
      <c r="T238" s="688">
        <f t="shared" si="125"/>
        <v>0</v>
      </c>
      <c r="U238" s="648">
        <f t="shared" si="125"/>
        <v>0</v>
      </c>
      <c r="V238" s="648">
        <f t="shared" si="125"/>
        <v>0</v>
      </c>
      <c r="W238" s="648">
        <f t="shared" si="125"/>
        <v>0</v>
      </c>
      <c r="X238" s="648">
        <f t="shared" si="125"/>
        <v>0</v>
      </c>
      <c r="Y238" s="648">
        <f t="shared" si="125"/>
        <v>0</v>
      </c>
      <c r="Z238" s="648">
        <f t="shared" si="125"/>
        <v>0</v>
      </c>
      <c r="AA238" s="648">
        <f t="shared" si="125"/>
        <v>0</v>
      </c>
      <c r="AB238" s="648">
        <f t="shared" si="125"/>
        <v>0</v>
      </c>
      <c r="AC238" s="648">
        <f t="shared" si="125"/>
        <v>0</v>
      </c>
      <c r="AD238" s="648">
        <f t="shared" si="125"/>
        <v>0</v>
      </c>
      <c r="AE238" s="648">
        <f t="shared" si="125"/>
        <v>0</v>
      </c>
      <c r="AF238" s="648">
        <f t="shared" si="125"/>
        <v>0</v>
      </c>
      <c r="AG238" s="649">
        <f t="shared" si="125"/>
        <v>0</v>
      </c>
      <c r="AH238" s="650">
        <f t="shared" si="123"/>
        <v>0</v>
      </c>
      <c r="AI238" s="650">
        <f t="shared" si="124"/>
        <v>0</v>
      </c>
    </row>
    <row r="239" spans="1:35" x14ac:dyDescent="0.25">
      <c r="A239" s="19"/>
      <c r="B239" s="683" t="str">
        <f>B207</f>
        <v>その他収益②収益</v>
      </c>
      <c r="C239" s="675">
        <f t="shared" ref="C239:AG239" si="126">D207/1000000</f>
        <v>0</v>
      </c>
      <c r="D239" s="647">
        <f t="shared" si="126"/>
        <v>0</v>
      </c>
      <c r="E239" s="648">
        <f t="shared" si="126"/>
        <v>0</v>
      </c>
      <c r="F239" s="648">
        <f t="shared" si="126"/>
        <v>0</v>
      </c>
      <c r="G239" s="648">
        <f t="shared" si="126"/>
        <v>0</v>
      </c>
      <c r="H239" s="648">
        <f t="shared" si="126"/>
        <v>0</v>
      </c>
      <c r="I239" s="648">
        <f t="shared" si="126"/>
        <v>0</v>
      </c>
      <c r="J239" s="648">
        <f t="shared" si="126"/>
        <v>0</v>
      </c>
      <c r="K239" s="648">
        <f t="shared" si="126"/>
        <v>0</v>
      </c>
      <c r="L239" s="648">
        <f t="shared" si="126"/>
        <v>0</v>
      </c>
      <c r="M239" s="648">
        <f t="shared" si="126"/>
        <v>0</v>
      </c>
      <c r="N239" s="648">
        <f t="shared" si="126"/>
        <v>0</v>
      </c>
      <c r="O239" s="648">
        <f t="shared" si="126"/>
        <v>0</v>
      </c>
      <c r="P239" s="648">
        <f t="shared" si="126"/>
        <v>0</v>
      </c>
      <c r="Q239" s="648">
        <f t="shared" si="126"/>
        <v>0</v>
      </c>
      <c r="R239" s="648">
        <f t="shared" si="126"/>
        <v>0</v>
      </c>
      <c r="S239" s="648">
        <f t="shared" si="126"/>
        <v>0</v>
      </c>
      <c r="T239" s="648">
        <f t="shared" si="126"/>
        <v>0</v>
      </c>
      <c r="U239" s="648">
        <f t="shared" si="126"/>
        <v>0</v>
      </c>
      <c r="V239" s="648">
        <f t="shared" si="126"/>
        <v>0</v>
      </c>
      <c r="W239" s="648">
        <f t="shared" si="126"/>
        <v>0</v>
      </c>
      <c r="X239" s="648">
        <f t="shared" si="126"/>
        <v>0</v>
      </c>
      <c r="Y239" s="648">
        <f t="shared" si="126"/>
        <v>0</v>
      </c>
      <c r="Z239" s="648">
        <f t="shared" si="126"/>
        <v>0</v>
      </c>
      <c r="AA239" s="648">
        <f t="shared" si="126"/>
        <v>0</v>
      </c>
      <c r="AB239" s="648">
        <f t="shared" si="126"/>
        <v>0</v>
      </c>
      <c r="AC239" s="648">
        <f t="shared" si="126"/>
        <v>0</v>
      </c>
      <c r="AD239" s="648">
        <f t="shared" si="126"/>
        <v>0</v>
      </c>
      <c r="AE239" s="648">
        <f t="shared" si="126"/>
        <v>0</v>
      </c>
      <c r="AF239" s="648">
        <f t="shared" si="126"/>
        <v>0</v>
      </c>
      <c r="AG239" s="649">
        <f t="shared" si="126"/>
        <v>0</v>
      </c>
      <c r="AH239" s="650">
        <f t="shared" si="123"/>
        <v>0</v>
      </c>
      <c r="AI239" s="650">
        <f t="shared" si="124"/>
        <v>0</v>
      </c>
    </row>
    <row r="240" spans="1:35" x14ac:dyDescent="0.25">
      <c r="A240" s="19"/>
      <c r="B240" s="683" t="str">
        <f>B208</f>
        <v>その他収益③収益</v>
      </c>
      <c r="C240" s="675">
        <f t="shared" ref="C240:AG240" si="127">D208/1000000</f>
        <v>0</v>
      </c>
      <c r="D240" s="647">
        <f t="shared" si="127"/>
        <v>0</v>
      </c>
      <c r="E240" s="648">
        <f t="shared" si="127"/>
        <v>0</v>
      </c>
      <c r="F240" s="648">
        <f t="shared" si="127"/>
        <v>0</v>
      </c>
      <c r="G240" s="648">
        <f t="shared" si="127"/>
        <v>0</v>
      </c>
      <c r="H240" s="648">
        <f t="shared" si="127"/>
        <v>0</v>
      </c>
      <c r="I240" s="648">
        <f t="shared" si="127"/>
        <v>0</v>
      </c>
      <c r="J240" s="648">
        <f t="shared" si="127"/>
        <v>0</v>
      </c>
      <c r="K240" s="648">
        <f t="shared" si="127"/>
        <v>0</v>
      </c>
      <c r="L240" s="648">
        <f t="shared" si="127"/>
        <v>0</v>
      </c>
      <c r="M240" s="648">
        <f t="shared" si="127"/>
        <v>0</v>
      </c>
      <c r="N240" s="648">
        <f t="shared" si="127"/>
        <v>0</v>
      </c>
      <c r="O240" s="648">
        <f t="shared" si="127"/>
        <v>0</v>
      </c>
      <c r="P240" s="648">
        <f t="shared" si="127"/>
        <v>0</v>
      </c>
      <c r="Q240" s="648">
        <f t="shared" si="127"/>
        <v>0</v>
      </c>
      <c r="R240" s="648">
        <f t="shared" si="127"/>
        <v>0</v>
      </c>
      <c r="S240" s="648">
        <f t="shared" si="127"/>
        <v>0</v>
      </c>
      <c r="T240" s="648">
        <f t="shared" si="127"/>
        <v>0</v>
      </c>
      <c r="U240" s="648">
        <f t="shared" si="127"/>
        <v>0</v>
      </c>
      <c r="V240" s="648">
        <f t="shared" si="127"/>
        <v>0</v>
      </c>
      <c r="W240" s="648">
        <f t="shared" si="127"/>
        <v>0</v>
      </c>
      <c r="X240" s="648">
        <f t="shared" si="127"/>
        <v>0</v>
      </c>
      <c r="Y240" s="648">
        <f t="shared" si="127"/>
        <v>0</v>
      </c>
      <c r="Z240" s="648">
        <f t="shared" si="127"/>
        <v>0</v>
      </c>
      <c r="AA240" s="648">
        <f t="shared" si="127"/>
        <v>0</v>
      </c>
      <c r="AB240" s="648">
        <f t="shared" si="127"/>
        <v>0</v>
      </c>
      <c r="AC240" s="648">
        <f t="shared" si="127"/>
        <v>0</v>
      </c>
      <c r="AD240" s="648">
        <f t="shared" si="127"/>
        <v>0</v>
      </c>
      <c r="AE240" s="648">
        <f t="shared" si="127"/>
        <v>0</v>
      </c>
      <c r="AF240" s="648">
        <f t="shared" si="127"/>
        <v>0</v>
      </c>
      <c r="AG240" s="649">
        <f t="shared" si="127"/>
        <v>0</v>
      </c>
      <c r="AH240" s="650">
        <f t="shared" si="123"/>
        <v>0</v>
      </c>
      <c r="AI240" s="650">
        <f t="shared" si="124"/>
        <v>0</v>
      </c>
    </row>
    <row r="241" spans="1:35" x14ac:dyDescent="0.25">
      <c r="A241" s="19"/>
      <c r="B241" s="683" t="str">
        <f>B209</f>
        <v>その他収益④収益</v>
      </c>
      <c r="C241" s="675">
        <f t="shared" ref="C241:AG241" si="128">D209/1000000</f>
        <v>0</v>
      </c>
      <c r="D241" s="647">
        <f t="shared" si="128"/>
        <v>0</v>
      </c>
      <c r="E241" s="648">
        <f t="shared" si="128"/>
        <v>0</v>
      </c>
      <c r="F241" s="648">
        <f t="shared" si="128"/>
        <v>0</v>
      </c>
      <c r="G241" s="648">
        <f t="shared" si="128"/>
        <v>0</v>
      </c>
      <c r="H241" s="648">
        <f t="shared" si="128"/>
        <v>0</v>
      </c>
      <c r="I241" s="648">
        <f t="shared" si="128"/>
        <v>0</v>
      </c>
      <c r="J241" s="648">
        <f t="shared" si="128"/>
        <v>0</v>
      </c>
      <c r="K241" s="648">
        <f t="shared" si="128"/>
        <v>0</v>
      </c>
      <c r="L241" s="648">
        <f t="shared" si="128"/>
        <v>0</v>
      </c>
      <c r="M241" s="648">
        <f t="shared" si="128"/>
        <v>0</v>
      </c>
      <c r="N241" s="648">
        <f t="shared" si="128"/>
        <v>0</v>
      </c>
      <c r="O241" s="648">
        <f t="shared" si="128"/>
        <v>0</v>
      </c>
      <c r="P241" s="648">
        <f t="shared" si="128"/>
        <v>0</v>
      </c>
      <c r="Q241" s="648">
        <f t="shared" si="128"/>
        <v>0</v>
      </c>
      <c r="R241" s="648">
        <f t="shared" si="128"/>
        <v>0</v>
      </c>
      <c r="S241" s="648">
        <f t="shared" si="128"/>
        <v>0</v>
      </c>
      <c r="T241" s="648">
        <f t="shared" si="128"/>
        <v>0</v>
      </c>
      <c r="U241" s="648">
        <f t="shared" si="128"/>
        <v>0</v>
      </c>
      <c r="V241" s="648">
        <f t="shared" si="128"/>
        <v>0</v>
      </c>
      <c r="W241" s="648">
        <f t="shared" si="128"/>
        <v>0</v>
      </c>
      <c r="X241" s="648">
        <f t="shared" si="128"/>
        <v>0</v>
      </c>
      <c r="Y241" s="648">
        <f t="shared" si="128"/>
        <v>0</v>
      </c>
      <c r="Z241" s="648">
        <f t="shared" si="128"/>
        <v>0</v>
      </c>
      <c r="AA241" s="648">
        <f t="shared" si="128"/>
        <v>0</v>
      </c>
      <c r="AB241" s="648">
        <f t="shared" si="128"/>
        <v>0</v>
      </c>
      <c r="AC241" s="648">
        <f t="shared" si="128"/>
        <v>0</v>
      </c>
      <c r="AD241" s="648">
        <f t="shared" si="128"/>
        <v>0</v>
      </c>
      <c r="AE241" s="648">
        <f t="shared" si="128"/>
        <v>0</v>
      </c>
      <c r="AF241" s="648">
        <f t="shared" si="128"/>
        <v>0</v>
      </c>
      <c r="AG241" s="649">
        <f t="shared" si="128"/>
        <v>0</v>
      </c>
      <c r="AH241" s="650">
        <f t="shared" si="123"/>
        <v>0</v>
      </c>
      <c r="AI241" s="650">
        <f t="shared" si="124"/>
        <v>0</v>
      </c>
    </row>
    <row r="242" spans="1:35" x14ac:dyDescent="0.25">
      <c r="A242" s="19"/>
      <c r="B242" s="683" t="str">
        <f>B210</f>
        <v>その他収益⑤収益</v>
      </c>
      <c r="C242" s="675">
        <f t="shared" ref="C242:AG242" si="129">D210/1000000</f>
        <v>0</v>
      </c>
      <c r="D242" s="647">
        <f t="shared" si="129"/>
        <v>0</v>
      </c>
      <c r="E242" s="648">
        <f t="shared" si="129"/>
        <v>0</v>
      </c>
      <c r="F242" s="648">
        <f t="shared" si="129"/>
        <v>0</v>
      </c>
      <c r="G242" s="648">
        <f t="shared" si="129"/>
        <v>0</v>
      </c>
      <c r="H242" s="648">
        <f t="shared" si="129"/>
        <v>0</v>
      </c>
      <c r="I242" s="648">
        <f t="shared" si="129"/>
        <v>0</v>
      </c>
      <c r="J242" s="648">
        <f t="shared" si="129"/>
        <v>0</v>
      </c>
      <c r="K242" s="648">
        <f t="shared" si="129"/>
        <v>0</v>
      </c>
      <c r="L242" s="648">
        <f t="shared" si="129"/>
        <v>0</v>
      </c>
      <c r="M242" s="648">
        <f t="shared" si="129"/>
        <v>0</v>
      </c>
      <c r="N242" s="648">
        <f t="shared" si="129"/>
        <v>0</v>
      </c>
      <c r="O242" s="648">
        <f t="shared" si="129"/>
        <v>0</v>
      </c>
      <c r="P242" s="648">
        <f t="shared" si="129"/>
        <v>0</v>
      </c>
      <c r="Q242" s="648">
        <f t="shared" si="129"/>
        <v>0</v>
      </c>
      <c r="R242" s="648">
        <f t="shared" si="129"/>
        <v>0</v>
      </c>
      <c r="S242" s="648">
        <f t="shared" si="129"/>
        <v>0</v>
      </c>
      <c r="T242" s="648">
        <f t="shared" si="129"/>
        <v>0</v>
      </c>
      <c r="U242" s="648">
        <f t="shared" si="129"/>
        <v>0</v>
      </c>
      <c r="V242" s="648">
        <f t="shared" si="129"/>
        <v>0</v>
      </c>
      <c r="W242" s="648">
        <f t="shared" si="129"/>
        <v>0</v>
      </c>
      <c r="X242" s="648">
        <f t="shared" si="129"/>
        <v>0</v>
      </c>
      <c r="Y242" s="648">
        <f t="shared" si="129"/>
        <v>0</v>
      </c>
      <c r="Z242" s="648">
        <f t="shared" si="129"/>
        <v>0</v>
      </c>
      <c r="AA242" s="648">
        <f t="shared" si="129"/>
        <v>0</v>
      </c>
      <c r="AB242" s="648">
        <f t="shared" si="129"/>
        <v>0</v>
      </c>
      <c r="AC242" s="648">
        <f t="shared" si="129"/>
        <v>0</v>
      </c>
      <c r="AD242" s="648">
        <f t="shared" si="129"/>
        <v>0</v>
      </c>
      <c r="AE242" s="648">
        <f t="shared" si="129"/>
        <v>0</v>
      </c>
      <c r="AF242" s="648">
        <f t="shared" si="129"/>
        <v>0</v>
      </c>
      <c r="AG242" s="649">
        <f t="shared" si="129"/>
        <v>0</v>
      </c>
      <c r="AH242" s="650">
        <f t="shared" si="123"/>
        <v>0</v>
      </c>
      <c r="AI242" s="650">
        <f t="shared" si="124"/>
        <v>0</v>
      </c>
    </row>
    <row r="243" spans="1:35" ht="13" thickBot="1" x14ac:dyDescent="0.3">
      <c r="A243" s="19"/>
      <c r="B243" s="684" t="s">
        <v>68</v>
      </c>
      <c r="C243" s="676">
        <f t="shared" ref="C243:AG243" si="130">D211/1000000</f>
        <v>0</v>
      </c>
      <c r="D243" s="665">
        <f t="shared" si="130"/>
        <v>0</v>
      </c>
      <c r="E243" s="666">
        <f t="shared" si="130"/>
        <v>0</v>
      </c>
      <c r="F243" s="666">
        <f t="shared" si="130"/>
        <v>0</v>
      </c>
      <c r="G243" s="666">
        <f t="shared" si="130"/>
        <v>0</v>
      </c>
      <c r="H243" s="666">
        <f t="shared" si="130"/>
        <v>0</v>
      </c>
      <c r="I243" s="666">
        <f t="shared" si="130"/>
        <v>0</v>
      </c>
      <c r="J243" s="666">
        <f t="shared" si="130"/>
        <v>0</v>
      </c>
      <c r="K243" s="666">
        <f t="shared" si="130"/>
        <v>0</v>
      </c>
      <c r="L243" s="666">
        <f t="shared" si="130"/>
        <v>0</v>
      </c>
      <c r="M243" s="666">
        <f t="shared" si="130"/>
        <v>0</v>
      </c>
      <c r="N243" s="666">
        <f t="shared" si="130"/>
        <v>0</v>
      </c>
      <c r="O243" s="666">
        <f t="shared" si="130"/>
        <v>0</v>
      </c>
      <c r="P243" s="666">
        <f t="shared" si="130"/>
        <v>0</v>
      </c>
      <c r="Q243" s="666">
        <f t="shared" si="130"/>
        <v>0</v>
      </c>
      <c r="R243" s="666">
        <f t="shared" si="130"/>
        <v>0</v>
      </c>
      <c r="S243" s="666">
        <f t="shared" si="130"/>
        <v>0</v>
      </c>
      <c r="T243" s="666">
        <f t="shared" si="130"/>
        <v>0</v>
      </c>
      <c r="U243" s="666">
        <f t="shared" si="130"/>
        <v>0</v>
      </c>
      <c r="V243" s="666">
        <f t="shared" si="130"/>
        <v>0</v>
      </c>
      <c r="W243" s="666">
        <f t="shared" si="130"/>
        <v>0</v>
      </c>
      <c r="X243" s="666">
        <f t="shared" si="130"/>
        <v>0</v>
      </c>
      <c r="Y243" s="666">
        <f t="shared" si="130"/>
        <v>0</v>
      </c>
      <c r="Z243" s="666">
        <f t="shared" si="130"/>
        <v>0</v>
      </c>
      <c r="AA243" s="666">
        <f t="shared" si="130"/>
        <v>0</v>
      </c>
      <c r="AB243" s="666">
        <f t="shared" si="130"/>
        <v>0</v>
      </c>
      <c r="AC243" s="666">
        <f t="shared" si="130"/>
        <v>0</v>
      </c>
      <c r="AD243" s="666">
        <f t="shared" si="130"/>
        <v>0</v>
      </c>
      <c r="AE243" s="666">
        <f t="shared" si="130"/>
        <v>0</v>
      </c>
      <c r="AF243" s="666">
        <f t="shared" si="130"/>
        <v>0</v>
      </c>
      <c r="AG243" s="667">
        <f t="shared" si="130"/>
        <v>0</v>
      </c>
      <c r="AH243" s="668">
        <f t="shared" si="123"/>
        <v>0</v>
      </c>
      <c r="AI243" s="668">
        <f t="shared" si="124"/>
        <v>0</v>
      </c>
    </row>
    <row r="244" spans="1:35" x14ac:dyDescent="0.25">
      <c r="A244" s="19"/>
      <c r="B244" s="685" t="s">
        <v>119</v>
      </c>
      <c r="C244" s="677">
        <f t="shared" ref="C244:AG244" si="131">-D214/1000000</f>
        <v>0</v>
      </c>
      <c r="D244" s="661">
        <f t="shared" si="131"/>
        <v>-495</v>
      </c>
      <c r="E244" s="662">
        <f t="shared" si="131"/>
        <v>-495</v>
      </c>
      <c r="F244" s="662">
        <f t="shared" si="131"/>
        <v>-495</v>
      </c>
      <c r="G244" s="662">
        <f t="shared" si="131"/>
        <v>-495</v>
      </c>
      <c r="H244" s="662">
        <f t="shared" si="131"/>
        <v>-495</v>
      </c>
      <c r="I244" s="662">
        <f t="shared" si="131"/>
        <v>-495</v>
      </c>
      <c r="J244" s="662">
        <f t="shared" si="131"/>
        <v>-495</v>
      </c>
      <c r="K244" s="662">
        <f t="shared" si="131"/>
        <v>-495</v>
      </c>
      <c r="L244" s="662">
        <f t="shared" si="131"/>
        <v>-495</v>
      </c>
      <c r="M244" s="662">
        <f t="shared" si="131"/>
        <v>-495</v>
      </c>
      <c r="N244" s="662">
        <f t="shared" si="131"/>
        <v>-495</v>
      </c>
      <c r="O244" s="662">
        <f t="shared" si="131"/>
        <v>-495</v>
      </c>
      <c r="P244" s="662">
        <f t="shared" si="131"/>
        <v>-495</v>
      </c>
      <c r="Q244" s="662">
        <f t="shared" si="131"/>
        <v>-495</v>
      </c>
      <c r="R244" s="662">
        <f t="shared" si="131"/>
        <v>-495</v>
      </c>
      <c r="S244" s="662">
        <f t="shared" si="131"/>
        <v>-495</v>
      </c>
      <c r="T244" s="662">
        <f t="shared" si="131"/>
        <v>-495</v>
      </c>
      <c r="U244" s="662">
        <f t="shared" si="131"/>
        <v>-495</v>
      </c>
      <c r="V244" s="662">
        <f t="shared" si="131"/>
        <v>-495</v>
      </c>
      <c r="W244" s="662">
        <f t="shared" si="131"/>
        <v>-495</v>
      </c>
      <c r="X244" s="662">
        <f t="shared" si="131"/>
        <v>-495</v>
      </c>
      <c r="Y244" s="662">
        <f t="shared" si="131"/>
        <v>-495</v>
      </c>
      <c r="Z244" s="662">
        <f t="shared" si="131"/>
        <v>-495</v>
      </c>
      <c r="AA244" s="662">
        <f t="shared" si="131"/>
        <v>-495</v>
      </c>
      <c r="AB244" s="662">
        <f t="shared" si="131"/>
        <v>-495</v>
      </c>
      <c r="AC244" s="662">
        <f t="shared" si="131"/>
        <v>-495</v>
      </c>
      <c r="AD244" s="662">
        <f t="shared" si="131"/>
        <v>-495</v>
      </c>
      <c r="AE244" s="662">
        <f t="shared" si="131"/>
        <v>-495</v>
      </c>
      <c r="AF244" s="662">
        <f t="shared" si="131"/>
        <v>-495</v>
      </c>
      <c r="AG244" s="663">
        <f t="shared" si="131"/>
        <v>-495</v>
      </c>
      <c r="AH244" s="664">
        <f t="shared" si="123"/>
        <v>-9900</v>
      </c>
      <c r="AI244" s="664">
        <f t="shared" si="124"/>
        <v>-14850</v>
      </c>
    </row>
    <row r="245" spans="1:35" x14ac:dyDescent="0.25">
      <c r="A245" s="19"/>
      <c r="B245" s="683" t="str">
        <f>B215</f>
        <v>設備費用</v>
      </c>
      <c r="C245" s="675">
        <f t="shared" ref="C245:C260" si="132">-D215/1000000</f>
        <v>-3615.1434312222727</v>
      </c>
      <c r="D245" s="647">
        <f t="shared" ref="D245:AG246" si="133">-E215/1000000</f>
        <v>0</v>
      </c>
      <c r="E245" s="648">
        <f t="shared" si="133"/>
        <v>0</v>
      </c>
      <c r="F245" s="648">
        <f t="shared" si="133"/>
        <v>0</v>
      </c>
      <c r="G245" s="648">
        <f t="shared" si="133"/>
        <v>0</v>
      </c>
      <c r="H245" s="648">
        <f t="shared" si="133"/>
        <v>0</v>
      </c>
      <c r="I245" s="648">
        <f t="shared" si="133"/>
        <v>0</v>
      </c>
      <c r="J245" s="648">
        <f t="shared" si="133"/>
        <v>0</v>
      </c>
      <c r="K245" s="648">
        <f t="shared" si="133"/>
        <v>0</v>
      </c>
      <c r="L245" s="648">
        <f t="shared" si="133"/>
        <v>0</v>
      </c>
      <c r="M245" s="648">
        <f t="shared" si="133"/>
        <v>0</v>
      </c>
      <c r="N245" s="648">
        <f t="shared" si="133"/>
        <v>0</v>
      </c>
      <c r="O245" s="648">
        <f t="shared" si="133"/>
        <v>0</v>
      </c>
      <c r="P245" s="648">
        <f t="shared" si="133"/>
        <v>0</v>
      </c>
      <c r="Q245" s="648">
        <f t="shared" si="133"/>
        <v>0</v>
      </c>
      <c r="R245" s="648">
        <f t="shared" si="133"/>
        <v>0</v>
      </c>
      <c r="S245" s="648">
        <f t="shared" si="133"/>
        <v>0</v>
      </c>
      <c r="T245" s="648">
        <f t="shared" si="133"/>
        <v>0</v>
      </c>
      <c r="U245" s="648">
        <f t="shared" si="133"/>
        <v>0</v>
      </c>
      <c r="V245" s="648">
        <f t="shared" si="133"/>
        <v>0</v>
      </c>
      <c r="W245" s="648">
        <f t="shared" si="133"/>
        <v>0</v>
      </c>
      <c r="X245" s="648">
        <f t="shared" si="133"/>
        <v>0</v>
      </c>
      <c r="Y245" s="648">
        <f t="shared" si="133"/>
        <v>0</v>
      </c>
      <c r="Z245" s="648">
        <f t="shared" si="133"/>
        <v>0</v>
      </c>
      <c r="AA245" s="648">
        <f t="shared" si="133"/>
        <v>0</v>
      </c>
      <c r="AB245" s="648">
        <f t="shared" si="133"/>
        <v>0</v>
      </c>
      <c r="AC245" s="648">
        <f t="shared" si="133"/>
        <v>0</v>
      </c>
      <c r="AD245" s="648">
        <f t="shared" si="133"/>
        <v>0</v>
      </c>
      <c r="AE245" s="648">
        <f t="shared" si="133"/>
        <v>0</v>
      </c>
      <c r="AF245" s="648">
        <f t="shared" si="133"/>
        <v>0</v>
      </c>
      <c r="AG245" s="649">
        <f t="shared" si="133"/>
        <v>0</v>
      </c>
      <c r="AH245" s="650">
        <f t="shared" si="123"/>
        <v>-3615.1434312222727</v>
      </c>
      <c r="AI245" s="650">
        <f t="shared" si="124"/>
        <v>-3615.1434312222727</v>
      </c>
    </row>
    <row r="246" spans="1:35" x14ac:dyDescent="0.25">
      <c r="A246" s="19"/>
      <c r="B246" s="686" t="str">
        <f t="shared" ref="B246:B260" si="134">B216</f>
        <v>工事費</v>
      </c>
      <c r="C246" s="675">
        <f t="shared" si="132"/>
        <v>-1205.0478104074243</v>
      </c>
      <c r="D246" s="647">
        <f t="shared" si="133"/>
        <v>0</v>
      </c>
      <c r="E246" s="648">
        <f t="shared" si="133"/>
        <v>0</v>
      </c>
      <c r="F246" s="648">
        <f t="shared" si="133"/>
        <v>0</v>
      </c>
      <c r="G246" s="648">
        <f t="shared" si="133"/>
        <v>0</v>
      </c>
      <c r="H246" s="648">
        <f t="shared" si="133"/>
        <v>0</v>
      </c>
      <c r="I246" s="648">
        <f t="shared" si="133"/>
        <v>0</v>
      </c>
      <c r="J246" s="648">
        <f t="shared" si="133"/>
        <v>0</v>
      </c>
      <c r="K246" s="648">
        <f t="shared" si="133"/>
        <v>0</v>
      </c>
      <c r="L246" s="648">
        <f t="shared" si="133"/>
        <v>0</v>
      </c>
      <c r="M246" s="648">
        <f t="shared" si="133"/>
        <v>0</v>
      </c>
      <c r="N246" s="648">
        <f t="shared" si="133"/>
        <v>0</v>
      </c>
      <c r="O246" s="648">
        <f t="shared" si="133"/>
        <v>0</v>
      </c>
      <c r="P246" s="648">
        <f t="shared" si="133"/>
        <v>0</v>
      </c>
      <c r="Q246" s="648">
        <f t="shared" si="133"/>
        <v>0</v>
      </c>
      <c r="R246" s="648">
        <f t="shared" si="133"/>
        <v>0</v>
      </c>
      <c r="S246" s="648">
        <f t="shared" si="133"/>
        <v>0</v>
      </c>
      <c r="T246" s="648">
        <f t="shared" si="133"/>
        <v>0</v>
      </c>
      <c r="U246" s="648">
        <f t="shared" si="133"/>
        <v>0</v>
      </c>
      <c r="V246" s="648">
        <f t="shared" si="133"/>
        <v>0</v>
      </c>
      <c r="W246" s="648">
        <f t="shared" si="133"/>
        <v>0</v>
      </c>
      <c r="X246" s="648">
        <f t="shared" si="133"/>
        <v>0</v>
      </c>
      <c r="Y246" s="648">
        <f t="shared" si="133"/>
        <v>0</v>
      </c>
      <c r="Z246" s="648">
        <f t="shared" si="133"/>
        <v>0</v>
      </c>
      <c r="AA246" s="648">
        <f t="shared" si="133"/>
        <v>0</v>
      </c>
      <c r="AB246" s="648">
        <f t="shared" si="133"/>
        <v>0</v>
      </c>
      <c r="AC246" s="648">
        <f t="shared" si="133"/>
        <v>0</v>
      </c>
      <c r="AD246" s="648">
        <f t="shared" si="133"/>
        <v>0</v>
      </c>
      <c r="AE246" s="648">
        <f t="shared" si="133"/>
        <v>0</v>
      </c>
      <c r="AF246" s="648">
        <f t="shared" si="133"/>
        <v>0</v>
      </c>
      <c r="AG246" s="649">
        <f t="shared" si="133"/>
        <v>0</v>
      </c>
      <c r="AH246" s="650">
        <f t="shared" si="123"/>
        <v>-1205.0478104074243</v>
      </c>
      <c r="AI246" s="650">
        <f t="shared" si="124"/>
        <v>-1205.0478104074243</v>
      </c>
    </row>
    <row r="247" spans="1:35" x14ac:dyDescent="0.25">
      <c r="A247" s="19"/>
      <c r="B247" s="686" t="str">
        <f t="shared" si="134"/>
        <v>ユーティリティー費用</v>
      </c>
      <c r="C247" s="675">
        <f t="shared" si="132"/>
        <v>0</v>
      </c>
      <c r="D247" s="647">
        <f t="shared" ref="D247:AG247" si="135">-E217/1000000</f>
        <v>-84.281810798385692</v>
      </c>
      <c r="E247" s="648">
        <f t="shared" si="135"/>
        <v>-84.281810798385692</v>
      </c>
      <c r="F247" s="648">
        <f t="shared" si="135"/>
        <v>-84.281810798385692</v>
      </c>
      <c r="G247" s="648">
        <f t="shared" si="135"/>
        <v>-84.281810798385692</v>
      </c>
      <c r="H247" s="648">
        <f t="shared" si="135"/>
        <v>-84.281810798385692</v>
      </c>
      <c r="I247" s="648">
        <f t="shared" si="135"/>
        <v>-84.281810798385692</v>
      </c>
      <c r="J247" s="648">
        <f t="shared" si="135"/>
        <v>-84.281810798385692</v>
      </c>
      <c r="K247" s="648">
        <f t="shared" si="135"/>
        <v>-84.281810798385692</v>
      </c>
      <c r="L247" s="648">
        <f t="shared" si="135"/>
        <v>-84.281810798385692</v>
      </c>
      <c r="M247" s="648">
        <f t="shared" si="135"/>
        <v>-84.281810798385692</v>
      </c>
      <c r="N247" s="648">
        <f t="shared" si="135"/>
        <v>-84.281810798385692</v>
      </c>
      <c r="O247" s="648">
        <f t="shared" si="135"/>
        <v>-84.281810798385692</v>
      </c>
      <c r="P247" s="648">
        <f t="shared" si="135"/>
        <v>-84.281810798385692</v>
      </c>
      <c r="Q247" s="648">
        <f t="shared" si="135"/>
        <v>-84.281810798385692</v>
      </c>
      <c r="R247" s="648">
        <f t="shared" si="135"/>
        <v>-84.281810798385692</v>
      </c>
      <c r="S247" s="648">
        <f t="shared" si="135"/>
        <v>-84.281810798385692</v>
      </c>
      <c r="T247" s="648">
        <f t="shared" si="135"/>
        <v>-84.281810798385692</v>
      </c>
      <c r="U247" s="648">
        <f t="shared" si="135"/>
        <v>-84.281810798385692</v>
      </c>
      <c r="V247" s="648">
        <f t="shared" si="135"/>
        <v>-84.281810798385692</v>
      </c>
      <c r="W247" s="648">
        <f t="shared" si="135"/>
        <v>-84.281810798385692</v>
      </c>
      <c r="X247" s="648">
        <f t="shared" si="135"/>
        <v>-84.281810798385692</v>
      </c>
      <c r="Y247" s="648">
        <f t="shared" si="135"/>
        <v>-84.281810798385692</v>
      </c>
      <c r="Z247" s="648">
        <f t="shared" si="135"/>
        <v>-84.281810798385692</v>
      </c>
      <c r="AA247" s="648">
        <f t="shared" si="135"/>
        <v>-84.281810798385692</v>
      </c>
      <c r="AB247" s="648">
        <f t="shared" si="135"/>
        <v>-84.281810798385692</v>
      </c>
      <c r="AC247" s="648">
        <f t="shared" si="135"/>
        <v>-84.281810798385692</v>
      </c>
      <c r="AD247" s="648">
        <f t="shared" si="135"/>
        <v>-84.281810798385692</v>
      </c>
      <c r="AE247" s="648">
        <f t="shared" si="135"/>
        <v>-84.281810798385692</v>
      </c>
      <c r="AF247" s="648">
        <f t="shared" si="135"/>
        <v>-84.281810798385692</v>
      </c>
      <c r="AG247" s="649">
        <f t="shared" si="135"/>
        <v>-84.281810798385692</v>
      </c>
      <c r="AH247" s="650">
        <f t="shared" si="123"/>
        <v>-1685.6362159677142</v>
      </c>
      <c r="AI247" s="650">
        <f t="shared" si="124"/>
        <v>-2528.454323951572</v>
      </c>
    </row>
    <row r="248" spans="1:35" x14ac:dyDescent="0.25">
      <c r="A248" s="19"/>
      <c r="B248" s="686" t="str">
        <f t="shared" si="134"/>
        <v>灰処理費用</v>
      </c>
      <c r="C248" s="675">
        <f t="shared" si="132"/>
        <v>0</v>
      </c>
      <c r="D248" s="647">
        <f t="shared" ref="D248:AG248" si="136">-E218/1000000</f>
        <v>-60.201293427418356</v>
      </c>
      <c r="E248" s="648">
        <f t="shared" si="136"/>
        <v>-60.201293427418356</v>
      </c>
      <c r="F248" s="648">
        <f t="shared" si="136"/>
        <v>-60.201293427418356</v>
      </c>
      <c r="G248" s="648">
        <f t="shared" si="136"/>
        <v>-60.201293427418356</v>
      </c>
      <c r="H248" s="648">
        <f t="shared" si="136"/>
        <v>-60.201293427418356</v>
      </c>
      <c r="I248" s="648">
        <f t="shared" si="136"/>
        <v>-60.201293427418356</v>
      </c>
      <c r="J248" s="648">
        <f t="shared" si="136"/>
        <v>-60.201293427418356</v>
      </c>
      <c r="K248" s="648">
        <f t="shared" si="136"/>
        <v>-60.201293427418356</v>
      </c>
      <c r="L248" s="648">
        <f t="shared" si="136"/>
        <v>-60.201293427418356</v>
      </c>
      <c r="M248" s="648">
        <f t="shared" si="136"/>
        <v>-60.201293427418356</v>
      </c>
      <c r="N248" s="648">
        <f t="shared" si="136"/>
        <v>-60.201293427418356</v>
      </c>
      <c r="O248" s="648">
        <f t="shared" si="136"/>
        <v>-60.201293427418356</v>
      </c>
      <c r="P248" s="648">
        <f t="shared" si="136"/>
        <v>-60.201293427418356</v>
      </c>
      <c r="Q248" s="648">
        <f t="shared" si="136"/>
        <v>-60.201293427418356</v>
      </c>
      <c r="R248" s="648">
        <f t="shared" si="136"/>
        <v>-60.201293427418356</v>
      </c>
      <c r="S248" s="648">
        <f t="shared" si="136"/>
        <v>-60.201293427418356</v>
      </c>
      <c r="T248" s="648">
        <f t="shared" si="136"/>
        <v>-60.201293427418356</v>
      </c>
      <c r="U248" s="648">
        <f t="shared" si="136"/>
        <v>-60.201293427418356</v>
      </c>
      <c r="V248" s="648">
        <f t="shared" si="136"/>
        <v>-60.201293427418356</v>
      </c>
      <c r="W248" s="648">
        <f t="shared" si="136"/>
        <v>-60.201293427418356</v>
      </c>
      <c r="X248" s="648">
        <f t="shared" si="136"/>
        <v>-60.201293427418356</v>
      </c>
      <c r="Y248" s="648">
        <f t="shared" si="136"/>
        <v>-60.201293427418356</v>
      </c>
      <c r="Z248" s="648">
        <f t="shared" si="136"/>
        <v>-60.201293427418356</v>
      </c>
      <c r="AA248" s="648">
        <f t="shared" si="136"/>
        <v>-60.201293427418356</v>
      </c>
      <c r="AB248" s="648">
        <f t="shared" si="136"/>
        <v>-60.201293427418356</v>
      </c>
      <c r="AC248" s="648">
        <f t="shared" si="136"/>
        <v>-60.201293427418356</v>
      </c>
      <c r="AD248" s="648">
        <f t="shared" si="136"/>
        <v>-60.201293427418356</v>
      </c>
      <c r="AE248" s="648">
        <f t="shared" si="136"/>
        <v>-60.201293427418356</v>
      </c>
      <c r="AF248" s="648">
        <f t="shared" si="136"/>
        <v>-60.201293427418356</v>
      </c>
      <c r="AG248" s="649">
        <f t="shared" si="136"/>
        <v>-60.201293427418356</v>
      </c>
      <c r="AH248" s="650">
        <f>SUM(C248:W248)</f>
        <v>-1204.0258685483668</v>
      </c>
      <c r="AI248" s="650">
        <f t="shared" si="124"/>
        <v>-1806.0388028225493</v>
      </c>
    </row>
    <row r="249" spans="1:35" x14ac:dyDescent="0.25">
      <c r="A249" s="19"/>
      <c r="B249" s="686" t="str">
        <f t="shared" si="134"/>
        <v>変動費③＜その他・費目を入力＞</v>
      </c>
      <c r="C249" s="675">
        <f t="shared" si="132"/>
        <v>0</v>
      </c>
      <c r="D249" s="647">
        <f t="shared" ref="D249:AG249" si="137">-E219/1000000</f>
        <v>0</v>
      </c>
      <c r="E249" s="648">
        <f t="shared" si="137"/>
        <v>0</v>
      </c>
      <c r="F249" s="648">
        <f t="shared" si="137"/>
        <v>0</v>
      </c>
      <c r="G249" s="648">
        <f t="shared" si="137"/>
        <v>0</v>
      </c>
      <c r="H249" s="648">
        <f t="shared" si="137"/>
        <v>0</v>
      </c>
      <c r="I249" s="648">
        <f t="shared" si="137"/>
        <v>0</v>
      </c>
      <c r="J249" s="648">
        <f t="shared" si="137"/>
        <v>0</v>
      </c>
      <c r="K249" s="648">
        <f t="shared" si="137"/>
        <v>0</v>
      </c>
      <c r="L249" s="648">
        <f t="shared" si="137"/>
        <v>0</v>
      </c>
      <c r="M249" s="648">
        <f t="shared" si="137"/>
        <v>0</v>
      </c>
      <c r="N249" s="648">
        <f t="shared" si="137"/>
        <v>0</v>
      </c>
      <c r="O249" s="648">
        <f t="shared" si="137"/>
        <v>0</v>
      </c>
      <c r="P249" s="648">
        <f t="shared" si="137"/>
        <v>0</v>
      </c>
      <c r="Q249" s="648">
        <f t="shared" si="137"/>
        <v>0</v>
      </c>
      <c r="R249" s="648">
        <f t="shared" si="137"/>
        <v>0</v>
      </c>
      <c r="S249" s="648">
        <f t="shared" si="137"/>
        <v>0</v>
      </c>
      <c r="T249" s="648">
        <f t="shared" si="137"/>
        <v>0</v>
      </c>
      <c r="U249" s="648">
        <f t="shared" si="137"/>
        <v>0</v>
      </c>
      <c r="V249" s="648">
        <f t="shared" si="137"/>
        <v>0</v>
      </c>
      <c r="W249" s="648">
        <f t="shared" si="137"/>
        <v>0</v>
      </c>
      <c r="X249" s="648">
        <f t="shared" si="137"/>
        <v>0</v>
      </c>
      <c r="Y249" s="648">
        <f t="shared" si="137"/>
        <v>0</v>
      </c>
      <c r="Z249" s="648">
        <f t="shared" si="137"/>
        <v>0</v>
      </c>
      <c r="AA249" s="648">
        <f t="shared" si="137"/>
        <v>0</v>
      </c>
      <c r="AB249" s="648">
        <f t="shared" si="137"/>
        <v>0</v>
      </c>
      <c r="AC249" s="648">
        <f t="shared" si="137"/>
        <v>0</v>
      </c>
      <c r="AD249" s="648">
        <f t="shared" si="137"/>
        <v>0</v>
      </c>
      <c r="AE249" s="648">
        <f t="shared" si="137"/>
        <v>0</v>
      </c>
      <c r="AF249" s="648">
        <f t="shared" si="137"/>
        <v>0</v>
      </c>
      <c r="AG249" s="649">
        <f t="shared" si="137"/>
        <v>0</v>
      </c>
      <c r="AH249" s="650">
        <f t="shared" si="123"/>
        <v>0</v>
      </c>
      <c r="AI249" s="650">
        <f t="shared" si="124"/>
        <v>0</v>
      </c>
    </row>
    <row r="250" spans="1:35" x14ac:dyDescent="0.25">
      <c r="A250" s="19"/>
      <c r="B250" s="686" t="str">
        <f t="shared" si="134"/>
        <v>変動費④＜その他・費目を入力＞</v>
      </c>
      <c r="C250" s="675">
        <f t="shared" si="132"/>
        <v>0</v>
      </c>
      <c r="D250" s="647">
        <f t="shared" ref="D250:AG250" si="138">-E221/1000000</f>
        <v>0</v>
      </c>
      <c r="E250" s="648">
        <f t="shared" si="138"/>
        <v>0</v>
      </c>
      <c r="F250" s="648">
        <f t="shared" si="138"/>
        <v>0</v>
      </c>
      <c r="G250" s="648">
        <f t="shared" si="138"/>
        <v>0</v>
      </c>
      <c r="H250" s="648">
        <f t="shared" si="138"/>
        <v>0</v>
      </c>
      <c r="I250" s="648">
        <f t="shared" si="138"/>
        <v>0</v>
      </c>
      <c r="J250" s="648">
        <f t="shared" si="138"/>
        <v>0</v>
      </c>
      <c r="K250" s="648">
        <f t="shared" si="138"/>
        <v>0</v>
      </c>
      <c r="L250" s="648">
        <f t="shared" si="138"/>
        <v>0</v>
      </c>
      <c r="M250" s="648">
        <f t="shared" si="138"/>
        <v>0</v>
      </c>
      <c r="N250" s="648">
        <f t="shared" si="138"/>
        <v>0</v>
      </c>
      <c r="O250" s="648">
        <f t="shared" si="138"/>
        <v>0</v>
      </c>
      <c r="P250" s="648">
        <f t="shared" si="138"/>
        <v>0</v>
      </c>
      <c r="Q250" s="648">
        <f t="shared" si="138"/>
        <v>0</v>
      </c>
      <c r="R250" s="648">
        <f t="shared" si="138"/>
        <v>0</v>
      </c>
      <c r="S250" s="648">
        <f t="shared" si="138"/>
        <v>0</v>
      </c>
      <c r="T250" s="648">
        <f t="shared" si="138"/>
        <v>0</v>
      </c>
      <c r="U250" s="648">
        <f t="shared" si="138"/>
        <v>0</v>
      </c>
      <c r="V250" s="648">
        <f t="shared" si="138"/>
        <v>0</v>
      </c>
      <c r="W250" s="648">
        <f t="shared" si="138"/>
        <v>0</v>
      </c>
      <c r="X250" s="648">
        <f t="shared" si="138"/>
        <v>0</v>
      </c>
      <c r="Y250" s="648">
        <f t="shared" si="138"/>
        <v>0</v>
      </c>
      <c r="Z250" s="648">
        <f t="shared" si="138"/>
        <v>0</v>
      </c>
      <c r="AA250" s="648">
        <f t="shared" si="138"/>
        <v>0</v>
      </c>
      <c r="AB250" s="648">
        <f t="shared" si="138"/>
        <v>0</v>
      </c>
      <c r="AC250" s="648">
        <f t="shared" si="138"/>
        <v>0</v>
      </c>
      <c r="AD250" s="648">
        <f t="shared" si="138"/>
        <v>0</v>
      </c>
      <c r="AE250" s="648">
        <f t="shared" si="138"/>
        <v>0</v>
      </c>
      <c r="AF250" s="648">
        <f t="shared" si="138"/>
        <v>0</v>
      </c>
      <c r="AG250" s="649">
        <f t="shared" si="138"/>
        <v>0</v>
      </c>
      <c r="AH250" s="650">
        <f t="shared" si="123"/>
        <v>0</v>
      </c>
      <c r="AI250" s="650">
        <f t="shared" si="124"/>
        <v>0</v>
      </c>
    </row>
    <row r="251" spans="1:35" x14ac:dyDescent="0.25">
      <c r="A251" s="19"/>
      <c r="B251" s="683" t="str">
        <f t="shared" si="134"/>
        <v>変動費⑤＜その他・費目を入力＞</v>
      </c>
      <c r="C251" s="675">
        <f t="shared" si="132"/>
        <v>0</v>
      </c>
      <c r="D251" s="647">
        <f t="shared" ref="D251:AG251" si="139">-E222/1000000</f>
        <v>0</v>
      </c>
      <c r="E251" s="648">
        <f t="shared" si="139"/>
        <v>0</v>
      </c>
      <c r="F251" s="648">
        <f t="shared" si="139"/>
        <v>0</v>
      </c>
      <c r="G251" s="648">
        <f t="shared" si="139"/>
        <v>0</v>
      </c>
      <c r="H251" s="648">
        <f t="shared" si="139"/>
        <v>0</v>
      </c>
      <c r="I251" s="648">
        <f t="shared" si="139"/>
        <v>0</v>
      </c>
      <c r="J251" s="648">
        <f t="shared" si="139"/>
        <v>0</v>
      </c>
      <c r="K251" s="648">
        <f t="shared" si="139"/>
        <v>0</v>
      </c>
      <c r="L251" s="648">
        <f t="shared" si="139"/>
        <v>0</v>
      </c>
      <c r="M251" s="648">
        <f t="shared" si="139"/>
        <v>0</v>
      </c>
      <c r="N251" s="648">
        <f t="shared" si="139"/>
        <v>0</v>
      </c>
      <c r="O251" s="648">
        <f t="shared" si="139"/>
        <v>0</v>
      </c>
      <c r="P251" s="648">
        <f t="shared" si="139"/>
        <v>0</v>
      </c>
      <c r="Q251" s="648">
        <f t="shared" si="139"/>
        <v>0</v>
      </c>
      <c r="R251" s="648">
        <f t="shared" si="139"/>
        <v>0</v>
      </c>
      <c r="S251" s="648">
        <f t="shared" si="139"/>
        <v>0</v>
      </c>
      <c r="T251" s="648">
        <f t="shared" si="139"/>
        <v>0</v>
      </c>
      <c r="U251" s="648">
        <f t="shared" si="139"/>
        <v>0</v>
      </c>
      <c r="V251" s="648">
        <f t="shared" si="139"/>
        <v>0</v>
      </c>
      <c r="W251" s="648">
        <f t="shared" si="139"/>
        <v>0</v>
      </c>
      <c r="X251" s="648">
        <f t="shared" si="139"/>
        <v>0</v>
      </c>
      <c r="Y251" s="648">
        <f t="shared" si="139"/>
        <v>0</v>
      </c>
      <c r="Z251" s="648">
        <f t="shared" si="139"/>
        <v>0</v>
      </c>
      <c r="AA251" s="648">
        <f t="shared" si="139"/>
        <v>0</v>
      </c>
      <c r="AB251" s="648">
        <f t="shared" si="139"/>
        <v>0</v>
      </c>
      <c r="AC251" s="648">
        <f t="shared" si="139"/>
        <v>0</v>
      </c>
      <c r="AD251" s="648">
        <f t="shared" si="139"/>
        <v>0</v>
      </c>
      <c r="AE251" s="648">
        <f t="shared" si="139"/>
        <v>0</v>
      </c>
      <c r="AF251" s="648">
        <f t="shared" si="139"/>
        <v>0</v>
      </c>
      <c r="AG251" s="649">
        <f t="shared" si="139"/>
        <v>0</v>
      </c>
      <c r="AH251" s="650">
        <f t="shared" si="123"/>
        <v>0</v>
      </c>
      <c r="AI251" s="650">
        <f t="shared" si="124"/>
        <v>0</v>
      </c>
    </row>
    <row r="252" spans="1:35" x14ac:dyDescent="0.25">
      <c r="A252" s="19"/>
      <c r="B252" s="683" t="str">
        <f t="shared" si="134"/>
        <v>変動費⑥＜その他・費目を入力＞</v>
      </c>
      <c r="C252" s="675">
        <f t="shared" si="132"/>
        <v>0</v>
      </c>
      <c r="D252" s="647">
        <f t="shared" ref="D252:AG252" si="140">-E223/1000000</f>
        <v>-258.88089086578481</v>
      </c>
      <c r="E252" s="648">
        <f t="shared" si="140"/>
        <v>-258.88089086578481</v>
      </c>
      <c r="F252" s="648">
        <f t="shared" si="140"/>
        <v>-258.88089086578481</v>
      </c>
      <c r="G252" s="648">
        <f t="shared" si="140"/>
        <v>-258.88089086578481</v>
      </c>
      <c r="H252" s="648">
        <f t="shared" si="140"/>
        <v>-258.88089086578481</v>
      </c>
      <c r="I252" s="648">
        <f t="shared" si="140"/>
        <v>-258.88089086578481</v>
      </c>
      <c r="J252" s="648">
        <f t="shared" si="140"/>
        <v>-258.88089086578481</v>
      </c>
      <c r="K252" s="648">
        <f t="shared" si="140"/>
        <v>-258.88089086578481</v>
      </c>
      <c r="L252" s="648">
        <f t="shared" si="140"/>
        <v>-258.88089086578481</v>
      </c>
      <c r="M252" s="648">
        <f t="shared" si="140"/>
        <v>-258.88089086578481</v>
      </c>
      <c r="N252" s="648">
        <f t="shared" si="140"/>
        <v>-258.88089086578481</v>
      </c>
      <c r="O252" s="648">
        <f t="shared" si="140"/>
        <v>-258.88089086578481</v>
      </c>
      <c r="P252" s="648">
        <f t="shared" si="140"/>
        <v>-258.88089086578481</v>
      </c>
      <c r="Q252" s="648">
        <f t="shared" si="140"/>
        <v>-258.88089086578481</v>
      </c>
      <c r="R252" s="648">
        <f t="shared" si="140"/>
        <v>-258.88089086578481</v>
      </c>
      <c r="S252" s="648">
        <f t="shared" si="140"/>
        <v>-258.88089086578481</v>
      </c>
      <c r="T252" s="648">
        <f t="shared" si="140"/>
        <v>-258.88089086578481</v>
      </c>
      <c r="U252" s="648">
        <f t="shared" si="140"/>
        <v>-258.88089086578481</v>
      </c>
      <c r="V252" s="648">
        <f t="shared" si="140"/>
        <v>-258.88089086578481</v>
      </c>
      <c r="W252" s="648">
        <f t="shared" si="140"/>
        <v>-258.88089086578481</v>
      </c>
      <c r="X252" s="648">
        <f t="shared" si="140"/>
        <v>-258.88089086578481</v>
      </c>
      <c r="Y252" s="648">
        <f t="shared" si="140"/>
        <v>-258.88089086578481</v>
      </c>
      <c r="Z252" s="648">
        <f t="shared" si="140"/>
        <v>-258.88089086578481</v>
      </c>
      <c r="AA252" s="648">
        <f t="shared" si="140"/>
        <v>-258.88089086578481</v>
      </c>
      <c r="AB252" s="648">
        <f t="shared" si="140"/>
        <v>-258.88089086578481</v>
      </c>
      <c r="AC252" s="648">
        <f t="shared" si="140"/>
        <v>-258.88089086578481</v>
      </c>
      <c r="AD252" s="648">
        <f t="shared" si="140"/>
        <v>-258.88089086578481</v>
      </c>
      <c r="AE252" s="648">
        <f t="shared" si="140"/>
        <v>-258.88089086578481</v>
      </c>
      <c r="AF252" s="648">
        <f t="shared" si="140"/>
        <v>-258.88089086578481</v>
      </c>
      <c r="AG252" s="648">
        <f t="shared" si="140"/>
        <v>-258.88089086578481</v>
      </c>
      <c r="AH252" s="650">
        <f t="shared" si="123"/>
        <v>-5177.6178173156959</v>
      </c>
      <c r="AI252" s="650">
        <f t="shared" si="124"/>
        <v>-7766.4267259735434</v>
      </c>
    </row>
    <row r="253" spans="1:35" x14ac:dyDescent="0.25">
      <c r="A253" s="19"/>
      <c r="B253" s="683" t="str">
        <f t="shared" si="134"/>
        <v>メンテナンス費</v>
      </c>
      <c r="C253" s="675">
        <f t="shared" si="132"/>
        <v>0</v>
      </c>
      <c r="D253" s="647">
        <f t="shared" ref="D253:AG253" si="141">-E224/1000000</f>
        <v>-72.241552112902028</v>
      </c>
      <c r="E253" s="648">
        <f t="shared" si="141"/>
        <v>-72.241552112902028</v>
      </c>
      <c r="F253" s="648">
        <f t="shared" si="141"/>
        <v>-72.241552112902028</v>
      </c>
      <c r="G253" s="648">
        <f t="shared" si="141"/>
        <v>-72.241552112902028</v>
      </c>
      <c r="H253" s="648">
        <f t="shared" si="141"/>
        <v>-72.241552112902028</v>
      </c>
      <c r="I253" s="648">
        <f t="shared" si="141"/>
        <v>-72.241552112902028</v>
      </c>
      <c r="J253" s="648">
        <f t="shared" si="141"/>
        <v>-72.241552112902028</v>
      </c>
      <c r="K253" s="648">
        <f t="shared" si="141"/>
        <v>-72.241552112902028</v>
      </c>
      <c r="L253" s="648">
        <f t="shared" si="141"/>
        <v>-72.241552112902028</v>
      </c>
      <c r="M253" s="648">
        <f t="shared" si="141"/>
        <v>-72.241552112902028</v>
      </c>
      <c r="N253" s="648">
        <f t="shared" si="141"/>
        <v>-72.241552112902028</v>
      </c>
      <c r="O253" s="648">
        <f t="shared" si="141"/>
        <v>-72.241552112902028</v>
      </c>
      <c r="P253" s="648">
        <f t="shared" si="141"/>
        <v>-72.241552112902028</v>
      </c>
      <c r="Q253" s="648">
        <f t="shared" si="141"/>
        <v>-72.241552112902028</v>
      </c>
      <c r="R253" s="648">
        <f t="shared" si="141"/>
        <v>-72.241552112902028</v>
      </c>
      <c r="S253" s="648">
        <f t="shared" si="141"/>
        <v>-72.241552112902028</v>
      </c>
      <c r="T253" s="648">
        <f t="shared" si="141"/>
        <v>-72.241552112902028</v>
      </c>
      <c r="U253" s="648">
        <f t="shared" si="141"/>
        <v>-72.241552112902028</v>
      </c>
      <c r="V253" s="648">
        <f t="shared" si="141"/>
        <v>-72.241552112902028</v>
      </c>
      <c r="W253" s="648">
        <f t="shared" si="141"/>
        <v>-72.241552112902028</v>
      </c>
      <c r="X253" s="648">
        <f t="shared" si="141"/>
        <v>-72.241552112902028</v>
      </c>
      <c r="Y253" s="648">
        <f t="shared" si="141"/>
        <v>-72.241552112902028</v>
      </c>
      <c r="Z253" s="648">
        <f t="shared" si="141"/>
        <v>-72.241552112902028</v>
      </c>
      <c r="AA253" s="648">
        <f t="shared" si="141"/>
        <v>-72.241552112902028</v>
      </c>
      <c r="AB253" s="648">
        <f t="shared" si="141"/>
        <v>-72.241552112902028</v>
      </c>
      <c r="AC253" s="648">
        <f t="shared" si="141"/>
        <v>-72.241552112902028</v>
      </c>
      <c r="AD253" s="648">
        <f t="shared" si="141"/>
        <v>-72.241552112902028</v>
      </c>
      <c r="AE253" s="648">
        <f t="shared" si="141"/>
        <v>-72.241552112902028</v>
      </c>
      <c r="AF253" s="648">
        <f t="shared" si="141"/>
        <v>-72.241552112902028</v>
      </c>
      <c r="AG253" s="648">
        <f t="shared" si="141"/>
        <v>-72.241552112902028</v>
      </c>
      <c r="AH253" s="650">
        <f t="shared" si="123"/>
        <v>-1444.831042258041</v>
      </c>
      <c r="AI253" s="650">
        <f t="shared" si="124"/>
        <v>-2167.246563387062</v>
      </c>
    </row>
    <row r="254" spans="1:35" x14ac:dyDescent="0.25">
      <c r="A254" s="19"/>
      <c r="B254" s="683" t="str">
        <f t="shared" si="134"/>
        <v>人件費</v>
      </c>
      <c r="C254" s="675">
        <f t="shared" si="132"/>
        <v>0</v>
      </c>
      <c r="D254" s="647">
        <f t="shared" ref="D254:AG254" si="142">-E225/1000000</f>
        <v>-24.080517370967339</v>
      </c>
      <c r="E254" s="648">
        <f t="shared" si="142"/>
        <v>-24.080517370967339</v>
      </c>
      <c r="F254" s="648">
        <f t="shared" si="142"/>
        <v>-24.080517370967339</v>
      </c>
      <c r="G254" s="648">
        <f t="shared" si="142"/>
        <v>-24.080517370967339</v>
      </c>
      <c r="H254" s="648">
        <f t="shared" si="142"/>
        <v>-24.080517370967339</v>
      </c>
      <c r="I254" s="648">
        <f t="shared" si="142"/>
        <v>-24.080517370967339</v>
      </c>
      <c r="J254" s="648">
        <f t="shared" si="142"/>
        <v>-24.080517370967339</v>
      </c>
      <c r="K254" s="648">
        <f t="shared" si="142"/>
        <v>-24.080517370967339</v>
      </c>
      <c r="L254" s="648">
        <f t="shared" si="142"/>
        <v>-24.080517370967339</v>
      </c>
      <c r="M254" s="648">
        <f t="shared" si="142"/>
        <v>-24.080517370967339</v>
      </c>
      <c r="N254" s="648">
        <f t="shared" si="142"/>
        <v>-24.080517370967339</v>
      </c>
      <c r="O254" s="648">
        <f t="shared" si="142"/>
        <v>-24.080517370967339</v>
      </c>
      <c r="P254" s="648">
        <f t="shared" si="142"/>
        <v>-24.080517370967339</v>
      </c>
      <c r="Q254" s="648">
        <f t="shared" si="142"/>
        <v>-24.080517370967339</v>
      </c>
      <c r="R254" s="648">
        <f t="shared" si="142"/>
        <v>-24.080517370967339</v>
      </c>
      <c r="S254" s="648">
        <f t="shared" si="142"/>
        <v>-24.080517370967339</v>
      </c>
      <c r="T254" s="648">
        <f t="shared" si="142"/>
        <v>-24.080517370967339</v>
      </c>
      <c r="U254" s="648">
        <f t="shared" si="142"/>
        <v>-24.080517370967339</v>
      </c>
      <c r="V254" s="648">
        <f t="shared" si="142"/>
        <v>-24.080517370967339</v>
      </c>
      <c r="W254" s="648">
        <f t="shared" si="142"/>
        <v>-24.080517370967339</v>
      </c>
      <c r="X254" s="648">
        <f t="shared" si="142"/>
        <v>-24.080517370967339</v>
      </c>
      <c r="Y254" s="648">
        <f t="shared" si="142"/>
        <v>-24.080517370967339</v>
      </c>
      <c r="Z254" s="648">
        <f t="shared" si="142"/>
        <v>-24.080517370967339</v>
      </c>
      <c r="AA254" s="648">
        <f t="shared" si="142"/>
        <v>-24.080517370967339</v>
      </c>
      <c r="AB254" s="648">
        <f t="shared" si="142"/>
        <v>-24.080517370967339</v>
      </c>
      <c r="AC254" s="648">
        <f t="shared" si="142"/>
        <v>-24.080517370967339</v>
      </c>
      <c r="AD254" s="648">
        <f t="shared" si="142"/>
        <v>-24.080517370967339</v>
      </c>
      <c r="AE254" s="648">
        <f t="shared" si="142"/>
        <v>-24.080517370967339</v>
      </c>
      <c r="AF254" s="648">
        <f t="shared" si="142"/>
        <v>-24.080517370967339</v>
      </c>
      <c r="AG254" s="648">
        <f t="shared" si="142"/>
        <v>-24.080517370967339</v>
      </c>
      <c r="AH254" s="651">
        <f t="shared" si="123"/>
        <v>-481.61034741934691</v>
      </c>
      <c r="AI254" s="651">
        <f t="shared" si="124"/>
        <v>-722.41552112902002</v>
      </c>
    </row>
    <row r="255" spans="1:35" x14ac:dyDescent="0.25">
      <c r="A255" s="19"/>
      <c r="B255" s="683" t="str">
        <f t="shared" si="134"/>
        <v>一般管理費</v>
      </c>
      <c r="C255" s="675">
        <f t="shared" si="132"/>
        <v>0</v>
      </c>
      <c r="D255" s="647">
        <f t="shared" ref="D255:AG255" si="143">-E226/1000000</f>
        <v>0</v>
      </c>
      <c r="E255" s="648">
        <f t="shared" si="143"/>
        <v>0</v>
      </c>
      <c r="F255" s="648">
        <f t="shared" si="143"/>
        <v>0</v>
      </c>
      <c r="G255" s="648">
        <f t="shared" si="143"/>
        <v>0</v>
      </c>
      <c r="H255" s="648">
        <f t="shared" si="143"/>
        <v>0</v>
      </c>
      <c r="I255" s="648">
        <f t="shared" si="143"/>
        <v>0</v>
      </c>
      <c r="J255" s="648">
        <f t="shared" si="143"/>
        <v>0</v>
      </c>
      <c r="K255" s="648">
        <f t="shared" si="143"/>
        <v>0</v>
      </c>
      <c r="L255" s="648">
        <f t="shared" si="143"/>
        <v>0</v>
      </c>
      <c r="M255" s="648">
        <f t="shared" si="143"/>
        <v>0</v>
      </c>
      <c r="N255" s="648">
        <f t="shared" si="143"/>
        <v>0</v>
      </c>
      <c r="O255" s="648">
        <f t="shared" si="143"/>
        <v>0</v>
      </c>
      <c r="P255" s="648">
        <f t="shared" si="143"/>
        <v>0</v>
      </c>
      <c r="Q255" s="648">
        <f t="shared" si="143"/>
        <v>0</v>
      </c>
      <c r="R255" s="648">
        <f t="shared" si="143"/>
        <v>0</v>
      </c>
      <c r="S255" s="648">
        <f t="shared" si="143"/>
        <v>0</v>
      </c>
      <c r="T255" s="648">
        <f t="shared" si="143"/>
        <v>0</v>
      </c>
      <c r="U255" s="648">
        <f t="shared" si="143"/>
        <v>0</v>
      </c>
      <c r="V255" s="648">
        <f t="shared" si="143"/>
        <v>0</v>
      </c>
      <c r="W255" s="648">
        <f t="shared" si="143"/>
        <v>0</v>
      </c>
      <c r="X255" s="648">
        <f t="shared" si="143"/>
        <v>0</v>
      </c>
      <c r="Y255" s="648">
        <f t="shared" si="143"/>
        <v>0</v>
      </c>
      <c r="Z255" s="648">
        <f t="shared" si="143"/>
        <v>0</v>
      </c>
      <c r="AA255" s="648">
        <f t="shared" si="143"/>
        <v>0</v>
      </c>
      <c r="AB255" s="648">
        <f t="shared" si="143"/>
        <v>0</v>
      </c>
      <c r="AC255" s="648">
        <f t="shared" si="143"/>
        <v>0</v>
      </c>
      <c r="AD255" s="648">
        <f t="shared" si="143"/>
        <v>0</v>
      </c>
      <c r="AE255" s="648">
        <f t="shared" si="143"/>
        <v>0</v>
      </c>
      <c r="AF255" s="648">
        <f t="shared" si="143"/>
        <v>0</v>
      </c>
      <c r="AG255" s="648">
        <f t="shared" si="143"/>
        <v>0</v>
      </c>
      <c r="AH255" s="650">
        <f t="shared" si="123"/>
        <v>0</v>
      </c>
      <c r="AI255" s="650">
        <f t="shared" si="124"/>
        <v>0</v>
      </c>
    </row>
    <row r="256" spans="1:35" x14ac:dyDescent="0.25">
      <c r="A256" s="19"/>
      <c r="B256" s="683" t="str">
        <f t="shared" si="134"/>
        <v>固定費④＜その他・費目を入力＞</v>
      </c>
      <c r="C256" s="675">
        <f t="shared" si="132"/>
        <v>0</v>
      </c>
      <c r="D256" s="647">
        <f t="shared" ref="D256:AG256" si="144">-E227/1000000</f>
        <v>0</v>
      </c>
      <c r="E256" s="648">
        <f t="shared" si="144"/>
        <v>0</v>
      </c>
      <c r="F256" s="648">
        <f t="shared" si="144"/>
        <v>0</v>
      </c>
      <c r="G256" s="648">
        <f t="shared" si="144"/>
        <v>0</v>
      </c>
      <c r="H256" s="648">
        <f t="shared" si="144"/>
        <v>0</v>
      </c>
      <c r="I256" s="648">
        <f t="shared" si="144"/>
        <v>0</v>
      </c>
      <c r="J256" s="648">
        <f t="shared" si="144"/>
        <v>0</v>
      </c>
      <c r="K256" s="648">
        <f t="shared" si="144"/>
        <v>0</v>
      </c>
      <c r="L256" s="648">
        <f t="shared" si="144"/>
        <v>0</v>
      </c>
      <c r="M256" s="648">
        <f t="shared" si="144"/>
        <v>0</v>
      </c>
      <c r="N256" s="648">
        <f t="shared" si="144"/>
        <v>0</v>
      </c>
      <c r="O256" s="648">
        <f t="shared" si="144"/>
        <v>0</v>
      </c>
      <c r="P256" s="648">
        <f t="shared" si="144"/>
        <v>0</v>
      </c>
      <c r="Q256" s="648">
        <f t="shared" si="144"/>
        <v>0</v>
      </c>
      <c r="R256" s="648">
        <f t="shared" si="144"/>
        <v>0</v>
      </c>
      <c r="S256" s="648">
        <f t="shared" si="144"/>
        <v>0</v>
      </c>
      <c r="T256" s="648">
        <f t="shared" si="144"/>
        <v>0</v>
      </c>
      <c r="U256" s="648">
        <f t="shared" si="144"/>
        <v>0</v>
      </c>
      <c r="V256" s="648">
        <f t="shared" si="144"/>
        <v>0</v>
      </c>
      <c r="W256" s="648">
        <f t="shared" si="144"/>
        <v>0</v>
      </c>
      <c r="X256" s="648">
        <f t="shared" si="144"/>
        <v>0</v>
      </c>
      <c r="Y256" s="648">
        <f t="shared" si="144"/>
        <v>0</v>
      </c>
      <c r="Z256" s="648">
        <f t="shared" si="144"/>
        <v>0</v>
      </c>
      <c r="AA256" s="648">
        <f t="shared" si="144"/>
        <v>0</v>
      </c>
      <c r="AB256" s="648">
        <f t="shared" si="144"/>
        <v>0</v>
      </c>
      <c r="AC256" s="648">
        <f t="shared" si="144"/>
        <v>0</v>
      </c>
      <c r="AD256" s="648">
        <f t="shared" si="144"/>
        <v>0</v>
      </c>
      <c r="AE256" s="648">
        <f t="shared" si="144"/>
        <v>0</v>
      </c>
      <c r="AF256" s="648">
        <f t="shared" si="144"/>
        <v>0</v>
      </c>
      <c r="AG256" s="648">
        <f t="shared" si="144"/>
        <v>0</v>
      </c>
      <c r="AH256" s="650">
        <f t="shared" si="123"/>
        <v>0</v>
      </c>
      <c r="AI256" s="650">
        <f t="shared" si="124"/>
        <v>0</v>
      </c>
    </row>
    <row r="257" spans="1:35" x14ac:dyDescent="0.25">
      <c r="A257" s="19"/>
      <c r="B257" s="683" t="str">
        <f t="shared" si="134"/>
        <v>固定費⑤＜その他・費目を入力＞</v>
      </c>
      <c r="C257" s="675">
        <f t="shared" si="132"/>
        <v>0</v>
      </c>
      <c r="D257" s="652">
        <f t="shared" ref="D257:AG257" si="145">-E228/1000000</f>
        <v>-112.09632395056632</v>
      </c>
      <c r="E257" s="648">
        <f t="shared" si="145"/>
        <v>-109.42365475422061</v>
      </c>
      <c r="F257" s="648">
        <f t="shared" si="145"/>
        <v>-106.75098555787486</v>
      </c>
      <c r="G257" s="648">
        <f t="shared" si="145"/>
        <v>-104.07831636152915</v>
      </c>
      <c r="H257" s="648">
        <f t="shared" si="145"/>
        <v>-101.4056471651834</v>
      </c>
      <c r="I257" s="648">
        <f t="shared" si="145"/>
        <v>-98.732977968837673</v>
      </c>
      <c r="J257" s="648">
        <f t="shared" si="145"/>
        <v>-96.06030877249195</v>
      </c>
      <c r="K257" s="648">
        <f t="shared" si="145"/>
        <v>-93.387639576146213</v>
      </c>
      <c r="L257" s="648">
        <f t="shared" si="145"/>
        <v>-90.714970379800505</v>
      </c>
      <c r="M257" s="648">
        <f t="shared" si="145"/>
        <v>-88.042301183454768</v>
      </c>
      <c r="N257" s="648">
        <f t="shared" si="145"/>
        <v>-85.369631987109031</v>
      </c>
      <c r="O257" s="648">
        <f t="shared" si="145"/>
        <v>-82.696962790763308</v>
      </c>
      <c r="P257" s="648">
        <f t="shared" si="145"/>
        <v>-80.024293594417585</v>
      </c>
      <c r="Q257" s="648">
        <f t="shared" si="145"/>
        <v>-77.351624398071849</v>
      </c>
      <c r="R257" s="648">
        <f t="shared" si="145"/>
        <v>-74.678955201726126</v>
      </c>
      <c r="S257" s="648">
        <f t="shared" si="145"/>
        <v>-144.30915462982585</v>
      </c>
      <c r="T257" s="648">
        <f t="shared" si="145"/>
        <v>-143.99837914187864</v>
      </c>
      <c r="U257" s="648">
        <f t="shared" si="145"/>
        <v>-143.68760365393146</v>
      </c>
      <c r="V257" s="648">
        <f t="shared" si="145"/>
        <v>-143.37682816598431</v>
      </c>
      <c r="W257" s="648">
        <f t="shared" si="145"/>
        <v>-143.06605267803712</v>
      </c>
      <c r="X257" s="648">
        <f t="shared" si="145"/>
        <v>-142.75527719008997</v>
      </c>
      <c r="Y257" s="648">
        <f t="shared" si="145"/>
        <v>-142.44450170214279</v>
      </c>
      <c r="Z257" s="648">
        <f t="shared" si="145"/>
        <v>-142.1337262141956</v>
      </c>
      <c r="AA257" s="648">
        <f t="shared" si="145"/>
        <v>-141.82295072624845</v>
      </c>
      <c r="AB257" s="648">
        <f t="shared" si="145"/>
        <v>-141.51217523830124</v>
      </c>
      <c r="AC257" s="648">
        <f t="shared" si="145"/>
        <v>-141.20139975035406</v>
      </c>
      <c r="AD257" s="648">
        <f t="shared" si="145"/>
        <v>-140.89062426240687</v>
      </c>
      <c r="AE257" s="648">
        <f t="shared" si="145"/>
        <v>-140.57984877445972</v>
      </c>
      <c r="AF257" s="648">
        <f t="shared" si="145"/>
        <v>-140.26907328651254</v>
      </c>
      <c r="AG257" s="649">
        <f t="shared" si="145"/>
        <v>-139.95829779856535</v>
      </c>
      <c r="AH257" s="650">
        <f t="shared" si="123"/>
        <v>-2119.2526119118506</v>
      </c>
      <c r="AI257" s="650">
        <f t="shared" si="124"/>
        <v>-3532.8204868551275</v>
      </c>
    </row>
    <row r="258" spans="1:35" x14ac:dyDescent="0.25">
      <c r="A258" s="19"/>
      <c r="B258" s="686" t="str">
        <f t="shared" si="134"/>
        <v>固定資産税等</v>
      </c>
      <c r="C258" s="675">
        <f t="shared" si="132"/>
        <v>0</v>
      </c>
      <c r="D258" s="653">
        <f t="shared" ref="D258:AG258" si="146">-E229/1000000</f>
        <v>0</v>
      </c>
      <c r="E258" s="654">
        <f t="shared" si="146"/>
        <v>0</v>
      </c>
      <c r="F258" s="654">
        <f t="shared" si="146"/>
        <v>0</v>
      </c>
      <c r="G258" s="654">
        <f t="shared" si="146"/>
        <v>0</v>
      </c>
      <c r="H258" s="654">
        <f t="shared" si="146"/>
        <v>0</v>
      </c>
      <c r="I258" s="655">
        <f t="shared" si="146"/>
        <v>0</v>
      </c>
      <c r="J258" s="654">
        <f t="shared" si="146"/>
        <v>0</v>
      </c>
      <c r="K258" s="654">
        <f t="shared" si="146"/>
        <v>0</v>
      </c>
      <c r="L258" s="654">
        <f t="shared" si="146"/>
        <v>0</v>
      </c>
      <c r="M258" s="654">
        <f t="shared" si="146"/>
        <v>0</v>
      </c>
      <c r="N258" s="654">
        <f t="shared" si="146"/>
        <v>0</v>
      </c>
      <c r="O258" s="654">
        <f t="shared" si="146"/>
        <v>0</v>
      </c>
      <c r="P258" s="654">
        <f t="shared" si="146"/>
        <v>0</v>
      </c>
      <c r="Q258" s="654">
        <f t="shared" si="146"/>
        <v>0</v>
      </c>
      <c r="R258" s="654">
        <f t="shared" si="146"/>
        <v>0</v>
      </c>
      <c r="S258" s="654">
        <f t="shared" si="146"/>
        <v>0</v>
      </c>
      <c r="T258" s="654">
        <f t="shared" si="146"/>
        <v>0</v>
      </c>
      <c r="U258" s="654">
        <f t="shared" si="146"/>
        <v>0</v>
      </c>
      <c r="V258" s="654">
        <f t="shared" si="146"/>
        <v>0</v>
      </c>
      <c r="W258" s="654">
        <f t="shared" si="146"/>
        <v>0</v>
      </c>
      <c r="X258" s="654">
        <f t="shared" si="146"/>
        <v>0</v>
      </c>
      <c r="Y258" s="654">
        <f t="shared" si="146"/>
        <v>0</v>
      </c>
      <c r="Z258" s="654">
        <f t="shared" si="146"/>
        <v>0</v>
      </c>
      <c r="AA258" s="654">
        <f t="shared" si="146"/>
        <v>0</v>
      </c>
      <c r="AB258" s="654">
        <f t="shared" si="146"/>
        <v>0</v>
      </c>
      <c r="AC258" s="654">
        <f t="shared" si="146"/>
        <v>0</v>
      </c>
      <c r="AD258" s="654">
        <f t="shared" si="146"/>
        <v>0</v>
      </c>
      <c r="AE258" s="654">
        <f t="shared" si="146"/>
        <v>0</v>
      </c>
      <c r="AF258" s="654">
        <f t="shared" si="146"/>
        <v>0</v>
      </c>
      <c r="AG258" s="656">
        <f t="shared" si="146"/>
        <v>0</v>
      </c>
      <c r="AH258" s="651">
        <f t="shared" si="123"/>
        <v>0</v>
      </c>
      <c r="AI258" s="651">
        <f t="shared" si="124"/>
        <v>0</v>
      </c>
    </row>
    <row r="259" spans="1:35" x14ac:dyDescent="0.25">
      <c r="A259" s="19"/>
      <c r="B259" s="683" t="str">
        <f t="shared" si="134"/>
        <v>金利</v>
      </c>
      <c r="C259" s="675">
        <f t="shared" si="132"/>
        <v>0</v>
      </c>
      <c r="D259" s="647">
        <f t="shared" ref="D259:AG259" si="147">-E230/1000000</f>
        <v>0</v>
      </c>
      <c r="E259" s="654">
        <f t="shared" si="147"/>
        <v>0</v>
      </c>
      <c r="F259" s="654">
        <f t="shared" si="147"/>
        <v>0</v>
      </c>
      <c r="G259" s="654">
        <f t="shared" si="147"/>
        <v>0</v>
      </c>
      <c r="H259" s="654">
        <f t="shared" si="147"/>
        <v>0</v>
      </c>
      <c r="I259" s="654">
        <f t="shared" si="147"/>
        <v>0</v>
      </c>
      <c r="J259" s="654">
        <f t="shared" si="147"/>
        <v>0</v>
      </c>
      <c r="K259" s="654">
        <f t="shared" si="147"/>
        <v>0</v>
      </c>
      <c r="L259" s="654">
        <f t="shared" si="147"/>
        <v>0</v>
      </c>
      <c r="M259" s="654">
        <f t="shared" si="147"/>
        <v>0</v>
      </c>
      <c r="N259" s="654">
        <f t="shared" si="147"/>
        <v>0</v>
      </c>
      <c r="O259" s="654">
        <f t="shared" si="147"/>
        <v>0</v>
      </c>
      <c r="P259" s="654">
        <f t="shared" si="147"/>
        <v>0</v>
      </c>
      <c r="Q259" s="654">
        <f t="shared" si="147"/>
        <v>0</v>
      </c>
      <c r="R259" s="654">
        <f t="shared" si="147"/>
        <v>0</v>
      </c>
      <c r="S259" s="654">
        <f t="shared" si="147"/>
        <v>0</v>
      </c>
      <c r="T259" s="654">
        <f t="shared" si="147"/>
        <v>0</v>
      </c>
      <c r="U259" s="654">
        <f t="shared" si="147"/>
        <v>0</v>
      </c>
      <c r="V259" s="654">
        <f t="shared" si="147"/>
        <v>0</v>
      </c>
      <c r="W259" s="654">
        <f t="shared" si="147"/>
        <v>0</v>
      </c>
      <c r="X259" s="654">
        <f t="shared" si="147"/>
        <v>0</v>
      </c>
      <c r="Y259" s="654">
        <f t="shared" si="147"/>
        <v>0</v>
      </c>
      <c r="Z259" s="654">
        <f t="shared" si="147"/>
        <v>0</v>
      </c>
      <c r="AA259" s="654">
        <f t="shared" si="147"/>
        <v>0</v>
      </c>
      <c r="AB259" s="654">
        <f t="shared" si="147"/>
        <v>0</v>
      </c>
      <c r="AC259" s="654">
        <f t="shared" si="147"/>
        <v>0</v>
      </c>
      <c r="AD259" s="654">
        <f t="shared" si="147"/>
        <v>0</v>
      </c>
      <c r="AE259" s="654">
        <f t="shared" si="147"/>
        <v>0</v>
      </c>
      <c r="AF259" s="654">
        <f t="shared" si="147"/>
        <v>0</v>
      </c>
      <c r="AG259" s="656">
        <f t="shared" si="147"/>
        <v>0</v>
      </c>
      <c r="AH259" s="651">
        <f t="shared" si="123"/>
        <v>0</v>
      </c>
      <c r="AI259" s="651">
        <f t="shared" si="124"/>
        <v>0</v>
      </c>
    </row>
    <row r="260" spans="1:35" x14ac:dyDescent="0.25">
      <c r="A260" s="19"/>
      <c r="B260" s="687" t="str">
        <f t="shared" si="134"/>
        <v>その他収益</v>
      </c>
      <c r="C260" s="678">
        <f t="shared" si="132"/>
        <v>0</v>
      </c>
      <c r="D260" s="657">
        <f t="shared" ref="D260:AG260" si="148">-E231/1000000</f>
        <v>0</v>
      </c>
      <c r="E260" s="658">
        <f t="shared" si="148"/>
        <v>0</v>
      </c>
      <c r="F260" s="658">
        <f t="shared" si="148"/>
        <v>0</v>
      </c>
      <c r="G260" s="658">
        <f t="shared" si="148"/>
        <v>0</v>
      </c>
      <c r="H260" s="658">
        <f t="shared" si="148"/>
        <v>0</v>
      </c>
      <c r="I260" s="658">
        <f t="shared" si="148"/>
        <v>0</v>
      </c>
      <c r="J260" s="658">
        <f t="shared" si="148"/>
        <v>0</v>
      </c>
      <c r="K260" s="658">
        <f t="shared" si="148"/>
        <v>0</v>
      </c>
      <c r="L260" s="658">
        <f t="shared" si="148"/>
        <v>0</v>
      </c>
      <c r="M260" s="658">
        <f t="shared" si="148"/>
        <v>0</v>
      </c>
      <c r="N260" s="658">
        <f t="shared" si="148"/>
        <v>0</v>
      </c>
      <c r="O260" s="658">
        <f t="shared" si="148"/>
        <v>0</v>
      </c>
      <c r="P260" s="658">
        <f t="shared" si="148"/>
        <v>0</v>
      </c>
      <c r="Q260" s="658">
        <f t="shared" si="148"/>
        <v>0</v>
      </c>
      <c r="R260" s="658">
        <f t="shared" si="148"/>
        <v>0</v>
      </c>
      <c r="S260" s="658">
        <f t="shared" si="148"/>
        <v>0</v>
      </c>
      <c r="T260" s="658">
        <f t="shared" si="148"/>
        <v>0</v>
      </c>
      <c r="U260" s="658">
        <f t="shared" si="148"/>
        <v>0</v>
      </c>
      <c r="V260" s="658">
        <f t="shared" si="148"/>
        <v>0</v>
      </c>
      <c r="W260" s="658">
        <f t="shared" si="148"/>
        <v>0</v>
      </c>
      <c r="X260" s="658">
        <f t="shared" si="148"/>
        <v>0</v>
      </c>
      <c r="Y260" s="658">
        <f t="shared" si="148"/>
        <v>0</v>
      </c>
      <c r="Z260" s="658">
        <f t="shared" si="148"/>
        <v>0</v>
      </c>
      <c r="AA260" s="658">
        <f t="shared" si="148"/>
        <v>0</v>
      </c>
      <c r="AB260" s="658">
        <f t="shared" si="148"/>
        <v>0</v>
      </c>
      <c r="AC260" s="658">
        <f t="shared" si="148"/>
        <v>0</v>
      </c>
      <c r="AD260" s="658">
        <f t="shared" si="148"/>
        <v>0</v>
      </c>
      <c r="AE260" s="658">
        <f t="shared" si="148"/>
        <v>0</v>
      </c>
      <c r="AF260" s="658">
        <f t="shared" si="148"/>
        <v>0</v>
      </c>
      <c r="AG260" s="659">
        <f t="shared" si="148"/>
        <v>0</v>
      </c>
      <c r="AH260" s="660">
        <f t="shared" si="123"/>
        <v>0</v>
      </c>
      <c r="AI260" s="660">
        <f t="shared" si="124"/>
        <v>0</v>
      </c>
    </row>
    <row r="261" spans="1:35" x14ac:dyDescent="0.25">
      <c r="A261" s="19"/>
      <c r="B261" s="641" t="s">
        <v>454</v>
      </c>
      <c r="C261" s="679">
        <f>SUM(C236:C260)</f>
        <v>-4820.1912416296973</v>
      </c>
      <c r="D261" s="640">
        <f>SUM(D236:D260)</f>
        <v>376.81985522397559</v>
      </c>
      <c r="E261" s="638">
        <f t="shared" ref="E261:AG261" si="149">SUM(E236:E260)</f>
        <v>379.49252442032133</v>
      </c>
      <c r="F261" s="638">
        <f t="shared" si="149"/>
        <v>382.16519361666707</v>
      </c>
      <c r="G261" s="638">
        <f t="shared" si="149"/>
        <v>384.83786281301275</v>
      </c>
      <c r="H261" s="638">
        <f t="shared" si="149"/>
        <v>387.51053200935854</v>
      </c>
      <c r="I261" s="638">
        <f t="shared" si="149"/>
        <v>390.18320120570422</v>
      </c>
      <c r="J261" s="638">
        <f t="shared" si="149"/>
        <v>392.85587040204996</v>
      </c>
      <c r="K261" s="638">
        <f t="shared" si="149"/>
        <v>395.5285395983957</v>
      </c>
      <c r="L261" s="638">
        <f t="shared" si="149"/>
        <v>398.20120879474143</v>
      </c>
      <c r="M261" s="638">
        <f>SUM(M236:M260)</f>
        <v>400.87387799108717</v>
      </c>
      <c r="N261" s="638">
        <f t="shared" si="149"/>
        <v>403.54654718743291</v>
      </c>
      <c r="O261" s="638">
        <f t="shared" si="149"/>
        <v>406.21921638377864</v>
      </c>
      <c r="P261" s="638">
        <f t="shared" si="149"/>
        <v>408.89188558012432</v>
      </c>
      <c r="Q261" s="638">
        <f t="shared" si="149"/>
        <v>411.56455477647006</v>
      </c>
      <c r="R261" s="638">
        <f t="shared" si="149"/>
        <v>414.2372239728158</v>
      </c>
      <c r="S261" s="638">
        <f t="shared" si="149"/>
        <v>344.60702454471607</v>
      </c>
      <c r="T261" s="638">
        <f t="shared" si="149"/>
        <v>344.91780003266331</v>
      </c>
      <c r="U261" s="638">
        <f t="shared" si="149"/>
        <v>345.22857552061043</v>
      </c>
      <c r="V261" s="638">
        <f t="shared" si="149"/>
        <v>345.53935100855762</v>
      </c>
      <c r="W261" s="638">
        <f t="shared" si="149"/>
        <v>345.8501264965048</v>
      </c>
      <c r="X261" s="638">
        <f t="shared" si="149"/>
        <v>346.16090198445193</v>
      </c>
      <c r="Y261" s="638">
        <f t="shared" si="149"/>
        <v>346.47167747239916</v>
      </c>
      <c r="Z261" s="638">
        <f t="shared" si="149"/>
        <v>346.78245296034629</v>
      </c>
      <c r="AA261" s="638">
        <f t="shared" si="149"/>
        <v>347.09322844829347</v>
      </c>
      <c r="AB261" s="638">
        <f t="shared" si="149"/>
        <v>347.40400393624066</v>
      </c>
      <c r="AC261" s="638">
        <f t="shared" si="149"/>
        <v>347.7147794241879</v>
      </c>
      <c r="AD261" s="638">
        <f t="shared" si="149"/>
        <v>348.02555491213502</v>
      </c>
      <c r="AE261" s="638">
        <f t="shared" si="149"/>
        <v>348.3363304000822</v>
      </c>
      <c r="AF261" s="638">
        <f t="shared" si="149"/>
        <v>348.64710588802939</v>
      </c>
      <c r="AG261" s="639">
        <f t="shared" si="149"/>
        <v>348.95788137597657</v>
      </c>
      <c r="AH261" s="671">
        <f>SUM(D261:W261)</f>
        <v>7659.070971578989</v>
      </c>
      <c r="AI261" s="671">
        <f>SUM(E261:AG261)</f>
        <v>10757.845033157155</v>
      </c>
    </row>
    <row r="262" spans="1:35" ht="13" thickBot="1" x14ac:dyDescent="0.3">
      <c r="B262" s="642" t="s">
        <v>455</v>
      </c>
      <c r="C262" s="680">
        <f>C261</f>
        <v>-4820.1912416296973</v>
      </c>
      <c r="D262" s="669">
        <f>C262+D261</f>
        <v>-4443.3713864057218</v>
      </c>
      <c r="E262" s="669">
        <f t="shared" ref="E262:AG262" si="150">D262+E261</f>
        <v>-4063.8788619854004</v>
      </c>
      <c r="F262" s="669">
        <f t="shared" si="150"/>
        <v>-3681.7136683687331</v>
      </c>
      <c r="G262" s="669">
        <f t="shared" si="150"/>
        <v>-3296.8758055557205</v>
      </c>
      <c r="H262" s="669">
        <f t="shared" si="150"/>
        <v>-2909.365273546362</v>
      </c>
      <c r="I262" s="669">
        <f t="shared" si="150"/>
        <v>-2519.1820723406577</v>
      </c>
      <c r="J262" s="669">
        <f t="shared" si="150"/>
        <v>-2126.3262019386075</v>
      </c>
      <c r="K262" s="669">
        <f t="shared" si="150"/>
        <v>-1730.7976623402119</v>
      </c>
      <c r="L262" s="669">
        <f t="shared" si="150"/>
        <v>-1332.5964535454705</v>
      </c>
      <c r="M262" s="669">
        <f t="shared" si="150"/>
        <v>-931.7225755543833</v>
      </c>
      <c r="N262" s="669">
        <f t="shared" si="150"/>
        <v>-528.17602836695039</v>
      </c>
      <c r="O262" s="669">
        <f t="shared" si="150"/>
        <v>-121.95681198317175</v>
      </c>
      <c r="P262" s="669">
        <f t="shared" si="150"/>
        <v>286.93507359695258</v>
      </c>
      <c r="Q262" s="669">
        <f t="shared" si="150"/>
        <v>698.49962837342264</v>
      </c>
      <c r="R262" s="669">
        <f t="shared" si="150"/>
        <v>1112.7368523462385</v>
      </c>
      <c r="S262" s="669">
        <f t="shared" si="150"/>
        <v>1457.3438768909546</v>
      </c>
      <c r="T262" s="669">
        <f t="shared" si="150"/>
        <v>1802.2616769236179</v>
      </c>
      <c r="U262" s="669">
        <f t="shared" si="150"/>
        <v>2147.4902524442282</v>
      </c>
      <c r="V262" s="669">
        <f t="shared" si="150"/>
        <v>2493.029603452786</v>
      </c>
      <c r="W262" s="669">
        <f t="shared" si="150"/>
        <v>2838.8797299492908</v>
      </c>
      <c r="X262" s="669">
        <f t="shared" si="150"/>
        <v>3185.0406319337426</v>
      </c>
      <c r="Y262" s="669">
        <f t="shared" si="150"/>
        <v>3531.5123094061419</v>
      </c>
      <c r="Z262" s="669">
        <f t="shared" si="150"/>
        <v>3878.2947623664882</v>
      </c>
      <c r="AA262" s="669">
        <f t="shared" si="150"/>
        <v>4225.3879908147819</v>
      </c>
      <c r="AB262" s="669">
        <f t="shared" si="150"/>
        <v>4572.7919947510227</v>
      </c>
      <c r="AC262" s="669">
        <f t="shared" si="150"/>
        <v>4920.5067741752109</v>
      </c>
      <c r="AD262" s="669">
        <f t="shared" si="150"/>
        <v>5268.5323290873457</v>
      </c>
      <c r="AE262" s="669">
        <f t="shared" si="150"/>
        <v>5616.868659487428</v>
      </c>
      <c r="AF262" s="669">
        <f t="shared" si="150"/>
        <v>5965.5157653754577</v>
      </c>
      <c r="AG262" s="670">
        <f t="shared" si="150"/>
        <v>6314.473646751434</v>
      </c>
      <c r="AH262" s="672">
        <f>W262</f>
        <v>2838.8797299492908</v>
      </c>
      <c r="AI262" s="672">
        <f>AG262</f>
        <v>6314.473646751434</v>
      </c>
    </row>
  </sheetData>
  <sheetProtection password="B437" sheet="1" objects="1" scenarios="1"/>
  <autoFilter ref="B213:AH231"/>
  <mergeCells count="1">
    <mergeCell ref="B4:C4"/>
  </mergeCells>
  <phoneticPr fontId="4"/>
  <pageMargins left="0.7" right="0.7" top="0.75" bottom="0.75" header="0.3" footer="0.3"/>
  <pageSetup paperSize="8" scale="53" orientation="landscape" r:id="rId1"/>
  <rowBreaks count="1" manualBreakCount="1">
    <brk id="132" max="16383" man="1"/>
  </rowBreaks>
  <colBreaks count="1" manualBreakCount="1">
    <brk id="22"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Z84"/>
  <sheetViews>
    <sheetView workbookViewId="0"/>
  </sheetViews>
  <sheetFormatPr defaultColWidth="8.90625" defaultRowHeight="11" x14ac:dyDescent="0.2"/>
  <cols>
    <col min="1" max="1" width="47.90625" style="404" customWidth="1"/>
    <col min="2" max="8" width="24.08984375" style="404" customWidth="1"/>
    <col min="9" max="14" width="24.08984375" style="405" customWidth="1"/>
    <col min="15" max="20" width="24.08984375" style="404" customWidth="1"/>
    <col min="21" max="22" width="24.08984375" style="405" customWidth="1"/>
    <col min="23" max="26" width="24.08984375" style="404" customWidth="1"/>
    <col min="27" max="16384" width="8.90625" style="404"/>
  </cols>
  <sheetData>
    <row r="1" spans="1:26" ht="13" x14ac:dyDescent="0.2">
      <c r="A1" s="571" t="s">
        <v>308</v>
      </c>
      <c r="B1" s="572"/>
      <c r="C1" s="572"/>
      <c r="D1" s="572"/>
      <c r="E1" s="572"/>
      <c r="F1" s="572"/>
      <c r="G1" s="572"/>
      <c r="H1" s="572"/>
      <c r="I1" s="572"/>
      <c r="J1"/>
      <c r="K1" s="573" t="s">
        <v>309</v>
      </c>
      <c r="L1" s="573"/>
      <c r="M1" s="573"/>
      <c r="N1" s="573"/>
      <c r="O1" s="573"/>
      <c r="P1" s="573"/>
      <c r="Q1" s="573"/>
      <c r="R1" s="573"/>
      <c r="S1" s="574" t="s">
        <v>349</v>
      </c>
      <c r="T1" s="574"/>
      <c r="U1" s="578"/>
      <c r="V1" s="578"/>
      <c r="W1" s="574"/>
      <c r="X1" s="574"/>
      <c r="Y1" s="574"/>
      <c r="Z1" s="574"/>
    </row>
    <row r="2" spans="1:26" ht="33" x14ac:dyDescent="0.2">
      <c r="A2" s="576"/>
      <c r="B2" s="576" t="s">
        <v>310</v>
      </c>
      <c r="C2" s="576" t="s">
        <v>311</v>
      </c>
      <c r="D2" s="576" t="s">
        <v>312</v>
      </c>
      <c r="E2" s="576" t="s">
        <v>313</v>
      </c>
      <c r="F2" s="576" t="s">
        <v>314</v>
      </c>
      <c r="G2" s="576" t="s">
        <v>315</v>
      </c>
      <c r="H2" s="576" t="s">
        <v>316</v>
      </c>
      <c r="I2" s="576" t="s">
        <v>317</v>
      </c>
      <c r="J2" s="575"/>
      <c r="K2" s="577" t="s">
        <v>318</v>
      </c>
      <c r="L2" s="577" t="s">
        <v>319</v>
      </c>
      <c r="M2" s="577" t="s">
        <v>347</v>
      </c>
      <c r="N2" s="577" t="s">
        <v>348</v>
      </c>
      <c r="O2" s="577" t="s">
        <v>320</v>
      </c>
      <c r="P2" s="577" t="s">
        <v>321</v>
      </c>
      <c r="Q2" s="577" t="s">
        <v>322</v>
      </c>
      <c r="R2" s="577" t="s">
        <v>323</v>
      </c>
      <c r="S2" s="578" t="s">
        <v>324</v>
      </c>
      <c r="T2" s="578" t="s">
        <v>325</v>
      </c>
      <c r="U2" s="578" t="s">
        <v>347</v>
      </c>
      <c r="V2" s="578" t="s">
        <v>348</v>
      </c>
      <c r="W2" s="578" t="s">
        <v>320</v>
      </c>
      <c r="X2" s="578" t="s">
        <v>321</v>
      </c>
      <c r="Y2" s="578" t="s">
        <v>322</v>
      </c>
      <c r="Z2" s="578" t="s">
        <v>323</v>
      </c>
    </row>
    <row r="3" spans="1:26" ht="13" x14ac:dyDescent="0.2">
      <c r="A3" t="s">
        <v>690</v>
      </c>
      <c r="B3"/>
      <c r="C3"/>
      <c r="D3"/>
      <c r="E3"/>
      <c r="F3"/>
      <c r="G3"/>
      <c r="H3"/>
      <c r="I3"/>
      <c r="J3"/>
      <c r="K3"/>
      <c r="L3"/>
      <c r="M3" s="197">
        <f>波及効果シート!D53</f>
        <v>0.2</v>
      </c>
      <c r="N3" s="197">
        <f>波及効果シート!D54</f>
        <v>0.15</v>
      </c>
      <c r="O3" s="579"/>
      <c r="P3" s="579"/>
      <c r="Q3" s="579"/>
      <c r="R3" s="197"/>
      <c r="S3"/>
      <c r="T3"/>
      <c r="U3" s="197">
        <f>波及効果シート!D53</f>
        <v>0.2</v>
      </c>
      <c r="V3" s="197">
        <f>波及効果シート!D54</f>
        <v>0.15</v>
      </c>
      <c r="W3" s="579"/>
      <c r="X3" s="579"/>
      <c r="Y3" s="579"/>
      <c r="Z3" s="197">
        <v>0</v>
      </c>
    </row>
    <row r="4" spans="1:26" ht="13" x14ac:dyDescent="0.2">
      <c r="A4" t="str">
        <f>'（詳細設定）地域内経済効果の按分比率'!A3</f>
        <v>建設業</v>
      </c>
      <c r="B4" s="579">
        <f>MAX($K4-O4-P4-M4,0)</f>
        <v>9.92056550331082E-2</v>
      </c>
      <c r="C4" s="579">
        <f t="shared" ref="C4:C17" si="0">MAX($L4-Q4-R4-N4,0)</f>
        <v>3.2870000362654708E-2</v>
      </c>
      <c r="D4" s="579">
        <f>O4+Q4</f>
        <v>1.3057809469373637E-2</v>
      </c>
      <c r="E4" s="579">
        <f>P4+R4</f>
        <v>6.3506165233209585E-3</v>
      </c>
      <c r="F4" s="579">
        <f>MAX(S4-W4-X4-U4,0)</f>
        <v>8.1679427106096936E-2</v>
      </c>
      <c r="G4" s="579">
        <f>MAX(T4-Y4-Z4-V4,0)</f>
        <v>7.4170209261148812E-2</v>
      </c>
      <c r="H4" s="579">
        <f>W4+Y4</f>
        <v>1.6969887233812597E-2</v>
      </c>
      <c r="I4" s="579">
        <f>X4+Z4</f>
        <v>5.9513669766058912E-3</v>
      </c>
      <c r="J4" s="579">
        <f t="shared" ref="J4:J40" si="1">SUM(B4:I4)</f>
        <v>0.33025497196612169</v>
      </c>
      <c r="K4" s="580">
        <f>VLOOKUP($A4,'（詳細設定）地域内経済効果の按分比率'!$A$3:$C$16,2,FALSE)</f>
        <v>0.14221302433479238</v>
      </c>
      <c r="L4" s="580">
        <f>VLOOKUP($A4,'（詳細設定）地域内経済効果の按分比率'!$A$3:$C$16,3,FALSE)</f>
        <v>4.4369014024263048E-2</v>
      </c>
      <c r="M4" s="592">
        <f t="shared" ref="M4:M17" si="2">K4*$M$3</f>
        <v>2.8442604866958477E-2</v>
      </c>
      <c r="N4" s="592">
        <f t="shared" ref="N4:N17" si="3">L4*$N$3</f>
        <v>6.6553521036394571E-3</v>
      </c>
      <c r="O4" s="1429">
        <f>IF(K4&gt;0,K4*$D$58*(1+$D$56),0)</f>
        <v>8.7184165968594834E-3</v>
      </c>
      <c r="P4" s="1429">
        <f>IF(K4&gt;0,K4*$D$59*(1+$D$57),0)</f>
        <v>5.8463478378662261E-3</v>
      </c>
      <c r="Q4" s="1460">
        <f>IF(L4&gt;0,L4*$D$54*$D$60*(1+$D$62)+L4*$D$68*(1+$D$69),0)</f>
        <v>4.339392872514153E-3</v>
      </c>
      <c r="R4" s="1460">
        <f>IF(L4&gt;0,L4*$D$54*$D$61*(1+$D$63),0)</f>
        <v>5.0426868545473246E-4</v>
      </c>
      <c r="S4" s="580">
        <v>0.11708887311731032</v>
      </c>
      <c r="T4" s="580">
        <v>0.10011740245154821</v>
      </c>
      <c r="U4" s="592">
        <f t="shared" ref="U4:U17" si="4">S4*$M$3</f>
        <v>2.3417774623462066E-2</v>
      </c>
      <c r="V4" s="592">
        <f t="shared" ref="V4:V17" si="5">T4*$N$3</f>
        <v>1.5017610367732231E-2</v>
      </c>
      <c r="W4" s="1429">
        <f>IF(S4&gt;0,S4*$D$58*(1+$D$56),0)</f>
        <v>7.1781721784520604E-3</v>
      </c>
      <c r="X4" s="1429">
        <f>IF(S4&gt;0,S4*$D$59*(1+$D$57),0)</f>
        <v>4.8134992092992643E-3</v>
      </c>
      <c r="Y4" s="1460">
        <f t="shared" ref="Y4:Y17" si="6">IF(T4&gt;0,T4*$D$54*$D$60*(1+$D$62)+T4*$D$68*(1+$D$69),0)</f>
        <v>9.7917150553605368E-3</v>
      </c>
      <c r="Z4" s="1460">
        <f>IF(T4&gt;0,T4*$D$54*$D$61*(1+$D$63),0)</f>
        <v>1.137867767306627E-3</v>
      </c>
    </row>
    <row r="5" spans="1:26" ht="13" x14ac:dyDescent="0.2">
      <c r="A5" t="str">
        <f>'（詳細設定）地域内経済効果の按分比率'!A4</f>
        <v>非鉄金属製造業</v>
      </c>
      <c r="B5" s="579">
        <f t="shared" ref="B5:B17" si="7">MAX($K5-O5-P5-M5,0)</f>
        <v>4.9726415476346514E-2</v>
      </c>
      <c r="C5" s="579">
        <f t="shared" si="0"/>
        <v>2.5502600530522352E-2</v>
      </c>
      <c r="D5" s="579">
        <f>O5+Q5</f>
        <v>7.7368416728691991E-3</v>
      </c>
      <c r="E5" s="579">
        <f>P5+R5</f>
        <v>3.3217003160051157E-3</v>
      </c>
      <c r="F5" s="579">
        <f t="shared" ref="F5:F45" si="8">MAX(S5-W5-X5-U5,0)</f>
        <v>5.8613889650939645E-2</v>
      </c>
      <c r="G5" s="579">
        <f t="shared" ref="G5:G45" si="9">MAX(T5-Y5-Z5-V5,0)</f>
        <v>6.2624471929355816E-2</v>
      </c>
      <c r="H5" s="579">
        <f>W5+Y5</f>
        <v>1.3418604297212998E-2</v>
      </c>
      <c r="I5" s="579">
        <f>X5+Z5</f>
        <v>4.4149513101677095E-3</v>
      </c>
      <c r="J5" s="579">
        <f t="shared" si="1"/>
        <v>0.22535947518341937</v>
      </c>
      <c r="K5" s="580">
        <f>VLOOKUP($A5,'（詳細設定）地域内経済効果の按分比率'!$A$3:$C$16,2,FALSE)</f>
        <v>7.1283677647807367E-2</v>
      </c>
      <c r="L5" s="580">
        <f>VLOOKUP($A5,'（詳細設定）地域内経済効果の按分比率'!$A$3:$C$16,3,FALSE)</f>
        <v>3.442425397352622E-2</v>
      </c>
      <c r="M5" s="592">
        <f t="shared" si="2"/>
        <v>1.4256735529561474E-2</v>
      </c>
      <c r="N5" s="592">
        <f t="shared" si="3"/>
        <v>5.163638096028933E-3</v>
      </c>
      <c r="O5" s="1429">
        <f t="shared" ref="O5:O17" si="10">IF(K5&gt;0,K5*$D$58*(1+$D$56),0)</f>
        <v>4.3700694869322175E-3</v>
      </c>
      <c r="P5" s="1429">
        <f t="shared" ref="P5:P17" si="11">IF(K5&gt;0,K5*$D$59*(1+$D$57),0)</f>
        <v>2.9304571549671633E-3</v>
      </c>
      <c r="Q5" s="1460">
        <f t="shared" ref="Q5:Q17" si="12">IF(L5&gt;0,L5*$D$54*$D$60*(1+$D$62)+L5*$D$68*(1+$D$69),0)</f>
        <v>3.3667721859369816E-3</v>
      </c>
      <c r="R5" s="1460">
        <f t="shared" ref="R5:R44" si="13">IF(L5&gt;0,L5*$D$54*$D$61*(1+$D$63),0)</f>
        <v>3.9124316103795239E-4</v>
      </c>
      <c r="S5" s="580">
        <v>8.402402577256339E-2</v>
      </c>
      <c r="T5" s="580">
        <v>8.4532584199559377E-2</v>
      </c>
      <c r="U5" s="592">
        <f t="shared" si="4"/>
        <v>1.6804805154512679E-2</v>
      </c>
      <c r="V5" s="592">
        <f t="shared" si="5"/>
        <v>1.2679887629933906E-2</v>
      </c>
      <c r="W5" s="1429">
        <f t="shared" ref="W5:W17" si="14">IF(S5&gt;0,S5*$D$58*(1+$D$56),0)</f>
        <v>5.1511207518230512E-3</v>
      </c>
      <c r="X5" s="1429">
        <f t="shared" ref="X5:X17" si="15">IF(S5&gt;0,S5*$D$59*(1+$D$57),0)</f>
        <v>3.4542102152880089E-3</v>
      </c>
      <c r="Y5" s="1460">
        <f t="shared" si="6"/>
        <v>8.2674835453899458E-3</v>
      </c>
      <c r="Z5" s="1460">
        <f t="shared" ref="Z5:Z17" si="16">IF(T5&gt;0,T5*$D$54*$D$61*(1+$D$63),0)</f>
        <v>9.6074109487970108E-4</v>
      </c>
    </row>
    <row r="6" spans="1:26" ht="13" x14ac:dyDescent="0.2">
      <c r="A6" t="str">
        <f>'（詳細設定）地域内経済効果の按分比率'!A5</f>
        <v>生産用機械器具製造業</v>
      </c>
      <c r="B6" s="579">
        <f t="shared" si="7"/>
        <v>0.1039645362546809</v>
      </c>
      <c r="C6" s="579">
        <f t="shared" si="0"/>
        <v>5.2142579419401966E-2</v>
      </c>
      <c r="D6" s="579">
        <f t="shared" ref="D6:E37" si="17">O6+Q6</f>
        <v>1.602033525042686E-2</v>
      </c>
      <c r="E6" s="579">
        <f t="shared" si="17"/>
        <v>6.9267315054751203E-3</v>
      </c>
      <c r="F6" s="579">
        <f t="shared" si="8"/>
        <v>6.9107282430702549E-2</v>
      </c>
      <c r="G6" s="579">
        <f t="shared" si="9"/>
        <v>6.5758508258294962E-2</v>
      </c>
      <c r="H6" s="579">
        <f t="shared" ref="H6:I37" si="18">W6+Y6</f>
        <v>1.4754532814500761E-2</v>
      </c>
      <c r="I6" s="579">
        <f t="shared" si="18"/>
        <v>5.0814239267871235E-3</v>
      </c>
      <c r="J6" s="579">
        <f t="shared" si="1"/>
        <v>0.33375592986027025</v>
      </c>
      <c r="K6" s="580">
        <f>VLOOKUP($A6,'（詳細設定）地域内経済効果の按分比率'!$A$3:$C$16,2,FALSE)</f>
        <v>0.14903496297069016</v>
      </c>
      <c r="L6" s="580">
        <f>VLOOKUP($A6,'（詳細設定）地域内経済効果の按分比率'!$A$3:$C$16,3,FALSE)</f>
        <v>7.0383778886391454E-2</v>
      </c>
      <c r="M6" s="592">
        <f t="shared" si="2"/>
        <v>2.9806992594138035E-2</v>
      </c>
      <c r="N6" s="592">
        <f t="shared" si="3"/>
        <v>1.0557566832958718E-2</v>
      </c>
      <c r="O6" s="1429">
        <f t="shared" si="10"/>
        <v>9.1366378062330417E-3</v>
      </c>
      <c r="P6" s="1429">
        <f t="shared" si="11"/>
        <v>6.1267963156381704E-3</v>
      </c>
      <c r="Q6" s="1460">
        <f t="shared" si="12"/>
        <v>6.8836974441938183E-3</v>
      </c>
      <c r="R6" s="1460">
        <f t="shared" si="13"/>
        <v>7.999351898369503E-4</v>
      </c>
      <c r="S6" s="580">
        <v>9.9066486025912129E-2</v>
      </c>
      <c r="T6" s="580">
        <v>8.8763010128889056E-2</v>
      </c>
      <c r="U6" s="592">
        <f t="shared" si="4"/>
        <v>1.9813297205182427E-2</v>
      </c>
      <c r="V6" s="592">
        <f t="shared" si="5"/>
        <v>1.3314451519333357E-2</v>
      </c>
      <c r="W6" s="1429">
        <f t="shared" si="14"/>
        <v>6.0733037638491146E-3</v>
      </c>
      <c r="X6" s="1429">
        <f t="shared" si="15"/>
        <v>4.0726026261780337E-3</v>
      </c>
      <c r="Y6" s="1460">
        <f t="shared" si="6"/>
        <v>8.6812290506516464E-3</v>
      </c>
      <c r="Z6" s="1460">
        <f t="shared" si="16"/>
        <v>1.0088213006090895E-3</v>
      </c>
    </row>
    <row r="7" spans="1:26" ht="13" x14ac:dyDescent="0.2">
      <c r="A7" t="str">
        <f>'（詳細設定）地域内経済効果の按分比率'!A6</f>
        <v>業務用機械器具製造業</v>
      </c>
      <c r="B7" s="579">
        <f t="shared" si="7"/>
        <v>9.6532508338086867E-2</v>
      </c>
      <c r="C7" s="579">
        <f t="shared" si="0"/>
        <v>5.6239182839011567E-2</v>
      </c>
      <c r="D7" s="579">
        <f t="shared" si="17"/>
        <v>1.5908012433783043E-2</v>
      </c>
      <c r="E7" s="579">
        <f t="shared" si="17"/>
        <v>6.5515974603623708E-3</v>
      </c>
      <c r="F7" s="579">
        <f t="shared" si="8"/>
        <v>6.2948787955390204E-2</v>
      </c>
      <c r="G7" s="579">
        <f t="shared" si="9"/>
        <v>5.9537278922936213E-2</v>
      </c>
      <c r="H7" s="579">
        <f t="shared" si="18"/>
        <v>1.3392003533220119E-2</v>
      </c>
      <c r="I7" s="579">
        <f t="shared" si="18"/>
        <v>4.6230522288156295E-3</v>
      </c>
      <c r="J7" s="579">
        <f t="shared" si="1"/>
        <v>0.31573242371160604</v>
      </c>
      <c r="K7" s="580">
        <f>VLOOKUP($A7,'（詳細設定）地域内経済効果の按分比率'!$A$3:$C$16,2,FALSE)</f>
        <v>0.13838102225927898</v>
      </c>
      <c r="L7" s="580">
        <f>VLOOKUP($A7,'（詳細設定）地域内経済効果の按分比率'!$A$3:$C$16,3,FALSE)</f>
        <v>7.5913509722141975E-2</v>
      </c>
      <c r="M7" s="592">
        <f t="shared" si="2"/>
        <v>2.7676204451855799E-2</v>
      </c>
      <c r="N7" s="592">
        <f t="shared" si="3"/>
        <v>1.1387026458321296E-2</v>
      </c>
      <c r="O7" s="1429">
        <f t="shared" si="10"/>
        <v>8.4834944394085177E-3</v>
      </c>
      <c r="P7" s="1429">
        <f t="shared" si="11"/>
        <v>5.6888150299277919E-3</v>
      </c>
      <c r="Q7" s="1460">
        <f t="shared" si="12"/>
        <v>7.4245179943745274E-3</v>
      </c>
      <c r="R7" s="1460">
        <f t="shared" si="13"/>
        <v>8.6278243043457869E-4</v>
      </c>
      <c r="S7" s="580">
        <v>9.0238177555079596E-2</v>
      </c>
      <c r="T7" s="580">
        <v>8.0365388936821755E-2</v>
      </c>
      <c r="U7" s="592">
        <f t="shared" si="4"/>
        <v>1.804763551101592E-2</v>
      </c>
      <c r="V7" s="592">
        <f t="shared" si="5"/>
        <v>1.2054808340523263E-2</v>
      </c>
      <c r="W7" s="1429">
        <f t="shared" si="14"/>
        <v>5.5320813866841061E-3</v>
      </c>
      <c r="X7" s="1429">
        <f t="shared" si="15"/>
        <v>3.7096727019893623E-3</v>
      </c>
      <c r="Y7" s="1460">
        <f t="shared" si="6"/>
        <v>7.8599221465360126E-3</v>
      </c>
      <c r="Z7" s="1460">
        <f t="shared" si="16"/>
        <v>9.1337952682626726E-4</v>
      </c>
    </row>
    <row r="8" spans="1:26" ht="13" x14ac:dyDescent="0.2">
      <c r="A8" t="str">
        <f>'（詳細設定）地域内経済効果の按分比率'!A7</f>
        <v>電気機械器具製造業</v>
      </c>
      <c r="B8" s="579">
        <f t="shared" si="7"/>
        <v>9.213398644050913E-2</v>
      </c>
      <c r="C8" s="579">
        <f t="shared" si="0"/>
        <v>4.6206443457752995E-2</v>
      </c>
      <c r="D8" s="579">
        <f t="shared" si="17"/>
        <v>1.4196970080016601E-2</v>
      </c>
      <c r="E8" s="579">
        <f t="shared" si="17"/>
        <v>6.1384702234965633E-3</v>
      </c>
      <c r="F8" s="579">
        <f t="shared" si="8"/>
        <v>4.7018000081430575E-2</v>
      </c>
      <c r="G8" s="579">
        <f t="shared" si="9"/>
        <v>4.7336175043257586E-2</v>
      </c>
      <c r="H8" s="579">
        <f t="shared" si="18"/>
        <v>1.03812190665821E-2</v>
      </c>
      <c r="I8" s="579">
        <f t="shared" si="18"/>
        <v>3.4970445827742546E-3</v>
      </c>
      <c r="J8" s="579">
        <f t="shared" si="1"/>
        <v>0.26690830897581985</v>
      </c>
      <c r="K8" s="580">
        <f>VLOOKUP($A8,'（詳細設定）地域内経済効果の按分比率'!$A$3:$C$16,2,FALSE)</f>
        <v>0.132075664954309</v>
      </c>
      <c r="L8" s="580">
        <f>VLOOKUP($A8,'（詳細設定）地域内経済効果の按分比率'!$A$3:$C$16,3,FALSE)</f>
        <v>6.237098616273893E-2</v>
      </c>
      <c r="M8" s="592">
        <f t="shared" si="2"/>
        <v>2.6415132990861803E-2</v>
      </c>
      <c r="N8" s="592">
        <f t="shared" si="3"/>
        <v>9.3556479244108395E-3</v>
      </c>
      <c r="O8" s="1429">
        <f t="shared" si="10"/>
        <v>8.0969424197611141E-3</v>
      </c>
      <c r="P8" s="1429">
        <f t="shared" si="11"/>
        <v>5.4296031031769547E-3</v>
      </c>
      <c r="Q8" s="1460">
        <f t="shared" si="12"/>
        <v>6.1000276602554858E-3</v>
      </c>
      <c r="R8" s="1460">
        <f t="shared" si="13"/>
        <v>7.088671203196083E-4</v>
      </c>
      <c r="S8" s="580">
        <v>6.7401117280282322E-2</v>
      </c>
      <c r="T8" s="580">
        <v>6.3895935235080775E-2</v>
      </c>
      <c r="U8" s="592">
        <f t="shared" si="4"/>
        <v>1.3480223456056465E-2</v>
      </c>
      <c r="V8" s="592">
        <f t="shared" si="5"/>
        <v>9.5843902852621159E-3</v>
      </c>
      <c r="W8" s="1429">
        <f t="shared" si="14"/>
        <v>4.1320478366306855E-3</v>
      </c>
      <c r="X8" s="1429">
        <f t="shared" si="15"/>
        <v>2.7708459061646026E-3</v>
      </c>
      <c r="Y8" s="1460">
        <f t="shared" si="6"/>
        <v>6.2491712299514142E-3</v>
      </c>
      <c r="Z8" s="1460">
        <f t="shared" si="16"/>
        <v>7.2619867660965172E-4</v>
      </c>
    </row>
    <row r="9" spans="1:26" ht="13" x14ac:dyDescent="0.2">
      <c r="A9" t="str">
        <f>'（詳細設定）地域内経済効果の按分比率'!A8</f>
        <v>はん用機械器具製造業</v>
      </c>
      <c r="B9" s="579">
        <f t="shared" si="7"/>
        <v>0.12035066439076711</v>
      </c>
      <c r="C9" s="579">
        <f t="shared" si="0"/>
        <v>5.17034457439845E-2</v>
      </c>
      <c r="D9" s="579">
        <f t="shared" si="17"/>
        <v>1.7402412098426419E-2</v>
      </c>
      <c r="E9" s="579">
        <f t="shared" si="17"/>
        <v>7.8856553473945334E-3</v>
      </c>
      <c r="F9" s="579">
        <f>MAX(S9-W9-X9-U9,0)</f>
        <v>0</v>
      </c>
      <c r="G9" s="579">
        <f t="shared" si="9"/>
        <v>0</v>
      </c>
      <c r="H9" s="579">
        <f t="shared" si="18"/>
        <v>0</v>
      </c>
      <c r="I9" s="579">
        <f t="shared" si="18"/>
        <v>0</v>
      </c>
      <c r="J9" s="579">
        <f t="shared" si="1"/>
        <v>0.19734217758057254</v>
      </c>
      <c r="K9" s="580">
        <f>VLOOKUP($A9,'（詳細設定）地域内経済効果の按分比率'!$A$3:$C$16,2,FALSE)</f>
        <v>0.17252476139591646</v>
      </c>
      <c r="L9" s="580">
        <f>VLOOKUP($A9,'（詳細設定）地域内経済効果の按分比率'!$A$3:$C$16,3,FALSE)</f>
        <v>6.9791021722163962E-2</v>
      </c>
      <c r="M9" s="592">
        <f t="shared" si="2"/>
        <v>3.4504952279183293E-2</v>
      </c>
      <c r="N9" s="592">
        <f t="shared" si="3"/>
        <v>1.0468653258324594E-2</v>
      </c>
      <c r="O9" s="1429">
        <f t="shared" si="10"/>
        <v>1.0576687684964677E-2</v>
      </c>
      <c r="P9" s="1429">
        <f t="shared" si="11"/>
        <v>7.0924570410014071E-3</v>
      </c>
      <c r="Q9" s="1460">
        <f t="shared" si="12"/>
        <v>6.8257244134617432E-3</v>
      </c>
      <c r="R9" s="1460">
        <f t="shared" si="13"/>
        <v>7.9319830639312588E-4</v>
      </c>
      <c r="S9" s="580">
        <v>0</v>
      </c>
      <c r="T9" s="580">
        <v>0</v>
      </c>
      <c r="U9" s="592">
        <f t="shared" si="4"/>
        <v>0</v>
      </c>
      <c r="V9" s="592">
        <f t="shared" si="5"/>
        <v>0</v>
      </c>
      <c r="W9" s="1429">
        <f t="shared" si="14"/>
        <v>0</v>
      </c>
      <c r="X9" s="1429">
        <f t="shared" si="15"/>
        <v>0</v>
      </c>
      <c r="Y9" s="1460">
        <f t="shared" si="6"/>
        <v>0</v>
      </c>
      <c r="Z9" s="1460">
        <f t="shared" si="16"/>
        <v>0</v>
      </c>
    </row>
    <row r="10" spans="1:26" ht="13" x14ac:dyDescent="0.2">
      <c r="A10" t="str">
        <f>'（詳細設定）地域内経済効果の按分比率'!A9</f>
        <v>その他輸送用機械器具製造業</v>
      </c>
      <c r="B10" s="579">
        <f t="shared" si="7"/>
        <v>9.393547613369102E-2</v>
      </c>
      <c r="C10" s="579">
        <f t="shared" si="0"/>
        <v>4.5435517675070508E-3</v>
      </c>
      <c r="D10" s="579">
        <f t="shared" si="17"/>
        <v>8.8550866440847698E-3</v>
      </c>
      <c r="E10" s="579">
        <f t="shared" si="17"/>
        <v>5.6054717819077051E-3</v>
      </c>
      <c r="F10" s="579">
        <f t="shared" si="8"/>
        <v>0</v>
      </c>
      <c r="G10" s="579">
        <f t="shared" si="9"/>
        <v>0</v>
      </c>
      <c r="H10" s="579">
        <f t="shared" si="18"/>
        <v>0</v>
      </c>
      <c r="I10" s="579">
        <f t="shared" si="18"/>
        <v>0</v>
      </c>
      <c r="J10" s="579">
        <f t="shared" si="1"/>
        <v>0.11293958632719055</v>
      </c>
      <c r="K10" s="580">
        <f>VLOOKUP($A10,'（詳細設定）地域内経済効果の按分比率'!$A$3:$C$16,2,FALSE)</f>
        <v>0.13465813162407547</v>
      </c>
      <c r="L10" s="580">
        <f>VLOOKUP($A10,'（詳細設定）地域内経済効果の按分比率'!$A$3:$C$16,3,FALSE)</f>
        <v>6.1330365034472445E-3</v>
      </c>
      <c r="M10" s="592">
        <f t="shared" si="2"/>
        <v>2.6931626324815095E-2</v>
      </c>
      <c r="N10" s="592">
        <f t="shared" si="3"/>
        <v>9.1995547551708661E-4</v>
      </c>
      <c r="O10" s="1429">
        <f t="shared" si="10"/>
        <v>8.2552613949734305E-3</v>
      </c>
      <c r="P10" s="1429">
        <f t="shared" si="11"/>
        <v>5.5357677705959374E-3</v>
      </c>
      <c r="Q10" s="1460">
        <f t="shared" si="12"/>
        <v>5.9982524911133942E-4</v>
      </c>
      <c r="R10" s="1460">
        <f t="shared" si="13"/>
        <v>6.9704011311768127E-5</v>
      </c>
      <c r="S10" s="580">
        <v>0</v>
      </c>
      <c r="T10" s="580">
        <v>0</v>
      </c>
      <c r="U10" s="592">
        <f t="shared" si="4"/>
        <v>0</v>
      </c>
      <c r="V10" s="592">
        <f t="shared" si="5"/>
        <v>0</v>
      </c>
      <c r="W10" s="1429">
        <f t="shared" si="14"/>
        <v>0</v>
      </c>
      <c r="X10" s="1429">
        <f>IF(S10&gt;0,S10*$D$59*(1+$D$57),0)</f>
        <v>0</v>
      </c>
      <c r="Y10" s="1460">
        <f t="shared" si="6"/>
        <v>0</v>
      </c>
      <c r="Z10" s="1460">
        <f t="shared" si="16"/>
        <v>0</v>
      </c>
    </row>
    <row r="11" spans="1:26" ht="13" x14ac:dyDescent="0.2">
      <c r="A11" t="str">
        <f>'（詳細設定）地域内経済効果の按分比率'!A10</f>
        <v>その他の学術研究、専門・技術サービス業</v>
      </c>
      <c r="B11" s="579">
        <f t="shared" si="7"/>
        <v>6.9758487661131574E-2</v>
      </c>
      <c r="C11" s="579">
        <f t="shared" si="0"/>
        <v>7.408323372856529E-2</v>
      </c>
      <c r="D11" s="579">
        <f t="shared" si="17"/>
        <v>1.5910765969726889E-2</v>
      </c>
      <c r="E11" s="579">
        <f t="shared" si="17"/>
        <v>5.2475126405762433E-3</v>
      </c>
      <c r="F11" s="579">
        <f t="shared" si="8"/>
        <v>7.8082994766298611E-2</v>
      </c>
      <c r="G11" s="579">
        <f t="shared" si="9"/>
        <v>0.11071162691575326</v>
      </c>
      <c r="H11" s="579">
        <f t="shared" si="18"/>
        <v>2.1477906355442552E-2</v>
      </c>
      <c r="I11" s="579">
        <f t="shared" si="18"/>
        <v>6.3000164858740418E-3</v>
      </c>
      <c r="J11" s="579">
        <f t="shared" si="1"/>
        <v>0.38157254452336847</v>
      </c>
      <c r="K11" s="580">
        <f>VLOOKUP($A11,'（詳細設定）地域内経済効果の按分比率'!$A$3:$C$16,2,FALSE)</f>
        <v>0.1</v>
      </c>
      <c r="L11" s="580">
        <f>VLOOKUP($A11,'（詳細設定）地域内経済効果の按分比率'!$A$3:$C$16,3,FALSE)</f>
        <v>0.1</v>
      </c>
      <c r="M11" s="592">
        <f t="shared" si="2"/>
        <v>2.0000000000000004E-2</v>
      </c>
      <c r="N11" s="592">
        <f t="shared" si="3"/>
        <v>1.4999999999999999E-2</v>
      </c>
      <c r="O11" s="1429">
        <f t="shared" si="10"/>
        <v>6.1305331474668075E-3</v>
      </c>
      <c r="P11" s="1429">
        <f t="shared" si="11"/>
        <v>4.1109791914016123E-3</v>
      </c>
      <c r="Q11" s="1460">
        <f t="shared" si="12"/>
        <v>9.780232822260081E-3</v>
      </c>
      <c r="R11" s="1460">
        <f t="shared" si="13"/>
        <v>1.1365334491746308E-3</v>
      </c>
      <c r="S11" s="580">
        <v>0.11193332508239758</v>
      </c>
      <c r="T11" s="580">
        <v>0.1494422170087652</v>
      </c>
      <c r="U11" s="592">
        <f t="shared" si="4"/>
        <v>2.2386665016479516E-2</v>
      </c>
      <c r="V11" s="592">
        <f t="shared" si="5"/>
        <v>2.2416332551314779E-2</v>
      </c>
      <c r="W11" s="1429">
        <f t="shared" si="14"/>
        <v>6.8621095972381608E-3</v>
      </c>
      <c r="X11" s="1429">
        <f t="shared" si="15"/>
        <v>4.6015557023812862E-3</v>
      </c>
      <c r="Y11" s="1460">
        <f t="shared" si="6"/>
        <v>1.461579675820439E-2</v>
      </c>
      <c r="Z11" s="1460">
        <f t="shared" si="16"/>
        <v>1.6984607834927556E-3</v>
      </c>
    </row>
    <row r="12" spans="1:26" ht="13" x14ac:dyDescent="0.2">
      <c r="A12" t="str">
        <f>'（詳細設定）地域内経済効果の按分比率'!A11</f>
        <v>追加する場合はこちらに入力　イニシャル①</v>
      </c>
      <c r="B12" s="579">
        <f t="shared" si="7"/>
        <v>0</v>
      </c>
      <c r="C12" s="579">
        <f t="shared" si="0"/>
        <v>0</v>
      </c>
      <c r="D12" s="579">
        <f t="shared" si="17"/>
        <v>0</v>
      </c>
      <c r="E12" s="579">
        <f t="shared" si="17"/>
        <v>0</v>
      </c>
      <c r="F12" s="579">
        <f t="shared" si="8"/>
        <v>8.1866943438114459E-2</v>
      </c>
      <c r="G12" s="579">
        <f t="shared" si="9"/>
        <v>6.9529094034910435E-2</v>
      </c>
      <c r="H12" s="579">
        <f t="shared" si="18"/>
        <v>1.6373661325239076E-2</v>
      </c>
      <c r="I12" s="579">
        <f t="shared" si="18"/>
        <v>5.891216851765739E-3</v>
      </c>
      <c r="J12" s="579">
        <f t="shared" si="1"/>
        <v>0.1736609156500297</v>
      </c>
      <c r="K12" s="580">
        <f>VLOOKUP($A12,'（詳細設定）地域内経済効果の按分比率'!$A$3:$C$16,2,FALSE)</f>
        <v>0</v>
      </c>
      <c r="L12" s="580">
        <f>VLOOKUP($A12,'（詳細設定）地域内経済効果の按分比率'!$A$3:$C$16,3,FALSE)</f>
        <v>0</v>
      </c>
      <c r="M12" s="592">
        <f t="shared" si="2"/>
        <v>0</v>
      </c>
      <c r="N12" s="592">
        <f t="shared" si="3"/>
        <v>0</v>
      </c>
      <c r="O12" s="1429">
        <f t="shared" si="10"/>
        <v>0</v>
      </c>
      <c r="P12" s="1429">
        <f t="shared" si="11"/>
        <v>0</v>
      </c>
      <c r="Q12" s="1460">
        <f t="shared" si="12"/>
        <v>0</v>
      </c>
      <c r="R12" s="1460">
        <f t="shared" si="13"/>
        <v>0</v>
      </c>
      <c r="S12" s="580">
        <v>0.1173576810262897</v>
      </c>
      <c r="T12" s="580">
        <v>9.3852671563527001E-2</v>
      </c>
      <c r="U12" s="592">
        <f t="shared" si="4"/>
        <v>2.347153620525794E-2</v>
      </c>
      <c r="V12" s="592">
        <f t="shared" si="5"/>
        <v>1.407790073452905E-2</v>
      </c>
      <c r="W12" s="1429">
        <f t="shared" si="14"/>
        <v>7.1946515364150537E-3</v>
      </c>
      <c r="X12" s="1429">
        <f t="shared" si="15"/>
        <v>4.8245498465022477E-3</v>
      </c>
      <c r="Y12" s="1460">
        <f t="shared" si="6"/>
        <v>9.1790097888240219E-3</v>
      </c>
      <c r="Z12" s="1460">
        <f t="shared" si="16"/>
        <v>1.0666670052634911E-3</v>
      </c>
    </row>
    <row r="13" spans="1:26" ht="13" x14ac:dyDescent="0.2">
      <c r="A13" t="str">
        <f>'（詳細設定）地域内経済効果の按分比率'!A12</f>
        <v>追加する場合はこちらに入力　イニシャル②</v>
      </c>
      <c r="B13" s="579">
        <f t="shared" si="7"/>
        <v>0</v>
      </c>
      <c r="C13" s="579">
        <f t="shared" si="0"/>
        <v>0</v>
      </c>
      <c r="D13" s="579">
        <f t="shared" si="17"/>
        <v>0</v>
      </c>
      <c r="E13" s="579">
        <f t="shared" si="17"/>
        <v>0</v>
      </c>
      <c r="F13" s="579">
        <f t="shared" si="8"/>
        <v>6.7141138808419862E-2</v>
      </c>
      <c r="G13" s="579">
        <f t="shared" si="9"/>
        <v>4.6261412663896148E-2</v>
      </c>
      <c r="H13" s="579">
        <f t="shared" si="18"/>
        <v>1.2007799150146169E-2</v>
      </c>
      <c r="I13" s="579">
        <f t="shared" si="18"/>
        <v>4.6664450591578106E-3</v>
      </c>
      <c r="J13" s="579">
        <f t="shared" si="1"/>
        <v>0.13007679568161998</v>
      </c>
      <c r="K13" s="580">
        <f>VLOOKUP($A13,'（詳細設定）地域内経済効果の按分比率'!$A$3:$C$16,2,FALSE)</f>
        <v>0</v>
      </c>
      <c r="L13" s="580">
        <f>VLOOKUP($A13,'（詳細設定）地域内経済効果の按分比率'!$A$3:$C$16,3,FALSE)</f>
        <v>0</v>
      </c>
      <c r="M13" s="592">
        <f t="shared" si="2"/>
        <v>0</v>
      </c>
      <c r="N13" s="592">
        <f t="shared" si="3"/>
        <v>0</v>
      </c>
      <c r="O13" s="1429">
        <f t="shared" si="10"/>
        <v>0</v>
      </c>
      <c r="P13" s="1429">
        <f t="shared" si="11"/>
        <v>0</v>
      </c>
      <c r="Q13" s="1460">
        <f t="shared" si="12"/>
        <v>0</v>
      </c>
      <c r="R13" s="1460">
        <f t="shared" si="13"/>
        <v>0</v>
      </c>
      <c r="S13" s="580">
        <v>9.6247985097632688E-2</v>
      </c>
      <c r="T13" s="580">
        <v>6.2445185415898642E-2</v>
      </c>
      <c r="U13" s="592">
        <f t="shared" si="4"/>
        <v>1.924959701952654E-2</v>
      </c>
      <c r="V13" s="592">
        <f t="shared" si="5"/>
        <v>9.3667778123847963E-3</v>
      </c>
      <c r="W13" s="1429">
        <f t="shared" si="14"/>
        <v>5.9005146301792846E-3</v>
      </c>
      <c r="X13" s="1429">
        <f t="shared" si="15"/>
        <v>3.9567346395070046E-3</v>
      </c>
      <c r="Y13" s="1460">
        <f t="shared" si="6"/>
        <v>6.1072845199668839E-3</v>
      </c>
      <c r="Z13" s="1460">
        <f t="shared" si="16"/>
        <v>7.097104196508063E-4</v>
      </c>
    </row>
    <row r="14" spans="1:26" ht="13" x14ac:dyDescent="0.2">
      <c r="A14" t="str">
        <f>'（詳細設定）地域内経済効果の按分比率'!A13</f>
        <v>追加する場合はこちらに入力　イニシャル③</v>
      </c>
      <c r="B14" s="579">
        <f t="shared" si="7"/>
        <v>0</v>
      </c>
      <c r="C14" s="579">
        <f t="shared" si="0"/>
        <v>0</v>
      </c>
      <c r="D14" s="579">
        <f t="shared" si="17"/>
        <v>0</v>
      </c>
      <c r="E14" s="579">
        <f t="shared" si="17"/>
        <v>0</v>
      </c>
      <c r="F14" s="579">
        <f t="shared" si="8"/>
        <v>7.036626239248539E-2</v>
      </c>
      <c r="G14" s="579">
        <f t="shared" si="9"/>
        <v>6.487961165668564E-2</v>
      </c>
      <c r="H14" s="579">
        <f t="shared" si="18"/>
        <v>1.4749145678425567E-2</v>
      </c>
      <c r="I14" s="579">
        <f t="shared" si="18"/>
        <v>5.1421342080818638E-3</v>
      </c>
      <c r="J14" s="579">
        <f t="shared" si="1"/>
        <v>0.15513715393567845</v>
      </c>
      <c r="K14" s="580">
        <f>VLOOKUP($A14,'（詳細設定）地域内経済効果の按分比率'!$A$3:$C$16,2,FALSE)</f>
        <v>0</v>
      </c>
      <c r="L14" s="580">
        <f>VLOOKUP($A14,'（詳細設定）地域内経済効果の按分比率'!$A$3:$C$16,3,FALSE)</f>
        <v>0</v>
      </c>
      <c r="M14" s="592">
        <f t="shared" si="2"/>
        <v>0</v>
      </c>
      <c r="N14" s="592">
        <f t="shared" si="3"/>
        <v>0</v>
      </c>
      <c r="O14" s="1429">
        <f t="shared" si="10"/>
        <v>0</v>
      </c>
      <c r="P14" s="1429">
        <f t="shared" si="11"/>
        <v>0</v>
      </c>
      <c r="Q14" s="1460">
        <f t="shared" si="12"/>
        <v>0</v>
      </c>
      <c r="R14" s="1460">
        <f t="shared" si="13"/>
        <v>0</v>
      </c>
      <c r="S14" s="580">
        <v>0.10087125560162115</v>
      </c>
      <c r="T14" s="580">
        <v>8.7576646416919465E-2</v>
      </c>
      <c r="U14" s="592">
        <f t="shared" si="4"/>
        <v>2.017425112032423E-2</v>
      </c>
      <c r="V14" s="592">
        <f t="shared" si="5"/>
        <v>1.313649696253792E-2</v>
      </c>
      <c r="W14" s="1429">
        <f t="shared" si="14"/>
        <v>6.1839457609233527E-3</v>
      </c>
      <c r="X14" s="1429">
        <f t="shared" si="15"/>
        <v>4.1467963278881788E-3</v>
      </c>
      <c r="Y14" s="1460">
        <f t="shared" si="6"/>
        <v>8.5651999175022156E-3</v>
      </c>
      <c r="Z14" s="1460">
        <f t="shared" si="16"/>
        <v>9.9533788019368552E-4</v>
      </c>
    </row>
    <row r="15" spans="1:26" ht="13" x14ac:dyDescent="0.2">
      <c r="A15" t="str">
        <f>'（詳細設定）地域内経済効果の按分比率'!A14</f>
        <v>追加する場合はこちらに入力　イニシャル④</v>
      </c>
      <c r="B15" s="579">
        <f t="shared" si="7"/>
        <v>0</v>
      </c>
      <c r="C15" s="579">
        <f t="shared" si="0"/>
        <v>0</v>
      </c>
      <c r="D15" s="579">
        <f t="shared" si="17"/>
        <v>0</v>
      </c>
      <c r="E15" s="579">
        <f t="shared" si="17"/>
        <v>0</v>
      </c>
      <c r="F15" s="579">
        <f t="shared" si="8"/>
        <v>0</v>
      </c>
      <c r="G15" s="579">
        <f t="shared" si="9"/>
        <v>0</v>
      </c>
      <c r="H15" s="579">
        <f t="shared" si="18"/>
        <v>0</v>
      </c>
      <c r="I15" s="579">
        <f t="shared" si="18"/>
        <v>0</v>
      </c>
      <c r="J15" s="579">
        <f t="shared" si="1"/>
        <v>0</v>
      </c>
      <c r="K15" s="580">
        <f>VLOOKUP($A15,'（詳細設定）地域内経済効果の按分比率'!$A$3:$C$16,2,FALSE)</f>
        <v>0</v>
      </c>
      <c r="L15" s="580">
        <f>VLOOKUP($A15,'（詳細設定）地域内経済効果の按分比率'!$A$3:$C$16,3,FALSE)</f>
        <v>0</v>
      </c>
      <c r="M15" s="592">
        <f t="shared" si="2"/>
        <v>0</v>
      </c>
      <c r="N15" s="592">
        <f t="shared" si="3"/>
        <v>0</v>
      </c>
      <c r="O15" s="1429">
        <f t="shared" si="10"/>
        <v>0</v>
      </c>
      <c r="P15" s="1429">
        <f t="shared" si="11"/>
        <v>0</v>
      </c>
      <c r="Q15" s="1460">
        <f t="shared" si="12"/>
        <v>0</v>
      </c>
      <c r="R15" s="1460">
        <f t="shared" si="13"/>
        <v>0</v>
      </c>
      <c r="S15" s="580">
        <v>0</v>
      </c>
      <c r="T15" s="580">
        <v>0</v>
      </c>
      <c r="U15" s="592">
        <f t="shared" si="4"/>
        <v>0</v>
      </c>
      <c r="V15" s="592">
        <f t="shared" si="5"/>
        <v>0</v>
      </c>
      <c r="W15" s="1429">
        <f t="shared" si="14"/>
        <v>0</v>
      </c>
      <c r="X15" s="1429">
        <f t="shared" si="15"/>
        <v>0</v>
      </c>
      <c r="Y15" s="1460">
        <f t="shared" si="6"/>
        <v>0</v>
      </c>
      <c r="Z15" s="1460">
        <f t="shared" si="16"/>
        <v>0</v>
      </c>
    </row>
    <row r="16" spans="1:26" ht="13" x14ac:dyDescent="0.2">
      <c r="A16" t="str">
        <f>'（詳細設定）地域内経済効果の按分比率'!A15</f>
        <v>追加する場合はこちらに入力　イニシャル⑤</v>
      </c>
      <c r="B16" s="579">
        <f t="shared" si="7"/>
        <v>0</v>
      </c>
      <c r="C16" s="579">
        <f t="shared" si="0"/>
        <v>0</v>
      </c>
      <c r="D16" s="579">
        <f t="shared" si="17"/>
        <v>0</v>
      </c>
      <c r="E16" s="579">
        <f t="shared" si="17"/>
        <v>0</v>
      </c>
      <c r="F16" s="579">
        <f t="shared" si="8"/>
        <v>7.3091314182005582E-2</v>
      </c>
      <c r="G16" s="579">
        <f t="shared" si="9"/>
        <v>5.6844298230267105E-2</v>
      </c>
      <c r="H16" s="579">
        <f t="shared" si="18"/>
        <v>1.3927832858248453E-2</v>
      </c>
      <c r="I16" s="579">
        <f t="shared" si="18"/>
        <v>5.1794536759465753E-3</v>
      </c>
      <c r="J16" s="579">
        <f t="shared" si="1"/>
        <v>0.14904289894646772</v>
      </c>
      <c r="K16" s="580">
        <f>VLOOKUP($A16,'（詳細設定）地域内経済効果の按分比率'!$A$3:$C$16,2,FALSE)</f>
        <v>0</v>
      </c>
      <c r="L16" s="580">
        <f>VLOOKUP($A16,'（詳細設定）地域内経済効果の按分比率'!$A$3:$C$16,3,FALSE)</f>
        <v>0</v>
      </c>
      <c r="M16" s="592">
        <f t="shared" si="2"/>
        <v>0</v>
      </c>
      <c r="N16" s="592">
        <f t="shared" si="3"/>
        <v>0</v>
      </c>
      <c r="O16" s="1429">
        <f t="shared" si="10"/>
        <v>0</v>
      </c>
      <c r="P16" s="1429">
        <f t="shared" si="11"/>
        <v>0</v>
      </c>
      <c r="Q16" s="1460">
        <f t="shared" si="12"/>
        <v>0</v>
      </c>
      <c r="R16" s="1460">
        <f t="shared" si="13"/>
        <v>0</v>
      </c>
      <c r="S16" s="580">
        <v>0.10477766452888713</v>
      </c>
      <c r="T16" s="580">
        <v>7.6730314498068233E-2</v>
      </c>
      <c r="U16" s="592">
        <f t="shared" si="4"/>
        <v>2.0955532905777428E-2</v>
      </c>
      <c r="V16" s="592">
        <f t="shared" si="5"/>
        <v>1.1509547174710234E-2</v>
      </c>
      <c r="W16" s="1429">
        <f t="shared" si="14"/>
        <v>6.4234294550849971E-3</v>
      </c>
      <c r="X16" s="1429">
        <f t="shared" si="15"/>
        <v>4.3073879860191389E-3</v>
      </c>
      <c r="Y16" s="1460">
        <f t="shared" si="6"/>
        <v>7.5044034031634546E-3</v>
      </c>
      <c r="Z16" s="1460">
        <f t="shared" si="16"/>
        <v>8.7206568992743657E-4</v>
      </c>
    </row>
    <row r="17" spans="1:26" ht="13" x14ac:dyDescent="0.2">
      <c r="A17" t="str">
        <f>'（詳細設定）地域内経済効果の按分比率'!A16</f>
        <v>追加する場合はこちらに入力　イニシャル⑥</v>
      </c>
      <c r="B17" s="579">
        <f t="shared" si="7"/>
        <v>0</v>
      </c>
      <c r="C17" s="579">
        <f t="shared" si="0"/>
        <v>0</v>
      </c>
      <c r="D17" s="579">
        <f t="shared" si="17"/>
        <v>0</v>
      </c>
      <c r="E17" s="579">
        <f t="shared" si="17"/>
        <v>0</v>
      </c>
      <c r="F17" s="579">
        <f t="shared" si="8"/>
        <v>8.5745146117992374E-2</v>
      </c>
      <c r="G17" s="579">
        <f t="shared" si="9"/>
        <v>6.9215306602088397E-2</v>
      </c>
      <c r="H17" s="579">
        <f t="shared" si="18"/>
        <v>1.6673061300543222E-2</v>
      </c>
      <c r="I17" s="579">
        <f t="shared" si="18"/>
        <v>6.1149516266885157E-3</v>
      </c>
      <c r="J17" s="579">
        <f t="shared" si="1"/>
        <v>0.1777484656473125</v>
      </c>
      <c r="K17" s="580">
        <f>VLOOKUP($A17,'（詳細設定）地域内経済効果の按分比率'!$A$3:$C$16,2,FALSE)</f>
        <v>0</v>
      </c>
      <c r="L17" s="580">
        <f>VLOOKUP($A17,'（詳細設定）地域内経済効果の按分比率'!$A$3:$C$16,3,FALSE)</f>
        <v>0</v>
      </c>
      <c r="M17" s="592">
        <f t="shared" si="2"/>
        <v>0</v>
      </c>
      <c r="N17" s="592">
        <f t="shared" si="3"/>
        <v>0</v>
      </c>
      <c r="O17" s="1429">
        <f t="shared" si="10"/>
        <v>0</v>
      </c>
      <c r="P17" s="1429">
        <f t="shared" si="11"/>
        <v>0</v>
      </c>
      <c r="Q17" s="1460">
        <f t="shared" si="12"/>
        <v>0</v>
      </c>
      <c r="R17" s="1460">
        <f t="shared" si="13"/>
        <v>0</v>
      </c>
      <c r="S17" s="580">
        <v>0.12291715172284093</v>
      </c>
      <c r="T17" s="580">
        <v>9.3429110904752657E-2</v>
      </c>
      <c r="U17" s="592">
        <f t="shared" si="4"/>
        <v>2.4583430344568186E-2</v>
      </c>
      <c r="V17" s="592">
        <f t="shared" si="5"/>
        <v>1.4014366635712898E-2</v>
      </c>
      <c r="W17" s="1429">
        <f t="shared" si="14"/>
        <v>7.5354767302908306E-3</v>
      </c>
      <c r="X17" s="1429">
        <f t="shared" si="15"/>
        <v>5.053098529989539E-3</v>
      </c>
      <c r="Y17" s="1460">
        <f t="shared" si="6"/>
        <v>9.1375845702523911E-3</v>
      </c>
      <c r="Z17" s="1460">
        <f t="shared" si="16"/>
        <v>1.0618530966989763E-3</v>
      </c>
    </row>
    <row r="18" spans="1:26" ht="13" x14ac:dyDescent="0.2">
      <c r="A18" t="s">
        <v>691</v>
      </c>
      <c r="B18" s="579"/>
      <c r="C18" s="579"/>
      <c r="D18" s="579"/>
      <c r="E18" s="579"/>
      <c r="F18" s="579"/>
      <c r="G18" s="579"/>
      <c r="H18" s="579"/>
      <c r="I18" s="579"/>
      <c r="J18" s="579"/>
      <c r="K18" s="580"/>
      <c r="L18" s="580"/>
      <c r="M18" s="592"/>
      <c r="N18" s="592"/>
      <c r="O18" s="580"/>
      <c r="P18" s="580"/>
      <c r="Q18" s="580"/>
      <c r="R18" s="580"/>
      <c r="S18" s="580"/>
      <c r="T18" s="580"/>
      <c r="U18" s="592"/>
      <c r="V18" s="592"/>
      <c r="W18" s="1429"/>
      <c r="X18" s="1429"/>
      <c r="Y18" s="1460"/>
      <c r="Z18" s="1460"/>
    </row>
    <row r="19" spans="1:26" ht="13" x14ac:dyDescent="0.2">
      <c r="A19" t="str">
        <f>'（詳細設定）地域内経済効果の按分比率'!A19</f>
        <v>食料品製造業</v>
      </c>
      <c r="B19" s="579">
        <f t="shared" ref="B19:B27" si="19">MAX($K19-O19-P19-M19,0)</f>
        <v>7.5432005555976095E-2</v>
      </c>
      <c r="C19" s="579">
        <f t="shared" ref="C19:C27" si="20">MAX($L19-Q19-R19-N19,0)</f>
        <v>3.0824597165248154E-2</v>
      </c>
      <c r="D19" s="579">
        <f t="shared" si="17"/>
        <v>1.0698499939299682E-2</v>
      </c>
      <c r="E19" s="579">
        <f t="shared" si="17"/>
        <v>4.9182182025536529E-3</v>
      </c>
      <c r="F19" s="579">
        <f t="shared" si="8"/>
        <v>8.6115807863201305E-2</v>
      </c>
      <c r="G19" s="579">
        <f t="shared" si="9"/>
        <v>7.3032018052384601E-2</v>
      </c>
      <c r="H19" s="579">
        <f t="shared" si="18"/>
        <v>1.7209505993133339E-2</v>
      </c>
      <c r="I19" s="579">
        <f t="shared" si="18"/>
        <v>6.1953486485218333E-3</v>
      </c>
      <c r="J19" s="579">
        <f t="shared" si="1"/>
        <v>0.30442600142031867</v>
      </c>
      <c r="K19" s="580">
        <f>VLOOKUP($A19,'（詳細設定）地域内経済効果の按分比率'!$A$19:$C$47,2,FALSE)</f>
        <v>0.10813308614487885</v>
      </c>
      <c r="L19" s="580">
        <f>VLOOKUP($A19,'（詳細設定）地域内経済効果の按分比率'!$A$19:$C$47,3,FALSE)</f>
        <v>4.1608061114322949E-2</v>
      </c>
      <c r="M19" s="592">
        <f t="shared" ref="M19:M27" si="21">K19*$M$3</f>
        <v>2.162661722897577E-2</v>
      </c>
      <c r="N19" s="592">
        <f t="shared" ref="N19:N27" si="22">L19*$N$3</f>
        <v>6.241209167148442E-3</v>
      </c>
      <c r="O19" s="1429">
        <f t="shared" ref="O19:O27" si="23">IF(K19&gt;0,K19*$D$58*(1+$D$56),0)</f>
        <v>6.6291346894906348E-3</v>
      </c>
      <c r="P19" s="1429">
        <f t="shared" ref="P19:P27" si="24">IF(K19&gt;0,K19*$D$59*(1+$D$57),0)</f>
        <v>4.4453286704363498E-3</v>
      </c>
      <c r="Q19" s="1460">
        <f t="shared" ref="Q19:Q27" si="25">IF(L19&gt;0,L19*$D$54*$D$60*(1+$D$62)+L19*$D$68*(1+$D$69),0)</f>
        <v>4.0693652498090468E-3</v>
      </c>
      <c r="R19" s="1460">
        <f t="shared" si="13"/>
        <v>4.7288953211730285E-4</v>
      </c>
      <c r="S19" s="580">
        <v>0.12344850175297561</v>
      </c>
      <c r="T19" s="580">
        <v>9.8581034299835973E-2</v>
      </c>
      <c r="U19" s="592">
        <f t="shared" ref="U19:U27" si="26">S19*$M$3</f>
        <v>2.4689700350595124E-2</v>
      </c>
      <c r="V19" s="592">
        <f t="shared" ref="V19:V27" si="27">T19*$N$3</f>
        <v>1.4787155144975396E-2</v>
      </c>
      <c r="W19" s="1429">
        <f t="shared" ref="W19:W27" si="28">IF(S19&gt;0,S19*$D$58*(1+$D$56),0)</f>
        <v>7.5680513200173122E-3</v>
      </c>
      <c r="X19" s="1429">
        <f t="shared" ref="X19:X27" si="29">IF(S19&gt;0,S19*$D$59*(1+$D$57),0)</f>
        <v>5.074942219161882E-3</v>
      </c>
      <c r="Y19" s="1460">
        <f t="shared" ref="Y19:Y27" si="30">IF(T19&gt;0,T19*$D$54*$D$60*(1+$D$62)+T19*$D$68*(1+$D$69),0)</f>
        <v>9.6414546731160254E-3</v>
      </c>
      <c r="Z19" s="1460">
        <f>IF(T19&gt;0,T19*$D$54*$D$61*(1+$D$63),0)</f>
        <v>1.1204064293599515E-3</v>
      </c>
    </row>
    <row r="20" spans="1:26" ht="13" x14ac:dyDescent="0.2">
      <c r="A20" t="str">
        <f>'（詳細設定）地域内経済効果の按分比率'!A20</f>
        <v>繊維工業</v>
      </c>
      <c r="B20" s="579">
        <f t="shared" si="19"/>
        <v>0.11371155412655845</v>
      </c>
      <c r="C20" s="579">
        <f t="shared" si="20"/>
        <v>2.2856336121310748E-2</v>
      </c>
      <c r="D20" s="579">
        <f t="shared" si="17"/>
        <v>1.3010648486531429E-2</v>
      </c>
      <c r="E20" s="579">
        <f t="shared" si="17"/>
        <v>7.0518496729472637E-3</v>
      </c>
      <c r="F20" s="579">
        <f t="shared" si="8"/>
        <v>7.0225260965554967E-2</v>
      </c>
      <c r="G20" s="579">
        <f t="shared" si="9"/>
        <v>5.3863946408093333E-2</v>
      </c>
      <c r="H20" s="579">
        <f t="shared" si="18"/>
        <v>1.3282501075214991E-2</v>
      </c>
      <c r="I20" s="579">
        <f t="shared" si="18"/>
        <v>4.9648300934169451E-3</v>
      </c>
      <c r="J20" s="579">
        <f t="shared" si="1"/>
        <v>0.29896692694962818</v>
      </c>
      <c r="K20" s="580">
        <f>VLOOKUP($A20,'（詳細設定）地域内経済効果の按分比率'!$A$19:$C$47,2,FALSE)</f>
        <v>0.16300748186935951</v>
      </c>
      <c r="L20" s="580">
        <f>VLOOKUP($A20,'（詳細設定）地域内経済効果の按分比率'!$A$19:$C$47,3,FALSE)</f>
        <v>3.0852238719835626E-2</v>
      </c>
      <c r="M20" s="592">
        <f t="shared" si="21"/>
        <v>3.2601496373871906E-2</v>
      </c>
      <c r="N20" s="592">
        <f t="shared" si="22"/>
        <v>4.627835807975344E-3</v>
      </c>
      <c r="O20" s="1429">
        <f t="shared" si="23"/>
        <v>9.9932277088520313E-3</v>
      </c>
      <c r="P20" s="1429">
        <f t="shared" si="24"/>
        <v>6.7012036600771251E-3</v>
      </c>
      <c r="Q20" s="1460">
        <f t="shared" si="25"/>
        <v>3.0174207776793973E-3</v>
      </c>
      <c r="R20" s="1460">
        <f t="shared" si="13"/>
        <v>3.506460128701388E-4</v>
      </c>
      <c r="S20" s="580">
        <v>0.1006691276145361</v>
      </c>
      <c r="T20" s="580">
        <v>7.2707337000766301E-2</v>
      </c>
      <c r="U20" s="592">
        <f t="shared" si="26"/>
        <v>2.0133825522907222E-2</v>
      </c>
      <c r="V20" s="592">
        <f t="shared" si="27"/>
        <v>1.0906100550114945E-2</v>
      </c>
      <c r="W20" s="1429">
        <f t="shared" si="28"/>
        <v>6.1715542376747966E-3</v>
      </c>
      <c r="X20" s="1429">
        <f t="shared" si="29"/>
        <v>4.1384868883991132E-3</v>
      </c>
      <c r="Y20" s="1460">
        <f t="shared" si="30"/>
        <v>7.1109468375401942E-3</v>
      </c>
      <c r="Z20" s="1460">
        <f t="shared" ref="Z20:Z27" si="31">IF(T20&gt;0,T20*$D$54*$D$61*(1+$D$63),0)</f>
        <v>8.263432050178317E-4</v>
      </c>
    </row>
    <row r="21" spans="1:26" ht="13" x14ac:dyDescent="0.2">
      <c r="A21" t="str">
        <f>'（詳細設定）地域内経済効果の按分比率'!A21</f>
        <v>木材・木製品製造業</v>
      </c>
      <c r="B21" s="579">
        <f t="shared" si="19"/>
        <v>8.847880364724782E-2</v>
      </c>
      <c r="C21" s="579">
        <f t="shared" si="20"/>
        <v>2.2255942349392748E-2</v>
      </c>
      <c r="D21" s="579">
        <f t="shared" si="17"/>
        <v>1.0713875418313399E-2</v>
      </c>
      <c r="E21" s="579">
        <f t="shared" si="17"/>
        <v>5.5556325272973512E-3</v>
      </c>
      <c r="F21" s="579">
        <f t="shared" si="8"/>
        <v>5.8246400068809323E-2</v>
      </c>
      <c r="G21" s="579">
        <f t="shared" si="9"/>
        <v>4.4223366961432135E-2</v>
      </c>
      <c r="H21" s="579">
        <f t="shared" si="18"/>
        <v>1.0957053149275047E-2</v>
      </c>
      <c r="I21" s="579">
        <f t="shared" si="18"/>
        <v>4.110997606640663E-3</v>
      </c>
      <c r="J21" s="579">
        <f t="shared" si="1"/>
        <v>0.2445420717284085</v>
      </c>
      <c r="K21" s="580">
        <f>VLOOKUP($A21,'（詳細設定）地域内経済効果の按分比率'!$A$19:$C$47,2,FALSE)</f>
        <v>0.12683589712703439</v>
      </c>
      <c r="L21" s="580">
        <f>VLOOKUP($A21,'（詳細設定）地域内経済効果の按分比率'!$A$19:$C$47,3,FALSE)</f>
        <v>3.0041807341910372E-2</v>
      </c>
      <c r="M21" s="592">
        <f t="shared" si="21"/>
        <v>2.536717942540688E-2</v>
      </c>
      <c r="N21" s="592">
        <f t="shared" si="22"/>
        <v>4.5062711012865556E-3</v>
      </c>
      <c r="O21" s="1429">
        <f t="shared" si="23"/>
        <v>7.7757167162597418E-3</v>
      </c>
      <c r="P21" s="1429">
        <f t="shared" si="24"/>
        <v>5.2141973381199394E-3</v>
      </c>
      <c r="Q21" s="1460">
        <f t="shared" si="25"/>
        <v>2.9381587020536567E-3</v>
      </c>
      <c r="R21" s="1460">
        <f t="shared" si="13"/>
        <v>3.4143518917741138E-4</v>
      </c>
      <c r="S21" s="580">
        <v>8.3497223093131012E-2</v>
      </c>
      <c r="T21" s="580">
        <v>5.9694163896061581E-2</v>
      </c>
      <c r="U21" s="592">
        <f t="shared" si="26"/>
        <v>1.6699444618626203E-2</v>
      </c>
      <c r="V21" s="592">
        <f t="shared" si="27"/>
        <v>8.9541245844092371E-3</v>
      </c>
      <c r="W21" s="1429">
        <f t="shared" si="28"/>
        <v>5.1188249389387055E-3</v>
      </c>
      <c r="X21" s="1429">
        <f t="shared" si="29"/>
        <v>3.4325534667567974E-3</v>
      </c>
      <c r="Y21" s="1460">
        <f t="shared" si="30"/>
        <v>5.8382282103363412E-3</v>
      </c>
      <c r="Z21" s="1460">
        <f t="shared" si="31"/>
        <v>6.7844413988386583E-4</v>
      </c>
    </row>
    <row r="22" spans="1:26" ht="13" x14ac:dyDescent="0.2">
      <c r="A22" t="str">
        <f>'（詳細設定）地域内経済効果の按分比率'!A22</f>
        <v>パルプ・紙・紙加工品製造業</v>
      </c>
      <c r="B22" s="579">
        <f t="shared" si="19"/>
        <v>7.7212512184166818E-2</v>
      </c>
      <c r="C22" s="579">
        <f t="shared" si="20"/>
        <v>1.7885530757044455E-2</v>
      </c>
      <c r="D22" s="579">
        <f t="shared" si="17"/>
        <v>9.146800493675002E-3</v>
      </c>
      <c r="E22" s="579">
        <f t="shared" si="17"/>
        <v>4.8246441463116714E-3</v>
      </c>
      <c r="F22" s="579">
        <f t="shared" si="8"/>
        <v>7.7726096510871576E-2</v>
      </c>
      <c r="G22" s="579">
        <f t="shared" si="9"/>
        <v>5.7969691462647452E-2</v>
      </c>
      <c r="H22" s="579">
        <f t="shared" si="18"/>
        <v>1.4483718811302126E-2</v>
      </c>
      <c r="I22" s="579">
        <f t="shared" si="18"/>
        <v>5.469853807884676E-3</v>
      </c>
      <c r="J22" s="579">
        <f t="shared" si="1"/>
        <v>0.26471884817390379</v>
      </c>
      <c r="K22" s="580">
        <f>VLOOKUP($A22,'（詳細設定）地域内経済効果の按分比率'!$A$19:$C$47,2,FALSE)</f>
        <v>0.1106854732276378</v>
      </c>
      <c r="L22" s="580">
        <f>VLOOKUP($A22,'（詳細設定）地域内経済効果の按分比率'!$A$19:$C$47,3,FALSE)</f>
        <v>2.4142481175397298E-2</v>
      </c>
      <c r="M22" s="592">
        <f t="shared" si="21"/>
        <v>2.2137094645527561E-2</v>
      </c>
      <c r="N22" s="592">
        <f t="shared" si="22"/>
        <v>3.6213721763095944E-3</v>
      </c>
      <c r="O22" s="1429">
        <f t="shared" si="23"/>
        <v>6.7856096256508338E-3</v>
      </c>
      <c r="P22" s="1429">
        <f t="shared" si="24"/>
        <v>4.5502567722925926E-3</v>
      </c>
      <c r="Q22" s="1460">
        <f t="shared" si="25"/>
        <v>2.3611908680241682E-3</v>
      </c>
      <c r="R22" s="1460">
        <f t="shared" si="13"/>
        <v>2.743873740190788E-4</v>
      </c>
      <c r="S22" s="580">
        <v>0.11142170525319377</v>
      </c>
      <c r="T22" s="580">
        <v>7.8249407517824471E-2</v>
      </c>
      <c r="U22" s="592">
        <f t="shared" si="26"/>
        <v>2.2284341050638756E-2</v>
      </c>
      <c r="V22" s="592">
        <f t="shared" si="27"/>
        <v>1.173741112767367E-2</v>
      </c>
      <c r="W22" s="1429">
        <f t="shared" si="28"/>
        <v>6.8307445740198088E-3</v>
      </c>
      <c r="X22" s="1429">
        <f t="shared" si="29"/>
        <v>4.5805231176636327E-3</v>
      </c>
      <c r="Y22" s="1460">
        <f t="shared" si="30"/>
        <v>7.6529742372823161E-3</v>
      </c>
      <c r="Z22" s="1460">
        <f t="shared" si="31"/>
        <v>8.8933069022104311E-4</v>
      </c>
    </row>
    <row r="23" spans="1:26" ht="13" x14ac:dyDescent="0.2">
      <c r="A23" t="str">
        <f>'（詳細設定）地域内経済効果の按分比率'!A23</f>
        <v>印刷・同関連業</v>
      </c>
      <c r="B23" s="579">
        <f t="shared" si="19"/>
        <v>6.9758487661131574E-2</v>
      </c>
      <c r="C23" s="579">
        <f t="shared" si="20"/>
        <v>7.408323372856529E-2</v>
      </c>
      <c r="D23" s="579">
        <f t="shared" si="17"/>
        <v>1.5910765969726889E-2</v>
      </c>
      <c r="E23" s="579">
        <f t="shared" si="17"/>
        <v>5.2475126405762433E-3</v>
      </c>
      <c r="F23" s="579">
        <f t="shared" si="8"/>
        <v>8.34442512554711E-2</v>
      </c>
      <c r="G23" s="579">
        <f t="shared" si="9"/>
        <v>6.5227954038739516E-2</v>
      </c>
      <c r="H23" s="579">
        <f t="shared" si="18"/>
        <v>1.5944455873557348E-2</v>
      </c>
      <c r="I23" s="579">
        <f t="shared" si="18"/>
        <v>5.9181850243667468E-3</v>
      </c>
      <c r="J23" s="579">
        <f t="shared" si="1"/>
        <v>0.33553484619213469</v>
      </c>
      <c r="K23" s="580">
        <f>VLOOKUP($A23,'（詳細設定）地域内経済効果の按分比率'!$A$19:$C$47,2,FALSE)</f>
        <v>0.1</v>
      </c>
      <c r="L23" s="580">
        <f>VLOOKUP($A23,'（詳細設定）地域内経済効果の按分比率'!$A$19:$C$47,3,FALSE)</f>
        <v>0.1</v>
      </c>
      <c r="M23" s="592">
        <f t="shared" si="21"/>
        <v>2.0000000000000004E-2</v>
      </c>
      <c r="N23" s="592">
        <f t="shared" si="22"/>
        <v>1.4999999999999999E-2</v>
      </c>
      <c r="O23" s="1429">
        <f t="shared" si="23"/>
        <v>6.1305331474668075E-3</v>
      </c>
      <c r="P23" s="1429">
        <f t="shared" si="24"/>
        <v>4.1109791914016123E-3</v>
      </c>
      <c r="Q23" s="1460">
        <f t="shared" si="25"/>
        <v>9.780232822260081E-3</v>
      </c>
      <c r="R23" s="1460">
        <f t="shared" si="13"/>
        <v>1.1365334491746308E-3</v>
      </c>
      <c r="S23" s="580">
        <v>0.11961877909512798</v>
      </c>
      <c r="T23" s="580">
        <v>8.8046850489449782E-2</v>
      </c>
      <c r="U23" s="592">
        <f t="shared" si="26"/>
        <v>2.3923755819025599E-2</v>
      </c>
      <c r="V23" s="592">
        <f t="shared" si="27"/>
        <v>1.3207027573417468E-2</v>
      </c>
      <c r="W23" s="1429">
        <f t="shared" si="28"/>
        <v>7.3332689030219163E-3</v>
      </c>
      <c r="X23" s="1429">
        <f t="shared" si="29"/>
        <v>4.9175031176093729E-3</v>
      </c>
      <c r="Y23" s="1460">
        <f t="shared" si="30"/>
        <v>8.6111869705354296E-3</v>
      </c>
      <c r="Z23" s="1460">
        <f t="shared" si="31"/>
        <v>1.0006819067573738E-3</v>
      </c>
    </row>
    <row r="24" spans="1:26" ht="13" x14ac:dyDescent="0.2">
      <c r="A24" t="str">
        <f>'（詳細設定）地域内経済効果の按分比率'!A24</f>
        <v>追加する場合はこちらに入力　O&amp;M（燃料）①</v>
      </c>
      <c r="B24" s="579">
        <f t="shared" si="19"/>
        <v>6.9758487661131574E-2</v>
      </c>
      <c r="C24" s="579">
        <f t="shared" si="20"/>
        <v>7.408323372856529E-2</v>
      </c>
      <c r="D24" s="579">
        <f t="shared" si="17"/>
        <v>1.5910765969726889E-2</v>
      </c>
      <c r="E24" s="579">
        <f t="shared" si="17"/>
        <v>5.2475126405762433E-3</v>
      </c>
      <c r="F24" s="579">
        <f t="shared" si="8"/>
        <v>6.2832440171653681E-2</v>
      </c>
      <c r="G24" s="579">
        <f t="shared" si="9"/>
        <v>6.2683204820482591E-2</v>
      </c>
      <c r="H24" s="579">
        <f t="shared" si="18"/>
        <v>1.3797093755993237E-2</v>
      </c>
      <c r="I24" s="579">
        <f t="shared" si="18"/>
        <v>4.6644582751525689E-3</v>
      </c>
      <c r="J24" s="579">
        <f t="shared" si="1"/>
        <v>0.30897719702328208</v>
      </c>
      <c r="K24" s="580">
        <f>VLOOKUP($A24,'（詳細設定）地域内経済効果の按分比率'!$A$19:$C$47,2,FALSE)</f>
        <v>0.1</v>
      </c>
      <c r="L24" s="580">
        <f>VLOOKUP($A24,'（詳細設定）地域内経済効果の按分比率'!$A$19:$C$47,3,FALSE)</f>
        <v>0.1</v>
      </c>
      <c r="M24" s="592">
        <f t="shared" si="21"/>
        <v>2.0000000000000004E-2</v>
      </c>
      <c r="N24" s="592">
        <f t="shared" si="22"/>
        <v>1.4999999999999999E-2</v>
      </c>
      <c r="O24" s="1429">
        <f t="shared" si="23"/>
        <v>6.1305331474668075E-3</v>
      </c>
      <c r="P24" s="1429">
        <f t="shared" si="24"/>
        <v>4.1109791914016123E-3</v>
      </c>
      <c r="Q24" s="1460">
        <f t="shared" si="25"/>
        <v>9.780232822260081E-3</v>
      </c>
      <c r="R24" s="1460">
        <f t="shared" si="13"/>
        <v>1.1365334491746308E-3</v>
      </c>
      <c r="S24" s="580">
        <v>9.0071390992415387E-2</v>
      </c>
      <c r="T24" s="580">
        <v>8.4611863799235007E-2</v>
      </c>
      <c r="U24" s="592">
        <f t="shared" si="26"/>
        <v>1.8014278198483079E-2</v>
      </c>
      <c r="V24" s="592">
        <f t="shared" si="27"/>
        <v>1.269177956988525E-2</v>
      </c>
      <c r="W24" s="1429">
        <f t="shared" si="28"/>
        <v>5.5218564811744574E-3</v>
      </c>
      <c r="X24" s="1429">
        <f t="shared" si="29"/>
        <v>3.7028161411041829E-3</v>
      </c>
      <c r="Y24" s="1460">
        <f t="shared" si="30"/>
        <v>8.2752372748187784E-3</v>
      </c>
      <c r="Z24" s="1460">
        <f t="shared" si="31"/>
        <v>9.6164213404838629E-4</v>
      </c>
    </row>
    <row r="25" spans="1:26" ht="13" x14ac:dyDescent="0.2">
      <c r="A25" t="str">
        <f>'（詳細設定）地域内経済効果の按分比率'!A25</f>
        <v>追加する場合はこちらに入力　O&amp;M（燃料）②</v>
      </c>
      <c r="B25" s="579">
        <f t="shared" si="19"/>
        <v>6.9758487661131574E-2</v>
      </c>
      <c r="C25" s="579">
        <f t="shared" si="20"/>
        <v>7.408323372856529E-2</v>
      </c>
      <c r="D25" s="579">
        <f t="shared" si="17"/>
        <v>1.5910765969726889E-2</v>
      </c>
      <c r="E25" s="579">
        <f t="shared" si="17"/>
        <v>5.2475126405762433E-3</v>
      </c>
      <c r="F25" s="579">
        <f t="shared" si="8"/>
        <v>6.2832440171653681E-2</v>
      </c>
      <c r="G25" s="579">
        <f t="shared" si="9"/>
        <v>6.2683204820482591E-2</v>
      </c>
      <c r="H25" s="579">
        <f t="shared" si="18"/>
        <v>1.3797093755993237E-2</v>
      </c>
      <c r="I25" s="579">
        <f t="shared" si="18"/>
        <v>4.6644582751525689E-3</v>
      </c>
      <c r="J25" s="579">
        <f>SUM(B25:I25)</f>
        <v>0.30897719702328208</v>
      </c>
      <c r="K25" s="580">
        <f>VLOOKUP($A25,'（詳細設定）地域内経済効果の按分比率'!$A$19:$C$47,2,FALSE)</f>
        <v>0.1</v>
      </c>
      <c r="L25" s="580">
        <f>VLOOKUP($A25,'（詳細設定）地域内経済効果の按分比率'!$A$19:$C$47,3,FALSE)</f>
        <v>0.1</v>
      </c>
      <c r="M25" s="592">
        <f t="shared" si="21"/>
        <v>2.0000000000000004E-2</v>
      </c>
      <c r="N25" s="592">
        <f t="shared" si="22"/>
        <v>1.4999999999999999E-2</v>
      </c>
      <c r="O25" s="1429">
        <f t="shared" si="23"/>
        <v>6.1305331474668075E-3</v>
      </c>
      <c r="P25" s="1429">
        <f t="shared" si="24"/>
        <v>4.1109791914016123E-3</v>
      </c>
      <c r="Q25" s="1460">
        <f t="shared" si="25"/>
        <v>9.780232822260081E-3</v>
      </c>
      <c r="R25" s="1460">
        <f t="shared" si="13"/>
        <v>1.1365334491746308E-3</v>
      </c>
      <c r="S25" s="580">
        <v>9.0071390992415387E-2</v>
      </c>
      <c r="T25" s="580">
        <v>8.4611863799235007E-2</v>
      </c>
      <c r="U25" s="592">
        <f t="shared" si="26"/>
        <v>1.8014278198483079E-2</v>
      </c>
      <c r="V25" s="592">
        <f t="shared" si="27"/>
        <v>1.269177956988525E-2</v>
      </c>
      <c r="W25" s="1429">
        <f t="shared" si="28"/>
        <v>5.5218564811744574E-3</v>
      </c>
      <c r="X25" s="1429">
        <f t="shared" si="29"/>
        <v>3.7028161411041829E-3</v>
      </c>
      <c r="Y25" s="1460">
        <f t="shared" si="30"/>
        <v>8.2752372748187784E-3</v>
      </c>
      <c r="Z25" s="1460">
        <f t="shared" si="31"/>
        <v>9.6164213404838629E-4</v>
      </c>
    </row>
    <row r="26" spans="1:26" ht="13" x14ac:dyDescent="0.2">
      <c r="A26" t="str">
        <f>'（詳細設定）地域内経済効果の按分比率'!A26</f>
        <v>追加する場合はこちらに入力　O&amp;M（燃料）③</v>
      </c>
      <c r="B26" s="579">
        <f t="shared" si="19"/>
        <v>6.9758487661131574E-2</v>
      </c>
      <c r="C26" s="579">
        <f t="shared" si="20"/>
        <v>7.408323372856529E-2</v>
      </c>
      <c r="D26" s="579">
        <f t="shared" si="17"/>
        <v>1.5910765969726889E-2</v>
      </c>
      <c r="E26" s="579">
        <f t="shared" si="17"/>
        <v>5.2475126405762433E-3</v>
      </c>
      <c r="F26" s="579">
        <f t="shared" si="8"/>
        <v>7.7726096510871576E-2</v>
      </c>
      <c r="G26" s="579">
        <f t="shared" si="9"/>
        <v>5.7969691462647452E-2</v>
      </c>
      <c r="H26" s="579">
        <f t="shared" si="18"/>
        <v>1.4483718811302126E-2</v>
      </c>
      <c r="I26" s="579">
        <f t="shared" si="18"/>
        <v>5.469853807884676E-3</v>
      </c>
      <c r="J26" s="579">
        <f>SUM(B26:I26)</f>
        <v>0.32064936059270582</v>
      </c>
      <c r="K26" s="580">
        <f>VLOOKUP($A26,'（詳細設定）地域内経済効果の按分比率'!$A$19:$C$47,2,FALSE)</f>
        <v>0.1</v>
      </c>
      <c r="L26" s="580">
        <f>VLOOKUP($A26,'（詳細設定）地域内経済効果の按分比率'!$A$19:$C$47,3,FALSE)</f>
        <v>0.1</v>
      </c>
      <c r="M26" s="592">
        <f t="shared" si="21"/>
        <v>2.0000000000000004E-2</v>
      </c>
      <c r="N26" s="592">
        <f t="shared" si="22"/>
        <v>1.4999999999999999E-2</v>
      </c>
      <c r="O26" s="1429">
        <f t="shared" si="23"/>
        <v>6.1305331474668075E-3</v>
      </c>
      <c r="P26" s="1429">
        <f t="shared" si="24"/>
        <v>4.1109791914016123E-3</v>
      </c>
      <c r="Q26" s="1460">
        <f t="shared" si="25"/>
        <v>9.780232822260081E-3</v>
      </c>
      <c r="R26" s="1460">
        <f t="shared" si="13"/>
        <v>1.1365334491746308E-3</v>
      </c>
      <c r="S26" s="580">
        <v>0.11142170525319377</v>
      </c>
      <c r="T26" s="580">
        <v>7.8249407517824471E-2</v>
      </c>
      <c r="U26" s="592">
        <f t="shared" si="26"/>
        <v>2.2284341050638756E-2</v>
      </c>
      <c r="V26" s="592">
        <f t="shared" si="27"/>
        <v>1.173741112767367E-2</v>
      </c>
      <c r="W26" s="1429">
        <f t="shared" si="28"/>
        <v>6.8307445740198088E-3</v>
      </c>
      <c r="X26" s="1429">
        <f t="shared" si="29"/>
        <v>4.5805231176636327E-3</v>
      </c>
      <c r="Y26" s="1460">
        <f t="shared" si="30"/>
        <v>7.6529742372823161E-3</v>
      </c>
      <c r="Z26" s="1460">
        <f t="shared" si="31"/>
        <v>8.8933069022104311E-4</v>
      </c>
    </row>
    <row r="27" spans="1:26" ht="13" x14ac:dyDescent="0.2">
      <c r="A27" t="str">
        <f>'（詳細設定）地域内経済効果の按分比率'!A27</f>
        <v>追加する場合はこちらに入力　O&amp;M（燃料）④</v>
      </c>
      <c r="B27" s="579">
        <f t="shared" si="19"/>
        <v>6.9758487661131574E-2</v>
      </c>
      <c r="C27" s="579">
        <f t="shared" si="20"/>
        <v>7.408323372856529E-2</v>
      </c>
      <c r="D27" s="579">
        <f t="shared" si="17"/>
        <v>1.5910765969726889E-2</v>
      </c>
      <c r="E27" s="579">
        <f t="shared" si="17"/>
        <v>5.2475126405762433E-3</v>
      </c>
      <c r="F27" s="579">
        <f t="shared" si="8"/>
        <v>8.34442512554711E-2</v>
      </c>
      <c r="G27" s="579">
        <f t="shared" si="9"/>
        <v>6.5227954038739516E-2</v>
      </c>
      <c r="H27" s="579">
        <f t="shared" si="18"/>
        <v>1.5944455873557348E-2</v>
      </c>
      <c r="I27" s="579">
        <f t="shared" si="18"/>
        <v>5.9181850243667468E-3</v>
      </c>
      <c r="J27" s="579">
        <f>SUM(B27:I27)</f>
        <v>0.33553484619213469</v>
      </c>
      <c r="K27" s="580">
        <f>VLOOKUP($A27,'（詳細設定）地域内経済効果の按分比率'!$A$19:$C$47,2,FALSE)</f>
        <v>0.1</v>
      </c>
      <c r="L27" s="580">
        <f>VLOOKUP($A27,'（詳細設定）地域内経済効果の按分比率'!$A$19:$C$47,3,FALSE)</f>
        <v>0.1</v>
      </c>
      <c r="M27" s="592">
        <f t="shared" si="21"/>
        <v>2.0000000000000004E-2</v>
      </c>
      <c r="N27" s="592">
        <f t="shared" si="22"/>
        <v>1.4999999999999999E-2</v>
      </c>
      <c r="O27" s="1429">
        <f t="shared" si="23"/>
        <v>6.1305331474668075E-3</v>
      </c>
      <c r="P27" s="1429">
        <f t="shared" si="24"/>
        <v>4.1109791914016123E-3</v>
      </c>
      <c r="Q27" s="1460">
        <f t="shared" si="25"/>
        <v>9.780232822260081E-3</v>
      </c>
      <c r="R27" s="1460">
        <f t="shared" si="13"/>
        <v>1.1365334491746308E-3</v>
      </c>
      <c r="S27" s="580">
        <v>0.11961877909512798</v>
      </c>
      <c r="T27" s="580">
        <v>8.8046850489449782E-2</v>
      </c>
      <c r="U27" s="592">
        <f t="shared" si="26"/>
        <v>2.3923755819025599E-2</v>
      </c>
      <c r="V27" s="592">
        <f t="shared" si="27"/>
        <v>1.3207027573417468E-2</v>
      </c>
      <c r="W27" s="1429">
        <f t="shared" si="28"/>
        <v>7.3332689030219163E-3</v>
      </c>
      <c r="X27" s="1429">
        <f t="shared" si="29"/>
        <v>4.9175031176093729E-3</v>
      </c>
      <c r="Y27" s="1460">
        <f t="shared" si="30"/>
        <v>8.6111869705354296E-3</v>
      </c>
      <c r="Z27" s="1460">
        <f t="shared" si="31"/>
        <v>1.0006819067573738E-3</v>
      </c>
    </row>
    <row r="28" spans="1:26" ht="13" x14ac:dyDescent="0.2">
      <c r="A28" t="s">
        <v>692</v>
      </c>
      <c r="B28" s="579"/>
      <c r="C28" s="579"/>
      <c r="D28" s="579"/>
      <c r="E28" s="579"/>
      <c r="F28" s="579"/>
      <c r="G28" s="579"/>
      <c r="H28" s="579"/>
      <c r="I28" s="579"/>
      <c r="J28" s="579"/>
      <c r="K28" s="580"/>
      <c r="L28" s="580"/>
      <c r="M28" s="592"/>
      <c r="N28" s="592"/>
      <c r="O28" s="580"/>
      <c r="P28" s="580"/>
      <c r="Q28" s="580"/>
      <c r="R28" s="580"/>
      <c r="S28" s="580"/>
      <c r="T28" s="580"/>
      <c r="U28" s="592"/>
      <c r="V28" s="592"/>
      <c r="W28" s="1429"/>
      <c r="X28" s="1429"/>
      <c r="Y28" s="1460"/>
      <c r="Z28" s="1460"/>
    </row>
    <row r="29" spans="1:26" ht="13" x14ac:dyDescent="0.2">
      <c r="A29" t="str">
        <f>'（詳細設定）地域内経済効果の按分比率'!A30</f>
        <v>石油製品・石炭製品製造業</v>
      </c>
      <c r="B29" s="579">
        <f t="shared" ref="B29:B45" si="32">MAX($K29-O29-P29-M29,0)</f>
        <v>1.1811551408562614E-2</v>
      </c>
      <c r="C29" s="579">
        <f t="shared" ref="C29:C45" si="33">MAX($L29-Q29-R29-N29,0)</f>
        <v>6.6882912115122164E-3</v>
      </c>
      <c r="D29" s="579">
        <f t="shared" si="17"/>
        <v>1.920992690815949E-3</v>
      </c>
      <c r="E29" s="579">
        <f t="shared" si="17"/>
        <v>7.9868071830757061E-4</v>
      </c>
      <c r="F29" s="579">
        <f t="shared" si="8"/>
        <v>7.9312124173755702E-2</v>
      </c>
      <c r="G29" s="579">
        <f t="shared" si="9"/>
        <v>6.6999324163332971E-2</v>
      </c>
      <c r="H29" s="579">
        <f t="shared" si="18"/>
        <v>1.5815165879107633E-2</v>
      </c>
      <c r="I29" s="579">
        <f t="shared" si="18"/>
        <v>5.7018472984805089E-3</v>
      </c>
      <c r="J29" s="579">
        <f t="shared" si="1"/>
        <v>0.18904797754387515</v>
      </c>
      <c r="K29" s="580">
        <f>VLOOKUP($A29,'（詳細設定）地域内経済効果の按分比率'!$A$19:$C$47,2,FALSE)</f>
        <v>1.6932063472964078E-2</v>
      </c>
      <c r="L29" s="580">
        <f>VLOOKUP($A29,'（詳細設定）地域内経済効果の按分比率'!$A$19:$C$47,3,FALSE)</f>
        <v>9.028076765678926E-3</v>
      </c>
      <c r="M29" s="592">
        <f t="shared" ref="M29:M45" si="34">K29*$M$3</f>
        <v>3.3864126945928157E-3</v>
      </c>
      <c r="N29" s="592">
        <f t="shared" ref="N29:N45" si="35">L29*$N$3</f>
        <v>1.3542115148518388E-3</v>
      </c>
      <c r="O29" s="1429">
        <f t="shared" ref="O29:O45" si="36">IF(K29&gt;0,K29*$D$58*(1+$D$56),0)</f>
        <v>1.0380257637601822E-3</v>
      </c>
      <c r="P29" s="1429">
        <f t="shared" ref="P29:P45" si="37">IF(K29&gt;0,K29*$D$59*(1+$D$57),0)</f>
        <v>6.9607360604846647E-4</v>
      </c>
      <c r="Q29" s="1460">
        <f t="shared" ref="Q29:Q45" si="38">IF(L29&gt;0,L29*$D$54*$D$60*(1+$D$62)+L29*$D$68*(1+$D$69),0)</f>
        <v>8.8296692705576668E-4</v>
      </c>
      <c r="R29" s="1460">
        <f t="shared" si="13"/>
        <v>1.0260711225910413E-4</v>
      </c>
      <c r="S29" s="580">
        <v>0.11369530337158854</v>
      </c>
      <c r="T29" s="580">
        <v>9.0437904491065882E-2</v>
      </c>
      <c r="U29" s="592">
        <f t="shared" ref="U29:U45" si="39">S29*$M$3</f>
        <v>2.2739060674317708E-2</v>
      </c>
      <c r="V29" s="592">
        <f t="shared" ref="V29:V45" si="40">T29*$N$3</f>
        <v>1.3565685673659882E-2</v>
      </c>
      <c r="W29" s="1429">
        <f t="shared" ref="W29:W45" si="41">IF(S29&gt;0,S29*$D$58*(1+$D$56),0)</f>
        <v>6.9701282603081812E-3</v>
      </c>
      <c r="X29" s="1429">
        <f t="shared" ref="X29:X45" si="42">IF(S29&gt;0,S29*$D$59*(1+$D$57),0)</f>
        <v>4.67399026320694E-3</v>
      </c>
      <c r="Y29" s="1460">
        <f t="shared" ref="Y29:Y45" si="43">IF(T29&gt;0,T29*$D$54*$D$60*(1+$D$62)+T29*$D$68*(1+$D$69),0)</f>
        <v>8.845037618799451E-3</v>
      </c>
      <c r="Z29" s="1460">
        <f>IF(T29&gt;0,T29*$D$54*$D$61*(1+$D$63),0)</f>
        <v>1.0278570352735693E-3</v>
      </c>
    </row>
    <row r="30" spans="1:26" ht="13" x14ac:dyDescent="0.2">
      <c r="A30" t="str">
        <f>'（詳細設定）地域内経済効果の按分比率'!A31</f>
        <v>電気業</v>
      </c>
      <c r="B30" s="579">
        <f t="shared" si="32"/>
        <v>2.9334037090480925E-2</v>
      </c>
      <c r="C30" s="579">
        <f t="shared" si="33"/>
        <v>2.7192008105341177E-2</v>
      </c>
      <c r="D30" s="579">
        <f t="shared" si="17"/>
        <v>6.1677437043752021E-3</v>
      </c>
      <c r="E30" s="579">
        <f t="shared" si="17"/>
        <v>2.1458625752479011E-3</v>
      </c>
      <c r="F30" s="579">
        <f t="shared" si="8"/>
        <v>0</v>
      </c>
      <c r="G30" s="579">
        <f t="shared" si="9"/>
        <v>0</v>
      </c>
      <c r="H30" s="579">
        <f t="shared" si="18"/>
        <v>0</v>
      </c>
      <c r="I30" s="579">
        <f t="shared" si="18"/>
        <v>0</v>
      </c>
      <c r="J30" s="579">
        <f t="shared" si="1"/>
        <v>6.4839651475445209E-2</v>
      </c>
      <c r="K30" s="580">
        <f>VLOOKUP($A30,'（詳細設定）地域内経済効果の按分比率'!$A$19:$C$47,2,FALSE)</f>
        <v>4.2050850117304694E-2</v>
      </c>
      <c r="L30" s="580">
        <f>VLOOKUP($A30,'（詳細設定）地域内経済効果の按分比率'!$A$19:$C$47,3,FALSE)</f>
        <v>3.6704672213648766E-2</v>
      </c>
      <c r="M30" s="592">
        <f t="shared" si="34"/>
        <v>8.4101700234609396E-3</v>
      </c>
      <c r="N30" s="592">
        <f t="shared" si="35"/>
        <v>5.5057008320473144E-3</v>
      </c>
      <c r="O30" s="1429">
        <f t="shared" si="36"/>
        <v>2.577941305232949E-3</v>
      </c>
      <c r="P30" s="1429">
        <f t="shared" si="37"/>
        <v>1.7287016981298764E-3</v>
      </c>
      <c r="Q30" s="1460">
        <f t="shared" si="38"/>
        <v>3.5898023991422527E-3</v>
      </c>
      <c r="R30" s="1460">
        <f t="shared" si="13"/>
        <v>4.171608771180245E-4</v>
      </c>
      <c r="S30" s="580">
        <v>0</v>
      </c>
      <c r="T30" s="580">
        <v>0</v>
      </c>
      <c r="U30" s="592">
        <f t="shared" si="39"/>
        <v>0</v>
      </c>
      <c r="V30" s="592">
        <f t="shared" si="40"/>
        <v>0</v>
      </c>
      <c r="W30" s="1429">
        <f t="shared" si="41"/>
        <v>0</v>
      </c>
      <c r="X30" s="1429">
        <f t="shared" si="42"/>
        <v>0</v>
      </c>
      <c r="Y30" s="1460">
        <f t="shared" si="43"/>
        <v>0</v>
      </c>
      <c r="Z30" s="1460">
        <f t="shared" ref="Z30:Z45" si="44">IF(T30&gt;0,T30*$D$54*$D$61*(1+$D$63),0)</f>
        <v>0</v>
      </c>
    </row>
    <row r="31" spans="1:26" ht="13" x14ac:dyDescent="0.2">
      <c r="A31" t="str">
        <f>'（詳細設定）地域内経済効果の按分比率'!A32</f>
        <v>ガス・熱供給・水道業</v>
      </c>
      <c r="B31" s="579">
        <f t="shared" si="32"/>
        <v>4.3686477468694557E-2</v>
      </c>
      <c r="C31" s="579">
        <f t="shared" si="33"/>
        <v>4.2719094513739245E-2</v>
      </c>
      <c r="D31" s="579">
        <f t="shared" si="17"/>
        <v>9.4789050670088595E-3</v>
      </c>
      <c r="E31" s="579">
        <f t="shared" si="17"/>
        <v>3.2298805911062066E-3</v>
      </c>
      <c r="F31" s="579">
        <f t="shared" si="8"/>
        <v>6.4387960049658147E-2</v>
      </c>
      <c r="G31" s="579">
        <f t="shared" si="9"/>
        <v>5.2450384821748755E-2</v>
      </c>
      <c r="H31" s="579">
        <f t="shared" si="18"/>
        <v>1.2582892008689818E-2</v>
      </c>
      <c r="I31" s="579">
        <f t="shared" si="18"/>
        <v>4.5991427403660684E-3</v>
      </c>
      <c r="J31" s="579">
        <f t="shared" si="1"/>
        <v>0.23313473726101164</v>
      </c>
      <c r="K31" s="580">
        <f>VLOOKUP($A31,'（詳細設定）地域内経済効果の按分比率'!$A$19:$C$47,2,FALSE)</f>
        <v>6.2625321926289446E-2</v>
      </c>
      <c r="L31" s="580">
        <f>VLOOKUP($A31,'（詳細設定）地域内経済効果の按分比率'!$A$19:$C$47,3,FALSE)</f>
        <v>5.7663647175902714E-2</v>
      </c>
      <c r="M31" s="592">
        <f t="shared" si="34"/>
        <v>1.2525064385257891E-2</v>
      </c>
      <c r="N31" s="592">
        <f t="shared" si="35"/>
        <v>8.6495470763854072E-3</v>
      </c>
      <c r="O31" s="1429">
        <f t="shared" si="36"/>
        <v>3.8392661193989729E-3</v>
      </c>
      <c r="P31" s="1429">
        <f t="shared" si="37"/>
        <v>2.5745139529380302E-3</v>
      </c>
      <c r="Q31" s="1460">
        <f t="shared" si="38"/>
        <v>5.6396389476098862E-3</v>
      </c>
      <c r="R31" s="1460">
        <f t="shared" si="13"/>
        <v>6.5536663816817661E-4</v>
      </c>
      <c r="S31" s="580">
        <v>9.2301255672912447E-2</v>
      </c>
      <c r="T31" s="580">
        <v>7.0799264802509199E-2</v>
      </c>
      <c r="U31" s="592">
        <f t="shared" si="39"/>
        <v>1.8460251134582491E-2</v>
      </c>
      <c r="V31" s="592">
        <f t="shared" si="40"/>
        <v>1.0619889720376379E-2</v>
      </c>
      <c r="W31" s="1429">
        <f t="shared" si="41"/>
        <v>5.6585590745559843E-3</v>
      </c>
      <c r="X31" s="1429">
        <f t="shared" si="42"/>
        <v>3.7944854141158308E-3</v>
      </c>
      <c r="Y31" s="1460">
        <f t="shared" si="43"/>
        <v>6.9243329341338346E-3</v>
      </c>
      <c r="Z31" s="1460">
        <f t="shared" si="44"/>
        <v>8.0465732625023794E-4</v>
      </c>
    </row>
    <row r="32" spans="1:26" ht="13" x14ac:dyDescent="0.2">
      <c r="A32" t="str">
        <f>'（詳細設定）地域内経済効果の按分比率'!A33</f>
        <v>情報通信業</v>
      </c>
      <c r="B32" s="579">
        <f t="shared" si="32"/>
        <v>0.11377968834970313</v>
      </c>
      <c r="C32" s="579">
        <f t="shared" si="33"/>
        <v>7.2004843609441427E-2</v>
      </c>
      <c r="D32" s="579">
        <f t="shared" si="17"/>
        <v>1.9505065869069527E-2</v>
      </c>
      <c r="E32" s="579">
        <f t="shared" si="17"/>
        <v>7.8098671521897181E-3</v>
      </c>
      <c r="F32" s="579">
        <f t="shared" si="8"/>
        <v>0</v>
      </c>
      <c r="G32" s="579">
        <f t="shared" si="9"/>
        <v>0</v>
      </c>
      <c r="H32" s="579">
        <f t="shared" si="18"/>
        <v>0</v>
      </c>
      <c r="I32" s="579">
        <f t="shared" si="18"/>
        <v>0</v>
      </c>
      <c r="J32" s="579">
        <f t="shared" si="1"/>
        <v>0.21309946498040383</v>
      </c>
      <c r="K32" s="580">
        <f>VLOOKUP($A32,'（詳細設定）地域内経済効果の按分比率'!$A$19:$C$47,2,FALSE)</f>
        <v>0.16310515345804943</v>
      </c>
      <c r="L32" s="580">
        <f>VLOOKUP($A32,'（詳細設定）地域内経済効果の按分比率'!$A$19:$C$47,3,FALSE)</f>
        <v>9.7194520251722677E-2</v>
      </c>
      <c r="M32" s="592">
        <f t="shared" si="34"/>
        <v>3.262103069160989E-2</v>
      </c>
      <c r="N32" s="592">
        <f t="shared" si="35"/>
        <v>1.4579178037758401E-2</v>
      </c>
      <c r="O32" s="1429">
        <f t="shared" si="36"/>
        <v>9.9992154979723236E-3</v>
      </c>
      <c r="P32" s="1429">
        <f t="shared" si="37"/>
        <v>6.7052189187640793E-3</v>
      </c>
      <c r="Q32" s="1460">
        <f t="shared" si="38"/>
        <v>9.505850371097203E-3</v>
      </c>
      <c r="R32" s="1460">
        <f t="shared" si="13"/>
        <v>1.1046482334256386E-3</v>
      </c>
      <c r="S32" s="580">
        <v>0</v>
      </c>
      <c r="T32" s="580">
        <v>0</v>
      </c>
      <c r="U32" s="592">
        <f t="shared" si="39"/>
        <v>0</v>
      </c>
      <c r="V32" s="592">
        <f t="shared" si="40"/>
        <v>0</v>
      </c>
      <c r="W32" s="1429">
        <f t="shared" si="41"/>
        <v>0</v>
      </c>
      <c r="X32" s="1429">
        <f t="shared" si="42"/>
        <v>0</v>
      </c>
      <c r="Y32" s="1460">
        <f t="shared" si="43"/>
        <v>0</v>
      </c>
      <c r="Z32" s="1460">
        <f t="shared" si="44"/>
        <v>0</v>
      </c>
    </row>
    <row r="33" spans="1:26" ht="13" x14ac:dyDescent="0.2">
      <c r="A33" t="str">
        <f>'（詳細設定）地域内経済効果の按分比率'!A34</f>
        <v>陸運業</v>
      </c>
      <c r="B33" s="579">
        <f t="shared" si="32"/>
        <v>0.17167959076567907</v>
      </c>
      <c r="C33" s="579">
        <f t="shared" si="33"/>
        <v>4.3861606213392371E-2</v>
      </c>
      <c r="D33" s="579">
        <f t="shared" si="17"/>
        <v>2.0878059149409958E-2</v>
      </c>
      <c r="E33" s="579">
        <f t="shared" si="17"/>
        <v>1.0790246983021412E-2</v>
      </c>
      <c r="F33" s="579">
        <f t="shared" si="8"/>
        <v>6.4624711379657251E-2</v>
      </c>
      <c r="G33" s="579">
        <f t="shared" si="9"/>
        <v>4.3833681207188571E-2</v>
      </c>
      <c r="H33" s="579">
        <f t="shared" si="18"/>
        <v>1.14661484519686E-2</v>
      </c>
      <c r="I33" s="579">
        <f t="shared" si="18"/>
        <v>4.4809034005123833E-3</v>
      </c>
      <c r="J33" s="579">
        <f t="shared" si="1"/>
        <v>0.37161494755082958</v>
      </c>
      <c r="K33" s="580">
        <f>VLOOKUP($A33,'（詳細設定）地域内経済効果の按分比率'!$A$19:$C$47,2,FALSE)</f>
        <v>0.24610566616589147</v>
      </c>
      <c r="L33" s="580">
        <f>VLOOKUP($A33,'（詳細設定）地域内経済効果の按分比率'!$A$19:$C$47,3,FALSE)</f>
        <v>5.9205847269164294E-2</v>
      </c>
      <c r="M33" s="592">
        <f t="shared" si="34"/>
        <v>4.9221133233178296E-2</v>
      </c>
      <c r="N33" s="592">
        <f t="shared" si="35"/>
        <v>8.8808770903746441E-3</v>
      </c>
      <c r="O33" s="1429">
        <f t="shared" si="36"/>
        <v>1.5087589442093978E-2</v>
      </c>
      <c r="P33" s="1429">
        <f t="shared" si="37"/>
        <v>1.0117352724940116E-2</v>
      </c>
      <c r="Q33" s="1460">
        <f t="shared" si="38"/>
        <v>5.7904697073159804E-3</v>
      </c>
      <c r="R33" s="1460">
        <f t="shared" si="13"/>
        <v>6.7289425808129684E-4</v>
      </c>
      <c r="S33" s="580">
        <v>9.2640642804051515E-2</v>
      </c>
      <c r="T33" s="580">
        <v>5.9168153171865405E-2</v>
      </c>
      <c r="U33" s="592">
        <f t="shared" si="39"/>
        <v>1.8528128560810302E-2</v>
      </c>
      <c r="V33" s="592">
        <f t="shared" si="40"/>
        <v>8.8752229757798097E-3</v>
      </c>
      <c r="W33" s="1429">
        <f t="shared" si="41"/>
        <v>5.6793653151287005E-3</v>
      </c>
      <c r="X33" s="1429">
        <f t="shared" si="42"/>
        <v>3.808437548455253E-3</v>
      </c>
      <c r="Y33" s="1460">
        <f t="shared" si="43"/>
        <v>5.7867831368398999E-3</v>
      </c>
      <c r="Z33" s="1460">
        <f t="shared" si="44"/>
        <v>6.7246585205713038E-4</v>
      </c>
    </row>
    <row r="34" spans="1:26" ht="13" x14ac:dyDescent="0.2">
      <c r="A34" t="str">
        <f>'（詳細設定）地域内経済効果の按分比率'!A35</f>
        <v>その他の学術研究、専門・技術サービス業</v>
      </c>
      <c r="B34" s="579">
        <f t="shared" si="32"/>
        <v>0.20971367468110436</v>
      </c>
      <c r="C34" s="579">
        <f t="shared" si="33"/>
        <v>4.2626584513906315E-2</v>
      </c>
      <c r="D34" s="579">
        <f t="shared" si="17"/>
        <v>2.40575365459769E-2</v>
      </c>
      <c r="E34" s="579">
        <f t="shared" si="17"/>
        <v>1.3012709504149787E-2</v>
      </c>
      <c r="F34" s="579">
        <f t="shared" si="8"/>
        <v>0.10823631332404345</v>
      </c>
      <c r="G34" s="579">
        <f t="shared" si="9"/>
        <v>5.3506952861885893E-2</v>
      </c>
      <c r="H34" s="579">
        <f t="shared" si="18"/>
        <v>1.6575868890003627E-2</v>
      </c>
      <c r="I34" s="579">
        <f t="shared" si="18"/>
        <v>7.1994054253626686E-3</v>
      </c>
      <c r="J34" s="579">
        <f t="shared" si="1"/>
        <v>0.47492904574643302</v>
      </c>
      <c r="K34" s="580">
        <f>VLOOKUP($A34,'（詳細設定）地域内経済効果の按分比率'!$A$19:$C$47,2,FALSE)</f>
        <v>0.30062818405673924</v>
      </c>
      <c r="L34" s="580">
        <f>VLOOKUP($A34,'（詳細設定）地域内経済効果の按分比率'!$A$19:$C$47,3,FALSE)</f>
        <v>5.7538774117348222E-2</v>
      </c>
      <c r="M34" s="592">
        <f t="shared" si="34"/>
        <v>6.0125636811347853E-2</v>
      </c>
      <c r="N34" s="592">
        <f t="shared" si="35"/>
        <v>8.630816117602233E-3</v>
      </c>
      <c r="O34" s="1429">
        <f t="shared" si="36"/>
        <v>1.8430110474225922E-2</v>
      </c>
      <c r="P34" s="1429">
        <f t="shared" si="37"/>
        <v>1.2358762090061089E-2</v>
      </c>
      <c r="Q34" s="1460">
        <f t="shared" si="38"/>
        <v>5.6274260717509798E-3</v>
      </c>
      <c r="R34" s="1460">
        <f t="shared" si="13"/>
        <v>6.5394741408869735E-4</v>
      </c>
      <c r="S34" s="580">
        <v>0.15515862936970057</v>
      </c>
      <c r="T34" s="580">
        <v>7.2225455300629626E-2</v>
      </c>
      <c r="U34" s="592">
        <f t="shared" si="39"/>
        <v>3.1031725873940114E-2</v>
      </c>
      <c r="V34" s="592">
        <f t="shared" si="40"/>
        <v>1.0833818295094444E-2</v>
      </c>
      <c r="W34" s="1429">
        <f t="shared" si="41"/>
        <v>9.5120512046646625E-3</v>
      </c>
      <c r="X34" s="1429">
        <f t="shared" si="42"/>
        <v>6.3785389670523414E-3</v>
      </c>
      <c r="Y34" s="1460">
        <f t="shared" si="43"/>
        <v>7.0638176853389627E-3</v>
      </c>
      <c r="Z34" s="1460">
        <f t="shared" si="44"/>
        <v>8.2086645831032693E-4</v>
      </c>
    </row>
    <row r="35" spans="1:26" ht="13" x14ac:dyDescent="0.2">
      <c r="A35" t="str">
        <f>'（詳細設定）地域内経済効果の按分比率'!A36</f>
        <v>その他のサービス業</v>
      </c>
      <c r="B35" s="579">
        <f t="shared" si="32"/>
        <v>0.20166052843343305</v>
      </c>
      <c r="C35" s="579">
        <f t="shared" si="33"/>
        <v>4.612588765638799E-2</v>
      </c>
      <c r="D35" s="579">
        <f t="shared" si="17"/>
        <v>2.3811774767967815E-2</v>
      </c>
      <c r="E35" s="579">
        <f t="shared" si="17"/>
        <v>1.2591808597441049E-2</v>
      </c>
      <c r="F35" s="579">
        <f t="shared" si="8"/>
        <v>7.5526612996935638E-2</v>
      </c>
      <c r="G35" s="579">
        <f t="shared" si="9"/>
        <v>4.3493189243735693E-2</v>
      </c>
      <c r="H35" s="579">
        <f t="shared" si="18"/>
        <v>1.2379281475763681E-2</v>
      </c>
      <c r="I35" s="579">
        <f t="shared" si="18"/>
        <v>5.1181462993241979E-3</v>
      </c>
      <c r="J35" s="579">
        <f t="shared" si="1"/>
        <v>0.4207072294709891</v>
      </c>
      <c r="K35" s="580">
        <f>VLOOKUP($A35,'（詳細設定）地域内経済効果の按分比率'!$A$19:$C$47,2,FALSE)</f>
        <v>0.28908385946244552</v>
      </c>
      <c r="L35" s="580">
        <f>VLOOKUP($A35,'（詳細設定）地域内経済効果の按分比率'!$A$19:$C$47,3,FALSE)</f>
        <v>6.2262249276792296E-2</v>
      </c>
      <c r="M35" s="592">
        <f t="shared" si="34"/>
        <v>5.7816771892489106E-2</v>
      </c>
      <c r="N35" s="592">
        <f t="shared" si="35"/>
        <v>9.3393373915188448E-3</v>
      </c>
      <c r="O35" s="1429">
        <f t="shared" si="36"/>
        <v>1.7722381828321584E-2</v>
      </c>
      <c r="P35" s="1429">
        <f t="shared" si="37"/>
        <v>1.1884177308201816E-2</v>
      </c>
      <c r="Q35" s="1460">
        <f t="shared" si="38"/>
        <v>6.0893929396462305E-3</v>
      </c>
      <c r="R35" s="1460">
        <f t="shared" si="13"/>
        <v>7.0763128923923403E-4</v>
      </c>
      <c r="S35" s="580">
        <v>0.10826870754971653</v>
      </c>
      <c r="T35" s="580">
        <v>5.8708545854101173E-2</v>
      </c>
      <c r="U35" s="592">
        <f t="shared" si="39"/>
        <v>2.1653741509943307E-2</v>
      </c>
      <c r="V35" s="592">
        <f t="shared" si="40"/>
        <v>8.8062818781151752E-3</v>
      </c>
      <c r="W35" s="1429">
        <f t="shared" si="41"/>
        <v>6.6374490046692686E-3</v>
      </c>
      <c r="X35" s="1429">
        <f t="shared" si="42"/>
        <v>4.4509040381683126E-3</v>
      </c>
      <c r="Y35" s="1460">
        <f t="shared" si="43"/>
        <v>5.7418324710944131E-3</v>
      </c>
      <c r="Z35" s="1460">
        <f t="shared" si="44"/>
        <v>6.6724226115588573E-4</v>
      </c>
    </row>
    <row r="36" spans="1:26" ht="13" x14ac:dyDescent="0.2">
      <c r="A36" t="str">
        <f>'（詳細設定）地域内経済効果の按分比率'!A37</f>
        <v>銀行業</v>
      </c>
      <c r="B36" s="579">
        <f t="shared" si="32"/>
        <v>0.10067253448714489</v>
      </c>
      <c r="C36" s="579">
        <f t="shared" si="33"/>
        <v>0.14928294292181132</v>
      </c>
      <c r="D36" s="579">
        <f t="shared" si="17"/>
        <v>2.855518845328571E-2</v>
      </c>
      <c r="E36" s="579">
        <f t="shared" si="17"/>
        <v>8.2229884774487685E-3</v>
      </c>
      <c r="F36" s="579">
        <f t="shared" si="8"/>
        <v>1.4252051374319556E-2</v>
      </c>
      <c r="G36" s="579">
        <f t="shared" si="9"/>
        <v>1.7059018446566522E-2</v>
      </c>
      <c r="H36" s="579">
        <f t="shared" si="18"/>
        <v>3.5045797445338628E-3</v>
      </c>
      <c r="I36" s="579">
        <f t="shared" si="18"/>
        <v>1.101603767296744E-3</v>
      </c>
      <c r="J36" s="579">
        <f t="shared" si="1"/>
        <v>0.32265090767240745</v>
      </c>
      <c r="K36" s="580">
        <f>VLOOKUP($A36,'（詳細設定）地域内経済効果の按分比率'!$A$19:$C$47,2,FALSE)</f>
        <v>0.1443158214326343</v>
      </c>
      <c r="L36" s="580">
        <f>VLOOKUP($A36,'（詳細設定）地域内経済効果の按分比率'!$A$19:$C$47,3,FALSE)</f>
        <v>0.20150705552186263</v>
      </c>
      <c r="M36" s="592">
        <f t="shared" si="34"/>
        <v>2.8863164286526861E-2</v>
      </c>
      <c r="N36" s="592">
        <f t="shared" si="35"/>
        <v>3.0226058328279393E-2</v>
      </c>
      <c r="O36" s="1429">
        <f t="shared" si="36"/>
        <v>8.8473292699666525E-3</v>
      </c>
      <c r="P36" s="1429">
        <f t="shared" si="37"/>
        <v>5.9327933889959045E-3</v>
      </c>
      <c r="Q36" s="1460">
        <f t="shared" si="38"/>
        <v>1.9707859183319056E-2</v>
      </c>
      <c r="R36" s="1460">
        <f t="shared" si="13"/>
        <v>2.2901950884528636E-3</v>
      </c>
      <c r="S36" s="580">
        <v>2.0430562433566907E-2</v>
      </c>
      <c r="T36" s="580">
        <v>2.3026827512780186E-2</v>
      </c>
      <c r="U36" s="592">
        <f t="shared" si="39"/>
        <v>4.0861124867133817E-3</v>
      </c>
      <c r="V36" s="592">
        <f t="shared" si="40"/>
        <v>3.4540241269170277E-3</v>
      </c>
      <c r="W36" s="1429">
        <f t="shared" si="41"/>
        <v>1.2525024022037204E-3</v>
      </c>
      <c r="X36" s="1429">
        <f t="shared" si="42"/>
        <v>8.3989617033025047E-4</v>
      </c>
      <c r="Y36" s="1460">
        <f t="shared" si="43"/>
        <v>2.2520773423301424E-3</v>
      </c>
      <c r="Z36" s="1460">
        <f t="shared" si="44"/>
        <v>2.6170759696649346E-4</v>
      </c>
    </row>
    <row r="37" spans="1:26" ht="13" x14ac:dyDescent="0.2">
      <c r="A37" t="str">
        <f>'（詳細設定）地域内経済効果の按分比率'!A38</f>
        <v>損害保険業</v>
      </c>
      <c r="B37" s="579">
        <f t="shared" si="32"/>
        <v>4.9150236897309768E-2</v>
      </c>
      <c r="C37" s="579">
        <f t="shared" si="33"/>
        <v>5.3618517079342641E-2</v>
      </c>
      <c r="D37" s="579">
        <f t="shared" si="17"/>
        <v>1.1397979652954235E-2</v>
      </c>
      <c r="E37" s="579">
        <f t="shared" si="17"/>
        <v>3.7190800291901178E-3</v>
      </c>
      <c r="F37" s="579">
        <f t="shared" si="8"/>
        <v>4.1839375741372815E-2</v>
      </c>
      <c r="G37" s="579">
        <f t="shared" si="9"/>
        <v>4.9287993801380846E-2</v>
      </c>
      <c r="H37" s="579">
        <f t="shared" si="18"/>
        <v>1.0183782788526033E-2</v>
      </c>
      <c r="I37" s="579">
        <f t="shared" si="18"/>
        <v>3.2218034179981453E-3</v>
      </c>
      <c r="J37" s="579">
        <f t="shared" si="1"/>
        <v>0.22241876940807459</v>
      </c>
      <c r="K37" s="580">
        <f>VLOOKUP($A37,'（詳細設定）地域内経済効果の按分比率'!$A$19:$C$47,2,FALSE)</f>
        <v>7.0457715677651619E-2</v>
      </c>
      <c r="L37" s="580">
        <f>VLOOKUP($A37,'（詳細設定）地域内経済効果の按分比率'!$A$19:$C$47,3,FALSE)</f>
        <v>7.2376048372559371E-2</v>
      </c>
      <c r="M37" s="592">
        <f t="shared" si="34"/>
        <v>1.4091543135530325E-2</v>
      </c>
      <c r="N37" s="592">
        <f t="shared" si="35"/>
        <v>1.0856407255883905E-2</v>
      </c>
      <c r="O37" s="1429">
        <f t="shared" si="36"/>
        <v>4.3194336145663493E-3</v>
      </c>
      <c r="P37" s="1429">
        <f t="shared" si="37"/>
        <v>2.8965020302451697E-3</v>
      </c>
      <c r="Q37" s="1460">
        <f t="shared" si="38"/>
        <v>7.0785460383878847E-3</v>
      </c>
      <c r="R37" s="1460">
        <f t="shared" si="13"/>
        <v>8.2257799894494815E-4</v>
      </c>
      <c r="S37" s="580">
        <v>5.9977469615765638E-2</v>
      </c>
      <c r="T37" s="580">
        <v>6.6530564772547443E-2</v>
      </c>
      <c r="U37" s="592">
        <f t="shared" si="39"/>
        <v>1.1995493923153128E-2</v>
      </c>
      <c r="V37" s="592">
        <f t="shared" si="40"/>
        <v>9.9795847158821154E-3</v>
      </c>
      <c r="W37" s="1429">
        <f t="shared" si="41"/>
        <v>3.6769386558063448E-3</v>
      </c>
      <c r="X37" s="1429">
        <f t="shared" si="42"/>
        <v>2.4656612954333502E-3</v>
      </c>
      <c r="Y37" s="1460">
        <f t="shared" si="43"/>
        <v>6.5068441327196889E-3</v>
      </c>
      <c r="Z37" s="1460">
        <f t="shared" si="44"/>
        <v>7.5614212256479513E-4</v>
      </c>
    </row>
    <row r="38" spans="1:26" ht="13" x14ac:dyDescent="0.2">
      <c r="A38" t="str">
        <f>'（詳細設定）地域内経済効果の按分比率'!A39</f>
        <v>不動産業</v>
      </c>
      <c r="B38" s="579">
        <f t="shared" si="32"/>
        <v>7.9167875839825722E-2</v>
      </c>
      <c r="C38" s="579">
        <f t="shared" si="33"/>
        <v>9.6499375705720467E-2</v>
      </c>
      <c r="D38" s="579">
        <f t="shared" ref="D38:E45" si="45">O38+Q38</f>
        <v>1.9696991961051687E-2</v>
      </c>
      <c r="E38" s="579">
        <f t="shared" si="45"/>
        <v>6.1459157879250855E-3</v>
      </c>
      <c r="F38" s="579">
        <f t="shared" si="8"/>
        <v>6.0185340312548186E-2</v>
      </c>
      <c r="G38" s="579">
        <f t="shared" si="9"/>
        <v>3.7214410751098125E-2</v>
      </c>
      <c r="H38" s="579">
        <f t="shared" ref="H38:I45" si="46">W38+Y38</f>
        <v>1.0202151488705905E-2</v>
      </c>
      <c r="I38" s="579">
        <f t="shared" si="46"/>
        <v>4.117735923069671E-3</v>
      </c>
      <c r="J38" s="579">
        <f t="shared" si="1"/>
        <v>0.31322979776994486</v>
      </c>
      <c r="K38" s="580">
        <f>VLOOKUP($A38,'（詳細設定）地域内経済効果の按分比率'!$A$19:$C$47,2,FALSE)</f>
        <v>0.11348852088709617</v>
      </c>
      <c r="L38" s="580">
        <f>VLOOKUP($A38,'（詳細設定）地域内経済効果の按分比率'!$A$19:$C$47,3,FALSE)</f>
        <v>0.13025805009981886</v>
      </c>
      <c r="M38" s="592">
        <f t="shared" si="34"/>
        <v>2.2697704177419235E-2</v>
      </c>
      <c r="N38" s="592">
        <f t="shared" si="35"/>
        <v>1.9538707514972827E-2</v>
      </c>
      <c r="O38" s="1429">
        <f t="shared" si="36"/>
        <v>6.9574513915532212E-3</v>
      </c>
      <c r="P38" s="1429">
        <f t="shared" si="37"/>
        <v>4.6654894782979959E-3</v>
      </c>
      <c r="Q38" s="1460">
        <f t="shared" si="38"/>
        <v>1.2739540569498465E-2</v>
      </c>
      <c r="R38" s="1460">
        <f t="shared" si="13"/>
        <v>1.4804263096270896E-3</v>
      </c>
      <c r="S38" s="580">
        <v>8.6276727507214268E-2</v>
      </c>
      <c r="T38" s="580">
        <v>5.023324290547114E-2</v>
      </c>
      <c r="U38" s="592">
        <f t="shared" si="39"/>
        <v>1.7255345501442854E-2</v>
      </c>
      <c r="V38" s="592">
        <f t="shared" si="40"/>
        <v>7.5349864358206708E-3</v>
      </c>
      <c r="W38" s="1429">
        <f t="shared" si="41"/>
        <v>5.2892233783793834E-3</v>
      </c>
      <c r="X38" s="1429">
        <f t="shared" si="42"/>
        <v>3.5468183148438495E-3</v>
      </c>
      <c r="Y38" s="1460">
        <f t="shared" si="43"/>
        <v>4.9129281103265218E-3</v>
      </c>
      <c r="Z38" s="1460">
        <f t="shared" si="44"/>
        <v>5.7091760822582159E-4</v>
      </c>
    </row>
    <row r="39" spans="1:26" ht="13" x14ac:dyDescent="0.2">
      <c r="A39" t="str">
        <f>'（詳細設定）地域内経済効果の按分比率'!A40</f>
        <v>追加する場合はこちらに入力　O&amp;M（燃料以外）①</v>
      </c>
      <c r="B39" s="579">
        <f t="shared" si="32"/>
        <v>0</v>
      </c>
      <c r="C39" s="579">
        <f t="shared" si="33"/>
        <v>0</v>
      </c>
      <c r="D39" s="579">
        <f t="shared" si="45"/>
        <v>0</v>
      </c>
      <c r="E39" s="579">
        <f t="shared" si="45"/>
        <v>0</v>
      </c>
      <c r="F39" s="579">
        <f t="shared" si="8"/>
        <v>6.60888218357608E-2</v>
      </c>
      <c r="G39" s="579">
        <f t="shared" si="9"/>
        <v>4.9347003888949192E-2</v>
      </c>
      <c r="H39" s="579">
        <f t="shared" si="46"/>
        <v>1.2322669099196383E-2</v>
      </c>
      <c r="I39" s="579">
        <f t="shared" si="46"/>
        <v>4.651767332398811E-3</v>
      </c>
      <c r="J39" s="579">
        <f t="shared" si="1"/>
        <v>0.13241026215630519</v>
      </c>
      <c r="K39" s="580">
        <f>VLOOKUP($A39,'（詳細設定）地域内経済効果の按分比率'!$A$19:$C$47,2,FALSE)</f>
        <v>0</v>
      </c>
      <c r="L39" s="580">
        <f>VLOOKUP($A39,'（詳細設定）地域内経済効果の按分比率'!$A$19:$C$47,3,FALSE)</f>
        <v>0</v>
      </c>
      <c r="M39" s="592">
        <f t="shared" si="34"/>
        <v>0</v>
      </c>
      <c r="N39" s="592">
        <f t="shared" si="35"/>
        <v>0</v>
      </c>
      <c r="O39" s="1429">
        <f t="shared" si="36"/>
        <v>0</v>
      </c>
      <c r="P39" s="1429">
        <f t="shared" si="37"/>
        <v>0</v>
      </c>
      <c r="Q39" s="1460">
        <f t="shared" si="38"/>
        <v>0</v>
      </c>
      <c r="R39" s="1460">
        <f t="shared" si="13"/>
        <v>0</v>
      </c>
      <c r="S39" s="580">
        <v>9.4739470495408304E-2</v>
      </c>
      <c r="T39" s="580">
        <v>6.661021854115122E-2</v>
      </c>
      <c r="U39" s="592">
        <f t="shared" si="39"/>
        <v>1.8947894099081663E-2</v>
      </c>
      <c r="V39" s="592">
        <f t="shared" si="40"/>
        <v>9.991532781172683E-3</v>
      </c>
      <c r="W39" s="1429">
        <f t="shared" si="41"/>
        <v>5.8080346424555411E-3</v>
      </c>
      <c r="X39" s="1429">
        <f t="shared" si="42"/>
        <v>3.8947199181103053E-3</v>
      </c>
      <c r="Y39" s="1460">
        <f t="shared" si="43"/>
        <v>6.5146344567408422E-3</v>
      </c>
      <c r="Z39" s="1460">
        <f t="shared" si="44"/>
        <v>7.5704741428850536E-4</v>
      </c>
    </row>
    <row r="40" spans="1:26" ht="13" x14ac:dyDescent="0.2">
      <c r="A40" t="str">
        <f>'（詳細設定）地域内経済効果の按分比率'!A41</f>
        <v>追加する場合はこちらに入力　O&amp;M（燃料以外）②</v>
      </c>
      <c r="B40" s="579">
        <f t="shared" si="32"/>
        <v>0</v>
      </c>
      <c r="C40" s="579">
        <f t="shared" si="33"/>
        <v>0</v>
      </c>
      <c r="D40" s="579">
        <f t="shared" si="45"/>
        <v>0</v>
      </c>
      <c r="E40" s="579">
        <f t="shared" si="45"/>
        <v>0</v>
      </c>
      <c r="F40" s="579">
        <f t="shared" si="8"/>
        <v>7.8848249281376931E-2</v>
      </c>
      <c r="G40" s="579">
        <f t="shared" si="9"/>
        <v>6.2255227010100472E-2</v>
      </c>
      <c r="H40" s="579">
        <f t="shared" si="46"/>
        <v>1.5148098894980835E-2</v>
      </c>
      <c r="I40" s="579">
        <f t="shared" si="46"/>
        <v>5.6017297703918924E-3</v>
      </c>
      <c r="J40" s="579">
        <f t="shared" si="1"/>
        <v>0.16185330495685013</v>
      </c>
      <c r="K40" s="580">
        <f>VLOOKUP($A40,'（詳細設定）地域内経済効果の按分比率'!$A$19:$C$47,2,FALSE)</f>
        <v>0</v>
      </c>
      <c r="L40" s="580">
        <f>VLOOKUP($A40,'（詳細設定）地域内経済効果の按分比率'!$A$19:$C$47,3,FALSE)</f>
        <v>0</v>
      </c>
      <c r="M40" s="592">
        <f t="shared" si="34"/>
        <v>0</v>
      </c>
      <c r="N40" s="592">
        <f t="shared" si="35"/>
        <v>0</v>
      </c>
      <c r="O40" s="1429">
        <f t="shared" si="36"/>
        <v>0</v>
      </c>
      <c r="P40" s="1429">
        <f t="shared" si="37"/>
        <v>0</v>
      </c>
      <c r="Q40" s="1460">
        <f t="shared" si="38"/>
        <v>0</v>
      </c>
      <c r="R40" s="1460">
        <f t="shared" si="13"/>
        <v>0</v>
      </c>
      <c r="S40" s="580">
        <v>0.1130303306809073</v>
      </c>
      <c r="T40" s="580">
        <v>8.4034165190734478E-2</v>
      </c>
      <c r="U40" s="592">
        <f t="shared" si="39"/>
        <v>2.2606066136181463E-2</v>
      </c>
      <c r="V40" s="592">
        <f t="shared" si="40"/>
        <v>1.2605124778610172E-2</v>
      </c>
      <c r="W40" s="1429">
        <f t="shared" si="41"/>
        <v>6.9293618890843662E-3</v>
      </c>
      <c r="X40" s="1429">
        <f t="shared" si="42"/>
        <v>4.6466533742645314E-3</v>
      </c>
      <c r="Y40" s="1460">
        <f t="shared" si="43"/>
        <v>8.2187370058964693E-3</v>
      </c>
      <c r="Z40" s="1460">
        <f t="shared" si="44"/>
        <v>9.550763961273614E-4</v>
      </c>
    </row>
    <row r="41" spans="1:26" ht="13" x14ac:dyDescent="0.2">
      <c r="A41" t="str">
        <f>'（詳細設定）地域内経済効果の按分比率'!A42</f>
        <v>追加する場合はこちらに入力　O&amp;M（燃料以外）③</v>
      </c>
      <c r="B41" s="579">
        <f t="shared" si="32"/>
        <v>0</v>
      </c>
      <c r="C41" s="579">
        <f t="shared" si="33"/>
        <v>0</v>
      </c>
      <c r="D41" s="579">
        <f t="shared" si="45"/>
        <v>0</v>
      </c>
      <c r="E41" s="579">
        <f t="shared" si="45"/>
        <v>0</v>
      </c>
      <c r="F41" s="579">
        <f t="shared" si="8"/>
        <v>7.4928315816921998E-2</v>
      </c>
      <c r="G41" s="579">
        <f t="shared" si="9"/>
        <v>5.587352852074115E-2</v>
      </c>
      <c r="H41" s="579">
        <f t="shared" si="46"/>
        <v>1.3961114774388741E-2</v>
      </c>
      <c r="I41" s="579">
        <f t="shared" si="46"/>
        <v>5.2728182451181058E-3</v>
      </c>
      <c r="J41" s="579">
        <f>SUM(B41:I41)</f>
        <v>0.15003577735717</v>
      </c>
      <c r="K41" s="580">
        <f>VLOOKUP($A41,'（詳細設定）地域内経済効果の按分比率'!$A$19:$C$47,2,FALSE)</f>
        <v>0</v>
      </c>
      <c r="L41" s="580">
        <f>VLOOKUP($A41,'（詳細設定）地域内経済効果の按分比率'!$A$19:$C$47,3,FALSE)</f>
        <v>0</v>
      </c>
      <c r="M41" s="592">
        <f t="shared" si="34"/>
        <v>0</v>
      </c>
      <c r="N41" s="592">
        <f t="shared" si="35"/>
        <v>0</v>
      </c>
      <c r="O41" s="1429">
        <f t="shared" si="36"/>
        <v>0</v>
      </c>
      <c r="P41" s="1429">
        <f t="shared" si="37"/>
        <v>0</v>
      </c>
      <c r="Q41" s="1460">
        <f t="shared" si="38"/>
        <v>0</v>
      </c>
      <c r="R41" s="1460">
        <f t="shared" si="13"/>
        <v>0</v>
      </c>
      <c r="S41" s="580">
        <v>0.10741103818205476</v>
      </c>
      <c r="T41" s="580">
        <v>7.5419937425324934E-2</v>
      </c>
      <c r="U41" s="592">
        <f t="shared" si="39"/>
        <v>2.1482207636410955E-2</v>
      </c>
      <c r="V41" s="592">
        <f t="shared" si="40"/>
        <v>1.1312990613798739E-2</v>
      </c>
      <c r="W41" s="1429">
        <f t="shared" si="41"/>
        <v>6.5848692997890956E-3</v>
      </c>
      <c r="X41" s="1429">
        <f t="shared" si="42"/>
        <v>4.4156454289327124E-3</v>
      </c>
      <c r="Y41" s="1460">
        <f t="shared" si="43"/>
        <v>7.3762454745996443E-3</v>
      </c>
      <c r="Z41" s="1460">
        <f t="shared" si="44"/>
        <v>8.5717281618539359E-4</v>
      </c>
    </row>
    <row r="42" spans="1:26" ht="13" x14ac:dyDescent="0.2">
      <c r="A42" t="str">
        <f>'（詳細設定）地域内経済効果の按分比率'!A43</f>
        <v>追加する場合はこちらに入力　O&amp;M（燃料以外）④</v>
      </c>
      <c r="B42" s="579">
        <f t="shared" si="32"/>
        <v>0</v>
      </c>
      <c r="C42" s="579">
        <f t="shared" si="33"/>
        <v>0</v>
      </c>
      <c r="D42" s="579">
        <f t="shared" si="45"/>
        <v>0</v>
      </c>
      <c r="E42" s="579">
        <f t="shared" si="45"/>
        <v>0</v>
      </c>
      <c r="F42" s="579">
        <f t="shared" si="8"/>
        <v>0.1358097978029266</v>
      </c>
      <c r="G42" s="579">
        <f t="shared" si="9"/>
        <v>9.6309091984577933E-2</v>
      </c>
      <c r="H42" s="579">
        <f t="shared" si="46"/>
        <v>2.4649691095714323E-2</v>
      </c>
      <c r="I42" s="579">
        <f t="shared" si="46"/>
        <v>9.480995594535602E-3</v>
      </c>
      <c r="J42" s="579">
        <f>SUM(B42:I42)</f>
        <v>0.26624957647775443</v>
      </c>
      <c r="K42" s="580">
        <f>VLOOKUP($A42,'（詳細設定）地域内経済効果の按分比率'!$A$19:$C$47,2,FALSE)</f>
        <v>0</v>
      </c>
      <c r="L42" s="580">
        <f>VLOOKUP($A42,'（詳細設定）地域内経済効果の按分比率'!$A$19:$C$47,3,FALSE)</f>
        <v>0</v>
      </c>
      <c r="M42" s="592">
        <f t="shared" si="34"/>
        <v>0</v>
      </c>
      <c r="N42" s="592">
        <f t="shared" si="35"/>
        <v>0</v>
      </c>
      <c r="O42" s="1429">
        <f t="shared" si="36"/>
        <v>0</v>
      </c>
      <c r="P42" s="1429">
        <f t="shared" si="37"/>
        <v>0</v>
      </c>
      <c r="Q42" s="1460">
        <f t="shared" si="38"/>
        <v>0</v>
      </c>
      <c r="R42" s="1460">
        <f t="shared" si="13"/>
        <v>0</v>
      </c>
      <c r="S42" s="580">
        <v>0.19468569683255596</v>
      </c>
      <c r="T42" s="580">
        <v>0.13000119883730551</v>
      </c>
      <c r="U42" s="592">
        <f t="shared" si="39"/>
        <v>3.8937139366511192E-2</v>
      </c>
      <c r="V42" s="592">
        <f t="shared" si="40"/>
        <v>1.9500179825595827E-2</v>
      </c>
      <c r="W42" s="1429">
        <f t="shared" si="41"/>
        <v>1.1935271177696579E-2</v>
      </c>
      <c r="X42" s="1429">
        <f t="shared" si="42"/>
        <v>8.0034884854216035E-3</v>
      </c>
      <c r="Y42" s="1460">
        <f t="shared" si="43"/>
        <v>1.2714419918017745E-2</v>
      </c>
      <c r="Z42" s="1460">
        <f t="shared" si="44"/>
        <v>1.4775071091139983E-3</v>
      </c>
    </row>
    <row r="43" spans="1:26" ht="13" x14ac:dyDescent="0.2">
      <c r="A43" t="str">
        <f>'（詳細設定）地域内経済効果の按分比率'!A44</f>
        <v>追加する場合はこちらに入力　O&amp;M（燃料以外）⑤</v>
      </c>
      <c r="B43" s="579">
        <f t="shared" si="32"/>
        <v>0</v>
      </c>
      <c r="C43" s="579">
        <f t="shared" si="33"/>
        <v>0</v>
      </c>
      <c r="D43" s="579">
        <f t="shared" si="45"/>
        <v>0</v>
      </c>
      <c r="E43" s="579">
        <f t="shared" si="45"/>
        <v>0</v>
      </c>
      <c r="F43" s="579">
        <f t="shared" si="8"/>
        <v>8.9484816258733876E-2</v>
      </c>
      <c r="G43" s="579">
        <f t="shared" si="9"/>
        <v>7.1109874948148494E-2</v>
      </c>
      <c r="H43" s="579">
        <f t="shared" si="46"/>
        <v>1.7251826828104163E-2</v>
      </c>
      <c r="I43" s="579">
        <f t="shared" si="46"/>
        <v>6.364401516140354E-3</v>
      </c>
      <c r="J43" s="579">
        <f>SUM(B43:I43)</f>
        <v>0.18421091955112687</v>
      </c>
      <c r="K43" s="580">
        <f>VLOOKUP($A43,'（詳細設定）地域内経済効果の按分比率'!$A$19:$C$47,2,FALSE)</f>
        <v>0</v>
      </c>
      <c r="L43" s="580">
        <f>VLOOKUP($A43,'（詳細設定）地域内経済効果の按分比率'!$A$19:$C$47,3,FALSE)</f>
        <v>0</v>
      </c>
      <c r="M43" s="592">
        <f t="shared" si="34"/>
        <v>0</v>
      </c>
      <c r="N43" s="592">
        <f t="shared" si="35"/>
        <v>0</v>
      </c>
      <c r="O43" s="1429">
        <f t="shared" si="36"/>
        <v>0</v>
      </c>
      <c r="P43" s="1429">
        <f t="shared" si="37"/>
        <v>0</v>
      </c>
      <c r="Q43" s="1460">
        <f t="shared" si="38"/>
        <v>0</v>
      </c>
      <c r="R43" s="1460">
        <f t="shared" si="13"/>
        <v>0</v>
      </c>
      <c r="S43" s="580">
        <v>0.12827803362571108</v>
      </c>
      <c r="T43" s="580">
        <v>9.5986461941832982E-2</v>
      </c>
      <c r="U43" s="592">
        <f t="shared" si="39"/>
        <v>2.5655606725142218E-2</v>
      </c>
      <c r="V43" s="592">
        <f t="shared" si="40"/>
        <v>1.4397969291274947E-2</v>
      </c>
      <c r="W43" s="1429">
        <f t="shared" si="41"/>
        <v>7.8641273723428339E-3</v>
      </c>
      <c r="X43" s="1429">
        <f t="shared" si="42"/>
        <v>5.2734832694921454E-3</v>
      </c>
      <c r="Y43" s="1460">
        <f t="shared" si="43"/>
        <v>9.3876994557613291E-3</v>
      </c>
      <c r="Z43" s="1460">
        <f t="shared" si="44"/>
        <v>1.0909182466482086E-3</v>
      </c>
    </row>
    <row r="44" spans="1:26" ht="13" x14ac:dyDescent="0.2">
      <c r="A44" t="str">
        <f>'（詳細設定）地域内経済効果の按分比率'!A45</f>
        <v>追加する場合はこちらに入力　O&amp;M（燃料以外）⑥</v>
      </c>
      <c r="B44" s="579">
        <f t="shared" si="32"/>
        <v>0</v>
      </c>
      <c r="C44" s="579">
        <f t="shared" si="33"/>
        <v>0</v>
      </c>
      <c r="D44" s="579">
        <f t="shared" si="45"/>
        <v>0</v>
      </c>
      <c r="E44" s="579">
        <f t="shared" si="45"/>
        <v>0</v>
      </c>
      <c r="F44" s="579">
        <f t="shared" si="8"/>
        <v>9.8870489961720515E-2</v>
      </c>
      <c r="G44" s="579">
        <f t="shared" si="9"/>
        <v>8.0609420102055962E-2</v>
      </c>
      <c r="H44" s="579">
        <f t="shared" si="46"/>
        <v>1.9330760719180256E-2</v>
      </c>
      <c r="I44" s="579">
        <f t="shared" si="46"/>
        <v>7.0632496861738449E-3</v>
      </c>
      <c r="J44" s="579">
        <f>SUM(B44:I44)</f>
        <v>0.20587392046913056</v>
      </c>
      <c r="K44" s="580">
        <f>VLOOKUP($A44,'（詳細設定）地域内経済効果の按分比率'!$A$19:$C$47,2,FALSE)</f>
        <v>0</v>
      </c>
      <c r="L44" s="580">
        <f>VLOOKUP($A44,'（詳細設定）地域内経済効果の按分比率'!$A$19:$C$47,3,FALSE)</f>
        <v>0</v>
      </c>
      <c r="M44" s="592">
        <f t="shared" si="34"/>
        <v>0</v>
      </c>
      <c r="N44" s="592">
        <f t="shared" si="35"/>
        <v>0</v>
      </c>
      <c r="O44" s="1429">
        <f t="shared" si="36"/>
        <v>0</v>
      </c>
      <c r="P44" s="1429">
        <f t="shared" si="37"/>
        <v>0</v>
      </c>
      <c r="Q44" s="1460">
        <f t="shared" si="38"/>
        <v>0</v>
      </c>
      <c r="R44" s="1460">
        <f t="shared" si="13"/>
        <v>0</v>
      </c>
      <c r="S44" s="580">
        <v>0.14173255940124072</v>
      </c>
      <c r="T44" s="580">
        <v>0.10880926229192704</v>
      </c>
      <c r="U44" s="592">
        <f t="shared" si="39"/>
        <v>2.8346511880248143E-2</v>
      </c>
      <c r="V44" s="592">
        <f t="shared" si="40"/>
        <v>1.6321389343789055E-2</v>
      </c>
      <c r="W44" s="1429">
        <f t="shared" si="41"/>
        <v>8.6889615348461451E-3</v>
      </c>
      <c r="X44" s="1429">
        <f t="shared" si="42"/>
        <v>5.826596024425936E-3</v>
      </c>
      <c r="Y44" s="1460">
        <f t="shared" si="43"/>
        <v>1.0641799184334111E-2</v>
      </c>
      <c r="Z44" s="1460">
        <f t="shared" si="44"/>
        <v>1.236653661747909E-3</v>
      </c>
    </row>
    <row r="45" spans="1:26" ht="13" x14ac:dyDescent="0.2">
      <c r="A45" t="str">
        <f>'（詳細設定）地域内経済効果の按分比率'!A46</f>
        <v>追加する場合はこちらに入力　O&amp;M（燃料以外）⑦</v>
      </c>
      <c r="B45" s="579">
        <f t="shared" si="32"/>
        <v>0</v>
      </c>
      <c r="C45" s="579">
        <f t="shared" si="33"/>
        <v>0</v>
      </c>
      <c r="D45" s="579">
        <f t="shared" si="45"/>
        <v>0</v>
      </c>
      <c r="E45" s="579">
        <f t="shared" si="45"/>
        <v>0</v>
      </c>
      <c r="F45" s="579">
        <f t="shared" si="8"/>
        <v>6.8256041818370861E-2</v>
      </c>
      <c r="G45" s="579">
        <f t="shared" si="9"/>
        <v>0.11895166840320505</v>
      </c>
      <c r="H45" s="579">
        <f t="shared" si="46"/>
        <v>2.1702115639765492E-2</v>
      </c>
      <c r="I45" s="579">
        <f t="shared" si="46"/>
        <v>5.8473114254183048E-3</v>
      </c>
      <c r="J45" s="579">
        <f>SUM(B45:I45)</f>
        <v>0.21475713728675969</v>
      </c>
      <c r="K45" s="580">
        <f>VLOOKUP($A45,'（詳細設定）地域内経済効果の按分比率'!$A$19:$C$47,2,FALSE)</f>
        <v>0</v>
      </c>
      <c r="L45" s="580">
        <f>VLOOKUP($A45,'（詳細設定）地域内経済効果の按分比率'!$A$19:$C$47,3,FALSE)</f>
        <v>0</v>
      </c>
      <c r="M45" s="592">
        <f t="shared" si="34"/>
        <v>0</v>
      </c>
      <c r="N45" s="592">
        <f t="shared" si="35"/>
        <v>0</v>
      </c>
      <c r="O45" s="1429">
        <f t="shared" si="36"/>
        <v>0</v>
      </c>
      <c r="P45" s="1429">
        <f t="shared" si="37"/>
        <v>0</v>
      </c>
      <c r="Q45" s="1460">
        <f t="shared" si="38"/>
        <v>0</v>
      </c>
      <c r="R45" s="1460">
        <f>IF(L45&gt;0,L45*$D$54*$D$61*(1+$D$63),0)</f>
        <v>0</v>
      </c>
      <c r="S45" s="580">
        <v>9.7846217868054711E-2</v>
      </c>
      <c r="T45" s="580">
        <v>0.16056489763801873</v>
      </c>
      <c r="U45" s="592">
        <f t="shared" si="39"/>
        <v>1.9569243573610944E-2</v>
      </c>
      <c r="V45" s="592">
        <f t="shared" si="40"/>
        <v>2.4084734645702811E-2</v>
      </c>
      <c r="W45" s="1429">
        <f t="shared" si="41"/>
        <v>5.9984948199436833E-3</v>
      </c>
      <c r="X45" s="1429">
        <f t="shared" si="42"/>
        <v>4.0224376561292154E-3</v>
      </c>
      <c r="Y45" s="1460">
        <f t="shared" si="43"/>
        <v>1.5703620819821809E-2</v>
      </c>
      <c r="Z45" s="1460">
        <f t="shared" si="44"/>
        <v>1.8248737692890893E-3</v>
      </c>
    </row>
    <row r="47" spans="1:26" x14ac:dyDescent="0.2">
      <c r="E47" s="1459"/>
    </row>
    <row r="49" spans="1:5" ht="13" x14ac:dyDescent="0.2">
      <c r="A49" s="561" t="s">
        <v>693</v>
      </c>
      <c r="B49" s="561"/>
      <c r="C49" s="561"/>
      <c r="D49" s="562" t="s">
        <v>1133</v>
      </c>
      <c r="E49"/>
    </row>
    <row r="50" spans="1:5" ht="13" x14ac:dyDescent="0.2">
      <c r="A50" s="564" t="s">
        <v>214</v>
      </c>
      <c r="B50" s="564"/>
      <c r="C50" s="564"/>
      <c r="D50" s="564"/>
      <c r="E50"/>
    </row>
    <row r="51" spans="1:5" ht="13" x14ac:dyDescent="0.2">
      <c r="A51" s="565" t="s">
        <v>215</v>
      </c>
      <c r="B51" s="565"/>
      <c r="C51" s="565"/>
      <c r="D51" s="566"/>
      <c r="E51"/>
    </row>
    <row r="52" spans="1:5" ht="13" x14ac:dyDescent="0.2">
      <c r="A52" s="565"/>
      <c r="B52" s="565"/>
      <c r="C52" s="565"/>
      <c r="D52" s="566"/>
      <c r="E52"/>
    </row>
    <row r="53" spans="1:5" ht="13" x14ac:dyDescent="0.2">
      <c r="A53" s="567" t="s">
        <v>195</v>
      </c>
      <c r="B53" s="570"/>
      <c r="C53" s="570"/>
      <c r="D53" s="1033">
        <v>0.2</v>
      </c>
      <c r="E53" t="s">
        <v>1112</v>
      </c>
    </row>
    <row r="54" spans="1:5" ht="13" x14ac:dyDescent="0.2">
      <c r="A54" s="567" t="s">
        <v>216</v>
      </c>
      <c r="B54" s="570"/>
      <c r="C54" s="570"/>
      <c r="D54" s="1033">
        <v>0.15</v>
      </c>
      <c r="E54" t="s">
        <v>1111</v>
      </c>
    </row>
    <row r="55" spans="1:5" ht="13" x14ac:dyDescent="0.2">
      <c r="A55" s="565" t="s">
        <v>217</v>
      </c>
      <c r="B55" s="568"/>
      <c r="C55" s="569"/>
      <c r="D55" s="569"/>
      <c r="E55"/>
    </row>
    <row r="56" spans="1:5" ht="13" x14ac:dyDescent="0.2">
      <c r="A56" s="567" t="s">
        <v>195</v>
      </c>
      <c r="B56" s="570" t="s">
        <v>218</v>
      </c>
      <c r="C56" s="1034" t="s">
        <v>219</v>
      </c>
      <c r="D56" s="1035">
        <f>D77/F77</f>
        <v>2.1755524577801139E-2</v>
      </c>
      <c r="E56" t="s">
        <v>1142</v>
      </c>
    </row>
    <row r="57" spans="1:5" ht="13" x14ac:dyDescent="0.2">
      <c r="A57" s="567"/>
      <c r="B57" s="570"/>
      <c r="C57" s="570" t="s">
        <v>220</v>
      </c>
      <c r="D57" s="1035">
        <f>C77/E77</f>
        <v>2.7744797850403048E-2</v>
      </c>
      <c r="E57" t="s">
        <v>1142</v>
      </c>
    </row>
    <row r="58" spans="1:5" ht="13" x14ac:dyDescent="0.2">
      <c r="A58" s="567"/>
      <c r="B58" s="570" t="s">
        <v>1132</v>
      </c>
      <c r="C58" s="1034" t="s">
        <v>219</v>
      </c>
      <c r="D58" s="1036">
        <v>0.06</v>
      </c>
      <c r="E58" t="s">
        <v>1109</v>
      </c>
    </row>
    <row r="59" spans="1:5" ht="13" x14ac:dyDescent="0.2">
      <c r="A59" s="567"/>
      <c r="B59" s="570"/>
      <c r="C59" s="570" t="s">
        <v>220</v>
      </c>
      <c r="D59" s="1036">
        <v>0.04</v>
      </c>
      <c r="E59" t="s">
        <v>1109</v>
      </c>
    </row>
    <row r="60" spans="1:5" ht="13" x14ac:dyDescent="0.2">
      <c r="A60" s="567" t="s">
        <v>216</v>
      </c>
      <c r="B60" s="570" t="s">
        <v>1110</v>
      </c>
      <c r="C60" s="1034" t="s">
        <v>219</v>
      </c>
      <c r="D60" s="1036">
        <v>0.01</v>
      </c>
      <c r="E60" s="1444" t="s">
        <v>1141</v>
      </c>
    </row>
    <row r="61" spans="1:5" ht="13" x14ac:dyDescent="0.2">
      <c r="A61" s="567"/>
      <c r="B61" s="570"/>
      <c r="C61" s="570" t="s">
        <v>220</v>
      </c>
      <c r="D61" s="1035">
        <v>0.06</v>
      </c>
      <c r="E61" t="s">
        <v>1113</v>
      </c>
    </row>
    <row r="62" spans="1:5" ht="13" x14ac:dyDescent="0.2">
      <c r="A62" s="567"/>
      <c r="B62" s="570" t="s">
        <v>1096</v>
      </c>
      <c r="C62" s="1034" t="s">
        <v>219</v>
      </c>
      <c r="D62" s="1035">
        <f>D78/F78</f>
        <v>0.26821881506719669</v>
      </c>
      <c r="E62" t="s">
        <v>1108</v>
      </c>
    </row>
    <row r="63" spans="1:5" ht="13" x14ac:dyDescent="0.2">
      <c r="A63" s="567"/>
      <c r="B63" s="570"/>
      <c r="C63" s="570" t="s">
        <v>220</v>
      </c>
      <c r="D63" s="1035">
        <f>C78/E78</f>
        <v>0.26281494352736751</v>
      </c>
      <c r="E63" t="s">
        <v>1108</v>
      </c>
    </row>
    <row r="64" spans="1:5" ht="13" x14ac:dyDescent="0.2">
      <c r="A64" s="567" t="s">
        <v>1120</v>
      </c>
      <c r="B64" s="570" t="s">
        <v>1115</v>
      </c>
      <c r="C64" s="1034" t="s">
        <v>219</v>
      </c>
      <c r="D64" s="1035">
        <v>7.4999999999999997E-3</v>
      </c>
      <c r="E64" s="1444" t="s">
        <v>1135</v>
      </c>
    </row>
    <row r="65" spans="1:7" ht="13" x14ac:dyDescent="0.2">
      <c r="A65" s="567"/>
      <c r="B65" s="570" t="s">
        <v>1116</v>
      </c>
      <c r="C65" s="1034" t="s">
        <v>219</v>
      </c>
      <c r="D65" s="1035">
        <v>1.8499999999999999E-2</v>
      </c>
      <c r="E65" s="1444" t="s">
        <v>1134</v>
      </c>
    </row>
    <row r="66" spans="1:7" ht="13" x14ac:dyDescent="0.2">
      <c r="A66" s="567"/>
      <c r="B66" s="570" t="s">
        <v>1117</v>
      </c>
      <c r="C66" s="1034" t="s">
        <v>219</v>
      </c>
      <c r="D66" s="1035">
        <v>0.4</v>
      </c>
      <c r="E66" t="s">
        <v>1118</v>
      </c>
    </row>
    <row r="67" spans="1:7" ht="13" x14ac:dyDescent="0.2">
      <c r="A67" s="567" t="s">
        <v>1121</v>
      </c>
      <c r="B67" s="570" t="s">
        <v>1115</v>
      </c>
      <c r="C67" s="1034" t="s">
        <v>219</v>
      </c>
      <c r="D67" s="1035">
        <v>0</v>
      </c>
      <c r="E67" t="s">
        <v>1118</v>
      </c>
    </row>
    <row r="68" spans="1:7" ht="13" x14ac:dyDescent="0.2">
      <c r="A68" s="567"/>
      <c r="B68" s="570" t="s">
        <v>1116</v>
      </c>
      <c r="C68" s="1034" t="s">
        <v>219</v>
      </c>
      <c r="D68" s="1035">
        <v>7.0000000000000007E-2</v>
      </c>
      <c r="E68" t="s">
        <v>1118</v>
      </c>
    </row>
    <row r="69" spans="1:7" ht="13" x14ac:dyDescent="0.2">
      <c r="A69" s="567"/>
      <c r="B69" s="570" t="s">
        <v>1143</v>
      </c>
      <c r="C69" s="1034" t="s">
        <v>219</v>
      </c>
      <c r="D69" s="1035">
        <v>0.37</v>
      </c>
      <c r="E69" t="s">
        <v>1118</v>
      </c>
    </row>
    <row r="70" spans="1:7" ht="13" x14ac:dyDescent="0.2">
      <c r="A70" s="570" t="s">
        <v>221</v>
      </c>
      <c r="B70" s="570" t="s">
        <v>47</v>
      </c>
      <c r="C70" s="570" t="s">
        <v>220</v>
      </c>
      <c r="D70" s="1037">
        <v>1.4E-2</v>
      </c>
      <c r="E70"/>
    </row>
    <row r="71" spans="1:7" ht="13" x14ac:dyDescent="0.2">
      <c r="A71" s="570" t="s">
        <v>222</v>
      </c>
      <c r="B71" s="1038" t="s">
        <v>1119</v>
      </c>
      <c r="C71" s="1038"/>
      <c r="D71" s="1039">
        <v>0.1</v>
      </c>
      <c r="E71"/>
    </row>
    <row r="72" spans="1:7" ht="13" x14ac:dyDescent="0.2">
      <c r="A72" s="570"/>
      <c r="B72" s="570" t="s">
        <v>272</v>
      </c>
      <c r="C72" s="1034" t="s">
        <v>219</v>
      </c>
      <c r="D72" s="1040">
        <v>1.0999999999999999E-2</v>
      </c>
      <c r="E72"/>
    </row>
    <row r="73" spans="1:7" ht="13" x14ac:dyDescent="0.2">
      <c r="A73" s="570"/>
      <c r="B73" s="570"/>
      <c r="C73" s="570" t="s">
        <v>215</v>
      </c>
      <c r="D73" s="1040">
        <v>7.8E-2</v>
      </c>
      <c r="E73"/>
    </row>
    <row r="74" spans="1:7" ht="13" x14ac:dyDescent="0.2">
      <c r="A74" s="570"/>
      <c r="B74" s="570"/>
      <c r="C74" s="570" t="s">
        <v>220</v>
      </c>
      <c r="D74" s="1040">
        <v>1.0999999999999999E-2</v>
      </c>
      <c r="E74"/>
    </row>
    <row r="75" spans="1:7" ht="13" x14ac:dyDescent="0.2">
      <c r="A75" t="s">
        <v>1102</v>
      </c>
      <c r="B75" s="968"/>
      <c r="C75" s="968" t="s">
        <v>1097</v>
      </c>
      <c r="D75" s="1426" t="s">
        <v>1098</v>
      </c>
      <c r="E75" s="968" t="s">
        <v>1103</v>
      </c>
      <c r="F75" s="968" t="s">
        <v>1104</v>
      </c>
    </row>
    <row r="76" spans="1:7" ht="13" x14ac:dyDescent="0.2">
      <c r="A76" t="s">
        <v>1101</v>
      </c>
      <c r="B76" s="968" t="s">
        <v>1100</v>
      </c>
      <c r="C76" s="968"/>
      <c r="D76" s="1426"/>
      <c r="E76" s="968"/>
      <c r="F76" s="968"/>
      <c r="G76" s="405" t="s">
        <v>1105</v>
      </c>
    </row>
    <row r="77" spans="1:7" ht="13" x14ac:dyDescent="0.2">
      <c r="A77" s="1426" t="s">
        <v>1106</v>
      </c>
      <c r="B77" s="1426" t="s">
        <v>1099</v>
      </c>
      <c r="C77" s="1426">
        <v>2220</v>
      </c>
      <c r="D77" s="1426">
        <v>952</v>
      </c>
      <c r="E77" s="1426">
        <v>80015</v>
      </c>
      <c r="F77" s="1427">
        <v>43759</v>
      </c>
      <c r="G77" s="1428" t="s">
        <v>1114</v>
      </c>
    </row>
    <row r="78" spans="1:7" ht="13" x14ac:dyDescent="0.2">
      <c r="A78" s="1426" t="s">
        <v>1107</v>
      </c>
      <c r="B78" s="1426" t="s">
        <v>1099</v>
      </c>
      <c r="C78" s="1426">
        <v>4235</v>
      </c>
      <c r="D78" s="1426">
        <v>1417</v>
      </c>
      <c r="E78" s="1426">
        <v>16114</v>
      </c>
      <c r="F78">
        <v>5283</v>
      </c>
    </row>
    <row r="79" spans="1:7" ht="13" x14ac:dyDescent="0.2">
      <c r="A79" s="563"/>
      <c r="B79" s="563"/>
      <c r="C79" s="563"/>
      <c r="D79" s="563"/>
      <c r="E79"/>
    </row>
    <row r="80" spans="1:7" ht="13" x14ac:dyDescent="0.2">
      <c r="A80" s="564" t="s">
        <v>338</v>
      </c>
      <c r="B80" s="564"/>
      <c r="C80" s="564"/>
      <c r="D80" s="589"/>
      <c r="E80"/>
    </row>
    <row r="81" spans="1:5" ht="13" x14ac:dyDescent="0.2">
      <c r="A81" s="1038" t="s">
        <v>199</v>
      </c>
      <c r="B81" s="1038" t="s">
        <v>339</v>
      </c>
      <c r="C81" s="1038"/>
      <c r="D81" s="1041">
        <v>0.8</v>
      </c>
      <c r="E81"/>
    </row>
    <row r="82" spans="1:5" ht="13" x14ac:dyDescent="0.2">
      <c r="A82" s="1038"/>
      <c r="B82" s="1038" t="s">
        <v>257</v>
      </c>
      <c r="C82" s="1038"/>
      <c r="D82" s="1041">
        <v>0.1</v>
      </c>
      <c r="E82"/>
    </row>
    <row r="83" spans="1:5" ht="13" x14ac:dyDescent="0.2">
      <c r="A83" s="1038"/>
      <c r="B83" s="1038" t="s">
        <v>340</v>
      </c>
      <c r="C83" s="1038"/>
      <c r="D83" s="1041">
        <v>0.1</v>
      </c>
      <c r="E83"/>
    </row>
    <row r="84" spans="1:5" ht="13" x14ac:dyDescent="0.2">
      <c r="A84"/>
      <c r="B84"/>
      <c r="C84"/>
      <c r="D84"/>
      <c r="E84"/>
    </row>
  </sheetData>
  <sheetProtection selectLockedCells="1" selectUnlockedCells="1"/>
  <phoneticPr fontId="4"/>
  <conditionalFormatting sqref="B4:I24 B26:I45">
    <cfRule type="cellIs" dxfId="1" priority="2" operator="lessThan">
      <formula>0</formula>
    </cfRule>
  </conditionalFormatting>
  <conditionalFormatting sqref="B25:I25">
    <cfRule type="cellIs" dxfId="0" priority="1" operator="lessThan">
      <formula>0</formula>
    </cfRule>
  </conditionalFormatting>
  <hyperlinks>
    <hyperlink ref="G77" r:id="rId1"/>
    <hyperlink ref="E65" r:id="rId2"/>
    <hyperlink ref="E64" r:id="rId3"/>
    <hyperlink ref="E60" r:id="rId4"/>
  </hyperlinks>
  <pageMargins left="0.7" right="0.7" top="0.75" bottom="0.75" header="0.3" footer="0.3"/>
  <pageSetup paperSize="9" scale="20" fitToHeight="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Z25"/>
  <sheetViews>
    <sheetView workbookViewId="0"/>
  </sheetViews>
  <sheetFormatPr defaultColWidth="8.7265625" defaultRowHeight="13" x14ac:dyDescent="0.2"/>
  <cols>
    <col min="1" max="1" width="2.453125" style="552" customWidth="1"/>
    <col min="2" max="16384" width="8.7265625" style="552"/>
  </cols>
  <sheetData>
    <row r="1" spans="1:26" ht="28" x14ac:dyDescent="0.2">
      <c r="A1" s="1165"/>
      <c r="B1" s="1166" t="s">
        <v>901</v>
      </c>
      <c r="C1" s="1167"/>
      <c r="D1" s="1167"/>
      <c r="E1" s="1167"/>
      <c r="F1" s="1167"/>
      <c r="G1" s="1167"/>
      <c r="H1" s="1167"/>
      <c r="I1" s="1167"/>
      <c r="J1" s="1167"/>
      <c r="K1" s="1167"/>
      <c r="L1" s="1167"/>
      <c r="M1" s="1167"/>
      <c r="N1" s="1167"/>
      <c r="O1" s="1167"/>
      <c r="P1" s="1167"/>
      <c r="Q1" s="1167"/>
      <c r="R1" s="1167"/>
      <c r="S1" s="1167"/>
      <c r="T1" s="1167"/>
      <c r="U1" s="1167"/>
      <c r="V1" s="1167"/>
      <c r="W1" s="1167"/>
      <c r="X1" s="1167"/>
      <c r="Y1" s="1167"/>
      <c r="Z1" s="1167"/>
    </row>
    <row r="3" spans="1:26" x14ac:dyDescent="0.2">
      <c r="B3" s="552" t="s">
        <v>902</v>
      </c>
    </row>
    <row r="4" spans="1:26" x14ac:dyDescent="0.2">
      <c r="B4" s="1200"/>
      <c r="C4" s="552" t="s">
        <v>930</v>
      </c>
    </row>
    <row r="5" spans="1:26" x14ac:dyDescent="0.2">
      <c r="B5" s="557"/>
      <c r="C5" s="552" t="s">
        <v>931</v>
      </c>
    </row>
    <row r="6" spans="1:26" x14ac:dyDescent="0.2">
      <c r="B6" s="843"/>
      <c r="C6" s="552" t="s">
        <v>932</v>
      </c>
    </row>
    <row r="7" spans="1:26" x14ac:dyDescent="0.2">
      <c r="B7" s="552" t="s">
        <v>903</v>
      </c>
    </row>
    <row r="8" spans="1:26" x14ac:dyDescent="0.2">
      <c r="B8" s="552" t="s">
        <v>904</v>
      </c>
    </row>
    <row r="9" spans="1:26" x14ac:dyDescent="0.2">
      <c r="B9" s="552" t="s">
        <v>905</v>
      </c>
    </row>
    <row r="13" spans="1:26" x14ac:dyDescent="0.2">
      <c r="B13" s="1168" t="s">
        <v>906</v>
      </c>
    </row>
    <row r="25" spans="2:2" x14ac:dyDescent="0.2">
      <c r="B25" s="1168" t="s">
        <v>907</v>
      </c>
    </row>
  </sheetData>
  <sheetProtection password="B437" sheet="1" objects="1" scenarios="1"/>
  <phoneticPr fontId="4"/>
  <pageMargins left="0.7" right="0.7" top="0.75" bottom="0.75" header="0.3" footer="0.3"/>
  <pageSetup paperSize="8"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50"/>
    <pageSetUpPr fitToPage="1"/>
  </sheetPr>
  <dimension ref="A1:AT254"/>
  <sheetViews>
    <sheetView tabSelected="1" topLeftCell="K1" zoomScale="70" zoomScaleNormal="70" workbookViewId="0">
      <selection activeCell="K23" sqref="K23:AP24"/>
    </sheetView>
  </sheetViews>
  <sheetFormatPr defaultColWidth="9" defaultRowHeight="13" x14ac:dyDescent="0.2"/>
  <cols>
    <col min="1" max="1" width="3.08984375" style="925" customWidth="1"/>
    <col min="2" max="2" width="29.08984375" style="925" customWidth="1"/>
    <col min="3" max="3" width="18.453125" style="925" customWidth="1"/>
    <col min="4" max="5" width="19.26953125" style="925" customWidth="1"/>
    <col min="6" max="6" width="14.6328125" style="925" customWidth="1"/>
    <col min="7" max="7" width="19.26953125" style="925" customWidth="1"/>
    <col min="8" max="8" width="26" style="925" customWidth="1"/>
    <col min="9" max="9" width="4.1796875" style="925" customWidth="1"/>
    <col min="10" max="10" width="18.90625" style="925" customWidth="1"/>
    <col min="11" max="12" width="12.26953125" style="925" customWidth="1"/>
    <col min="13" max="13" width="12.36328125" style="925" customWidth="1"/>
    <col min="14" max="14" width="7.08984375" style="552" customWidth="1"/>
    <col min="15" max="15" width="12.90625" style="552" customWidth="1"/>
    <col min="16" max="16" width="9" style="552" customWidth="1"/>
    <col min="17" max="20" width="9" style="552"/>
    <col min="21" max="21" width="17.7265625" style="552" customWidth="1"/>
    <col min="22" max="22" width="23.7265625" style="552" customWidth="1"/>
    <col min="23" max="23" width="4.90625" style="552" customWidth="1"/>
    <col min="24" max="24" width="15.08984375" style="1324" hidden="1" customWidth="1"/>
    <col min="25" max="27" width="10.90625" style="1324" hidden="1" customWidth="1"/>
    <col min="28" max="28" width="10.90625" style="1223" hidden="1" customWidth="1"/>
    <col min="29" max="32" width="10.90625" style="1324" hidden="1" customWidth="1"/>
    <col min="33" max="35" width="10.90625" style="1223" hidden="1" customWidth="1"/>
    <col min="36" max="36" width="21.26953125" style="1223" hidden="1" customWidth="1"/>
    <col min="37" max="37" width="21.26953125" style="1223" customWidth="1"/>
    <col min="38" max="38" width="14.90625" style="925" customWidth="1"/>
    <col min="39" max="39" width="9" style="925" customWidth="1"/>
    <col min="40" max="16384" width="9" style="925"/>
  </cols>
  <sheetData>
    <row r="1" spans="1:46" ht="33" customHeight="1" x14ac:dyDescent="0.4">
      <c r="A1" s="1125"/>
      <c r="B1" s="1117" t="s">
        <v>937</v>
      </c>
      <c r="C1" s="620"/>
      <c r="D1" s="621"/>
      <c r="E1" s="620"/>
      <c r="F1" s="621"/>
      <c r="G1" s="622"/>
      <c r="H1" s="622"/>
      <c r="I1" s="622"/>
      <c r="J1" s="622"/>
      <c r="K1" s="622"/>
      <c r="L1" s="622"/>
      <c r="M1" s="622"/>
      <c r="N1" s="622"/>
      <c r="O1" s="622"/>
      <c r="P1" s="623"/>
      <c r="Q1" s="623"/>
      <c r="R1" s="623"/>
      <c r="S1" s="623"/>
      <c r="T1" s="623"/>
      <c r="U1" s="623"/>
      <c r="V1" s="623"/>
      <c r="W1" s="623"/>
      <c r="AB1" s="1324"/>
      <c r="AD1" s="1223"/>
      <c r="AE1" s="1201"/>
      <c r="AF1" s="1201"/>
      <c r="AG1" s="1201"/>
      <c r="AH1" s="1201"/>
      <c r="AI1" s="1202"/>
      <c r="AJ1" s="1202"/>
    </row>
    <row r="2" spans="1:46" s="926" customFormat="1" ht="26.15" customHeight="1" thickBot="1" x14ac:dyDescent="0.25">
      <c r="A2" s="826"/>
      <c r="B2" s="826"/>
      <c r="C2" s="826"/>
      <c r="D2" s="826"/>
      <c r="E2" s="826"/>
      <c r="F2" s="826"/>
      <c r="G2" s="826"/>
      <c r="H2" s="826"/>
      <c r="I2" s="827"/>
      <c r="J2" s="826"/>
      <c r="K2" s="826"/>
      <c r="L2" s="826"/>
      <c r="M2" s="826"/>
      <c r="N2" s="826"/>
      <c r="O2" s="826"/>
      <c r="P2" s="826"/>
      <c r="Q2" s="826"/>
      <c r="R2" s="826"/>
      <c r="S2" s="826"/>
      <c r="T2" s="826"/>
      <c r="U2" s="826"/>
      <c r="V2" s="826"/>
      <c r="W2" s="825"/>
      <c r="X2" s="1223"/>
      <c r="Y2" s="1341"/>
      <c r="Z2" s="1341"/>
      <c r="AA2" s="1341"/>
      <c r="AB2" s="1341"/>
      <c r="AC2" s="1341"/>
      <c r="AD2" s="1340"/>
      <c r="AE2" s="1318"/>
      <c r="AF2" s="1318"/>
      <c r="AG2" s="1204"/>
      <c r="AH2" s="1204"/>
      <c r="AI2" s="1204"/>
      <c r="AJ2" s="1204"/>
      <c r="AK2" s="1223"/>
      <c r="AL2" s="1365"/>
      <c r="AM2" s="1366"/>
      <c r="AN2" s="927"/>
    </row>
    <row r="3" spans="1:46" s="926" customFormat="1" ht="28" customHeight="1" thickBot="1" x14ac:dyDescent="0.4">
      <c r="A3" s="826"/>
      <c r="B3" s="1108" t="s">
        <v>769</v>
      </c>
      <c r="C3" s="1107"/>
      <c r="D3" s="1475" t="s">
        <v>1216</v>
      </c>
      <c r="E3" s="1476"/>
      <c r="F3" s="826"/>
      <c r="G3" s="826"/>
      <c r="H3" s="826"/>
      <c r="I3" s="827"/>
      <c r="J3" s="836" t="s">
        <v>522</v>
      </c>
      <c r="K3" s="837"/>
      <c r="L3" s="838"/>
      <c r="M3" s="837"/>
      <c r="N3" s="838"/>
      <c r="O3" s="839"/>
      <c r="P3" s="839"/>
      <c r="Q3" s="839"/>
      <c r="R3" s="839"/>
      <c r="S3" s="839"/>
      <c r="T3" s="839"/>
      <c r="U3" s="839"/>
      <c r="V3" s="839"/>
      <c r="W3" s="825"/>
      <c r="X3" s="1223"/>
      <c r="Y3" s="1341" t="s">
        <v>526</v>
      </c>
      <c r="Z3" s="1343">
        <f>D85*20</f>
        <v>26833.165145050705</v>
      </c>
      <c r="AA3" s="1341"/>
      <c r="AB3" s="1341"/>
      <c r="AC3" s="1341"/>
      <c r="AD3" s="1340"/>
      <c r="AE3" s="1318"/>
      <c r="AF3" s="1318"/>
      <c r="AG3" s="1319" t="s">
        <v>521</v>
      </c>
      <c r="AH3" s="1202" t="s">
        <v>933</v>
      </c>
      <c r="AI3" s="1205">
        <f>IRR(計算シート!D139:X139)*100</f>
        <v>4.9483612815025779</v>
      </c>
      <c r="AJ3" s="1206" t="s">
        <v>36</v>
      </c>
      <c r="AK3" s="1223"/>
      <c r="AN3" s="927"/>
    </row>
    <row r="4" spans="1:46" s="926" customFormat="1" ht="12.65" customHeight="1" thickBot="1" x14ac:dyDescent="0.4">
      <c r="A4" s="826"/>
      <c r="B4" s="826"/>
      <c r="C4" s="826"/>
      <c r="D4" s="826"/>
      <c r="E4" s="826"/>
      <c r="F4" s="826"/>
      <c r="G4" s="826"/>
      <c r="H4" s="826"/>
      <c r="I4" s="827"/>
      <c r="J4" s="840"/>
      <c r="K4" s="840"/>
      <c r="L4" s="840"/>
      <c r="M4" s="840"/>
      <c r="N4" s="840"/>
      <c r="O4" s="840"/>
      <c r="P4" s="840"/>
      <c r="Q4" s="839"/>
      <c r="R4" s="839"/>
      <c r="S4" s="841" t="s">
        <v>528</v>
      </c>
      <c r="T4" s="839"/>
      <c r="U4" s="839"/>
      <c r="V4" s="842"/>
      <c r="W4" s="825"/>
      <c r="X4" s="1223"/>
      <c r="Y4" s="1341" t="s">
        <v>524</v>
      </c>
      <c r="Z4" s="1223"/>
      <c r="AA4" s="1343">
        <f>SUM(C72:C74)*20</f>
        <v>29672.044875</v>
      </c>
      <c r="AB4" s="1341"/>
      <c r="AC4" s="1341"/>
      <c r="AD4" s="1340"/>
      <c r="AE4" s="1318"/>
      <c r="AF4" s="1318"/>
      <c r="AG4" s="1207" t="s">
        <v>487</v>
      </c>
      <c r="AH4" s="1208">
        <f>MIN(計算シート!D142:AH142)</f>
        <v>13</v>
      </c>
      <c r="AI4" s="1209" t="s">
        <v>132</v>
      </c>
      <c r="AJ4" s="1202"/>
      <c r="AK4" s="1223"/>
      <c r="AN4" s="927"/>
    </row>
    <row r="5" spans="1:46" s="926" customFormat="1" ht="24" x14ac:dyDescent="0.2">
      <c r="A5" s="826"/>
      <c r="B5" s="1106" t="s">
        <v>971</v>
      </c>
      <c r="C5" s="1100"/>
      <c r="D5" s="1101"/>
      <c r="E5" s="1100"/>
      <c r="F5" s="1101"/>
      <c r="G5" s="1100"/>
      <c r="H5" s="1101"/>
      <c r="I5" s="1153"/>
      <c r="J5" s="840"/>
      <c r="K5" s="840"/>
      <c r="L5" s="840"/>
      <c r="M5" s="840"/>
      <c r="N5" s="840"/>
      <c r="O5" s="840"/>
      <c r="P5" s="840"/>
      <c r="Q5" s="839"/>
      <c r="R5" s="839"/>
      <c r="S5" s="841"/>
      <c r="T5" s="1471">
        <f>計算シート!AI202/1000</f>
        <v>1880622.5625</v>
      </c>
      <c r="U5" s="1471"/>
      <c r="V5" s="841" t="s">
        <v>160</v>
      </c>
      <c r="W5" s="825"/>
      <c r="X5" s="1223"/>
      <c r="Y5" s="1344" t="s">
        <v>525</v>
      </c>
      <c r="Z5" s="1223"/>
      <c r="AA5" s="1343">
        <f>AA4</f>
        <v>29672.044875</v>
      </c>
      <c r="AB5" s="1343">
        <f>SUM(Z206:Z212)</f>
        <v>3780.2074293099095</v>
      </c>
      <c r="AC5" s="1341"/>
      <c r="AD5" s="1340"/>
      <c r="AE5" s="1318"/>
      <c r="AF5" s="1318"/>
      <c r="AG5" s="1207" t="s">
        <v>523</v>
      </c>
      <c r="AH5" s="1202"/>
      <c r="AI5" s="1207"/>
      <c r="AJ5" s="1202"/>
      <c r="AK5" s="1223"/>
      <c r="AL5" s="1371"/>
      <c r="AM5" s="1372"/>
      <c r="AN5" s="1371"/>
      <c r="AO5" s="1372"/>
      <c r="AP5" s="1373"/>
      <c r="AQ5" s="1372"/>
      <c r="AR5" s="1373"/>
      <c r="AS5" s="1372"/>
      <c r="AT5" s="1373"/>
    </row>
    <row r="6" spans="1:46" s="926" customFormat="1" ht="17.5" customHeight="1" x14ac:dyDescent="0.35">
      <c r="A6" s="826"/>
      <c r="B6" s="1141" t="s">
        <v>648</v>
      </c>
      <c r="C6" s="1267" t="s">
        <v>967</v>
      </c>
      <c r="D6" s="1142"/>
      <c r="E6" s="1102" t="s">
        <v>968</v>
      </c>
      <c r="F6" s="1103"/>
      <c r="G6" s="1102" t="s">
        <v>713</v>
      </c>
      <c r="H6" s="1104"/>
      <c r="I6" s="827"/>
      <c r="J6" s="840"/>
      <c r="K6" s="840"/>
      <c r="L6" s="840"/>
      <c r="M6" s="840"/>
      <c r="N6" s="840"/>
      <c r="O6" s="840"/>
      <c r="P6" s="840"/>
      <c r="Q6" s="839"/>
      <c r="R6" s="839"/>
      <c r="S6" s="841" t="s">
        <v>529</v>
      </c>
      <c r="T6" s="979"/>
      <c r="U6" s="979"/>
      <c r="V6" s="841"/>
      <c r="W6" s="825"/>
      <c r="X6" s="1223"/>
      <c r="Y6" s="1344" t="s">
        <v>527</v>
      </c>
      <c r="Z6" s="1345">
        <f>(Z16*T7+Z13*T5*1000)</f>
        <v>977296.85831250006</v>
      </c>
      <c r="AA6" s="1341"/>
      <c r="AB6" s="1341"/>
      <c r="AC6" s="1341"/>
      <c r="AD6" s="1340"/>
      <c r="AE6" s="1318"/>
      <c r="AF6" s="1318"/>
      <c r="AG6" s="1204"/>
      <c r="AH6" s="1208"/>
      <c r="AI6" s="1206"/>
      <c r="AJ6" s="1208"/>
      <c r="AL6" s="1374"/>
      <c r="AM6" s="1374"/>
      <c r="AN6" s="1374"/>
      <c r="AO6" s="1374"/>
      <c r="AP6" s="1374"/>
      <c r="AQ6" s="1374"/>
      <c r="AR6" s="1374"/>
      <c r="AS6" s="1374"/>
      <c r="AT6" s="1374"/>
    </row>
    <row r="7" spans="1:46" s="926" customFormat="1" ht="19" x14ac:dyDescent="0.35">
      <c r="A7" s="826"/>
      <c r="B7" s="1137" t="s">
        <v>716</v>
      </c>
      <c r="C7" s="1224">
        <v>50</v>
      </c>
      <c r="D7" s="1139" t="s">
        <v>509</v>
      </c>
      <c r="E7" s="1187">
        <v>40</v>
      </c>
      <c r="F7" s="1139" t="s">
        <v>730</v>
      </c>
      <c r="G7" s="1226">
        <v>12000</v>
      </c>
      <c r="H7" s="862" t="s">
        <v>307</v>
      </c>
      <c r="I7" s="827"/>
      <c r="J7" s="840"/>
      <c r="K7" s="840"/>
      <c r="L7" s="840"/>
      <c r="M7" s="840"/>
      <c r="N7" s="840"/>
      <c r="O7" s="840"/>
      <c r="P7" s="840"/>
      <c r="Q7" s="839"/>
      <c r="R7" s="839"/>
      <c r="S7" s="841"/>
      <c r="T7" s="1471">
        <f>計算シート!AI204/1000</f>
        <v>1044790.3125</v>
      </c>
      <c r="U7" s="1471"/>
      <c r="V7" s="841" t="s">
        <v>160</v>
      </c>
      <c r="W7" s="825"/>
      <c r="X7" s="1223"/>
      <c r="Y7" s="1341"/>
      <c r="Z7" s="1341"/>
      <c r="AA7" s="1341"/>
      <c r="AB7" s="1341"/>
      <c r="AC7" s="1341"/>
      <c r="AD7" s="1340"/>
      <c r="AE7" s="1318"/>
      <c r="AF7" s="1318"/>
      <c r="AG7" s="1204"/>
      <c r="AH7" s="1202"/>
      <c r="AI7" s="1202"/>
      <c r="AJ7" s="1205"/>
      <c r="AK7" s="1223"/>
      <c r="AL7" s="1376"/>
      <c r="AM7" s="1375"/>
      <c r="AN7" s="1378"/>
      <c r="AO7" s="1375"/>
      <c r="AP7" s="1376"/>
      <c r="AQ7" s="1375"/>
      <c r="AR7" s="1376"/>
      <c r="AS7" s="1375"/>
      <c r="AT7" s="1376"/>
    </row>
    <row r="8" spans="1:46" s="926" customFormat="1" ht="19" customHeight="1" x14ac:dyDescent="0.25">
      <c r="A8" s="826"/>
      <c r="B8" s="1138" t="s">
        <v>709</v>
      </c>
      <c r="C8" s="1225">
        <v>0</v>
      </c>
      <c r="D8" s="1140" t="s">
        <v>509</v>
      </c>
      <c r="E8" s="1188">
        <v>35</v>
      </c>
      <c r="F8" s="1139" t="s">
        <v>730</v>
      </c>
      <c r="G8" s="1227">
        <v>3000</v>
      </c>
      <c r="H8" s="863" t="s">
        <v>307</v>
      </c>
      <c r="I8" s="827"/>
      <c r="J8" s="840"/>
      <c r="K8" s="840"/>
      <c r="L8" s="840"/>
      <c r="M8" s="840"/>
      <c r="N8" s="843"/>
      <c r="O8" s="843"/>
      <c r="P8" s="839"/>
      <c r="Q8" s="839"/>
      <c r="R8" s="839"/>
      <c r="S8" s="841" t="s">
        <v>1183</v>
      </c>
      <c r="T8" s="979"/>
      <c r="U8" s="979"/>
      <c r="V8" s="841"/>
      <c r="W8" s="827"/>
      <c r="X8" s="1223"/>
      <c r="Y8" s="1340"/>
      <c r="Z8" s="1340"/>
      <c r="AA8" s="1340"/>
      <c r="AB8" s="1340"/>
      <c r="AC8" s="1340"/>
      <c r="AD8" s="1340"/>
      <c r="AE8" s="1203"/>
      <c r="AF8" s="1203"/>
      <c r="AG8" s="1320"/>
      <c r="AH8" s="1210"/>
      <c r="AI8" s="1206"/>
      <c r="AJ8" s="1210"/>
      <c r="AK8" s="1223"/>
      <c r="AL8" s="1377"/>
      <c r="AM8" s="1375"/>
      <c r="AN8" s="1378"/>
      <c r="AO8" s="1375"/>
      <c r="AP8" s="1379"/>
      <c r="AQ8" s="1375"/>
      <c r="AR8" s="1379"/>
      <c r="AS8" s="1375"/>
      <c r="AT8" s="1376"/>
    </row>
    <row r="9" spans="1:46" s="926" customFormat="1" ht="19" customHeight="1" x14ac:dyDescent="0.25">
      <c r="A9" s="826"/>
      <c r="B9" s="1137" t="s">
        <v>710</v>
      </c>
      <c r="C9" s="1225">
        <v>300</v>
      </c>
      <c r="D9" s="1139" t="s">
        <v>509</v>
      </c>
      <c r="E9" s="1188">
        <v>25</v>
      </c>
      <c r="F9" s="1139" t="s">
        <v>730</v>
      </c>
      <c r="G9" s="1228">
        <v>3000</v>
      </c>
      <c r="H9" s="1133" t="s">
        <v>307</v>
      </c>
      <c r="I9" s="848"/>
      <c r="J9" s="840"/>
      <c r="K9" s="840"/>
      <c r="L9" s="840"/>
      <c r="M9" s="840"/>
      <c r="N9" s="843"/>
      <c r="O9" s="843"/>
      <c r="P9" s="844"/>
      <c r="Q9" s="844"/>
      <c r="R9" s="844"/>
      <c r="S9" s="845"/>
      <c r="T9" s="1477">
        <f>計算シート!C140*100</f>
        <v>4.9483612815025779</v>
      </c>
      <c r="U9" s="1477"/>
      <c r="V9" s="845" t="s">
        <v>36</v>
      </c>
      <c r="W9" s="827"/>
      <c r="X9" s="1223"/>
      <c r="Y9" s="1340"/>
      <c r="Z9" s="1340"/>
      <c r="AA9" s="1340"/>
      <c r="AB9" s="1340"/>
      <c r="AC9" s="1340"/>
      <c r="AD9" s="1340"/>
      <c r="AE9" s="1203"/>
      <c r="AF9" s="1203"/>
      <c r="AG9" s="1320"/>
      <c r="AH9" s="1210"/>
      <c r="AI9" s="1206"/>
      <c r="AJ9" s="1210"/>
      <c r="AK9" s="1348"/>
      <c r="AL9" s="1377"/>
      <c r="AM9" s="1348"/>
      <c r="AN9" s="1378"/>
      <c r="AO9" s="1348"/>
      <c r="AP9" s="1379"/>
      <c r="AQ9" s="1348"/>
      <c r="AR9" s="1379"/>
      <c r="AS9" s="1348"/>
      <c r="AT9" s="1376"/>
    </row>
    <row r="10" spans="1:46" s="926" customFormat="1" ht="19" customHeight="1" x14ac:dyDescent="0.25">
      <c r="A10" s="826"/>
      <c r="B10" s="1137" t="s">
        <v>712</v>
      </c>
      <c r="C10" s="1225">
        <v>0</v>
      </c>
      <c r="D10" s="1139" t="s">
        <v>509</v>
      </c>
      <c r="E10" s="1188">
        <v>50</v>
      </c>
      <c r="F10" s="1139" t="s">
        <v>730</v>
      </c>
      <c r="G10" s="1229">
        <v>3000</v>
      </c>
      <c r="H10" s="1133" t="s">
        <v>307</v>
      </c>
      <c r="I10" s="848"/>
      <c r="J10" s="840"/>
      <c r="K10" s="840"/>
      <c r="L10" s="840"/>
      <c r="M10" s="840"/>
      <c r="N10" s="843"/>
      <c r="O10" s="843"/>
      <c r="P10" s="844"/>
      <c r="Q10" s="844"/>
      <c r="R10" s="844"/>
      <c r="S10" s="846" t="s">
        <v>487</v>
      </c>
      <c r="T10" s="980"/>
      <c r="U10" s="980"/>
      <c r="V10" s="845"/>
      <c r="W10" s="827"/>
      <c r="X10" s="1223"/>
      <c r="Y10" s="1340"/>
      <c r="Z10" s="1340"/>
      <c r="AA10" s="1340"/>
      <c r="AB10" s="1340"/>
      <c r="AC10" s="1340"/>
      <c r="AD10" s="1340"/>
      <c r="AE10" s="1203"/>
      <c r="AF10" s="1203"/>
      <c r="AG10" s="1320"/>
      <c r="AH10" s="1210"/>
      <c r="AI10" s="1206"/>
      <c r="AJ10" s="1210"/>
      <c r="AK10" s="1348"/>
      <c r="AL10" s="1377"/>
      <c r="AM10" s="1348"/>
      <c r="AN10" s="1378"/>
      <c r="AO10" s="1348"/>
      <c r="AP10" s="1379"/>
      <c r="AQ10" s="1348"/>
      <c r="AR10" s="1379"/>
      <c r="AS10" s="1348"/>
      <c r="AT10" s="1376"/>
    </row>
    <row r="11" spans="1:46" s="926" customFormat="1" ht="19" customHeight="1" x14ac:dyDescent="0.25">
      <c r="A11" s="826"/>
      <c r="B11" s="1137" t="s">
        <v>715</v>
      </c>
      <c r="C11" s="1225">
        <v>0</v>
      </c>
      <c r="D11" s="1139" t="s">
        <v>509</v>
      </c>
      <c r="E11" s="1188">
        <v>10</v>
      </c>
      <c r="F11" s="1139" t="s">
        <v>730</v>
      </c>
      <c r="G11" s="1229">
        <v>32000</v>
      </c>
      <c r="H11" s="1133" t="s">
        <v>307</v>
      </c>
      <c r="I11" s="827"/>
      <c r="J11" s="840"/>
      <c r="K11" s="840"/>
      <c r="L11" s="840"/>
      <c r="M11" s="840"/>
      <c r="N11" s="843"/>
      <c r="O11" s="843"/>
      <c r="P11" s="844"/>
      <c r="Q11" s="844"/>
      <c r="R11" s="844"/>
      <c r="S11" s="845"/>
      <c r="T11" s="1473">
        <f>MIN(計算シート!D142:AG142)</f>
        <v>13</v>
      </c>
      <c r="U11" s="1473"/>
      <c r="V11" s="846" t="s">
        <v>132</v>
      </c>
      <c r="W11" s="825"/>
      <c r="X11" s="1223"/>
      <c r="Y11" s="1341"/>
      <c r="Z11" s="1341"/>
      <c r="AA11" s="1341"/>
      <c r="AB11" s="1341"/>
      <c r="AC11" s="1341"/>
      <c r="AD11" s="1340"/>
      <c r="AE11" s="1318"/>
      <c r="AF11" s="1318"/>
      <c r="AG11" s="1320"/>
      <c r="AH11" s="1210"/>
      <c r="AI11" s="1206"/>
      <c r="AJ11" s="1210"/>
      <c r="AK11" s="1348"/>
      <c r="AL11" s="1377"/>
      <c r="AM11" s="1348"/>
      <c r="AN11" s="1378"/>
      <c r="AO11" s="1348"/>
      <c r="AP11" s="1379"/>
      <c r="AQ11" s="1348"/>
      <c r="AR11" s="1379"/>
      <c r="AS11" s="1348"/>
      <c r="AT11" s="1376"/>
    </row>
    <row r="12" spans="1:46" s="926" customFormat="1" ht="19" customHeight="1" x14ac:dyDescent="0.25">
      <c r="A12" s="826"/>
      <c r="B12" s="1280"/>
      <c r="C12" s="1270"/>
      <c r="D12" s="1281"/>
      <c r="E12" s="1282"/>
      <c r="F12" s="1281"/>
      <c r="G12" s="1282"/>
      <c r="H12" s="1283"/>
      <c r="I12" s="827"/>
      <c r="J12" s="840"/>
      <c r="K12" s="840"/>
      <c r="L12" s="840"/>
      <c r="M12" s="840"/>
      <c r="N12" s="843"/>
      <c r="O12" s="843"/>
      <c r="P12" s="839"/>
      <c r="Q12" s="839"/>
      <c r="R12" s="839"/>
      <c r="S12" s="846" t="s">
        <v>1002</v>
      </c>
      <c r="T12" s="980"/>
      <c r="U12" s="980"/>
      <c r="V12" s="845"/>
      <c r="W12" s="827"/>
      <c r="X12" s="1223"/>
      <c r="Y12" s="1340"/>
      <c r="Z12" s="1340"/>
      <c r="AA12" s="1340"/>
      <c r="AB12" s="1340"/>
      <c r="AC12" s="1340"/>
      <c r="AD12" s="1340"/>
      <c r="AE12" s="1203"/>
      <c r="AF12" s="1203"/>
      <c r="AG12" s="1320"/>
      <c r="AH12" s="1210"/>
      <c r="AI12" s="1206"/>
      <c r="AJ12" s="1210"/>
      <c r="AK12" s="1348"/>
      <c r="AL12" s="1377"/>
      <c r="AM12" s="1348"/>
      <c r="AN12" s="1378"/>
      <c r="AO12" s="1348"/>
      <c r="AP12" s="1379"/>
      <c r="AQ12" s="1348"/>
      <c r="AR12" s="1379"/>
      <c r="AS12" s="1348"/>
      <c r="AT12" s="1376"/>
    </row>
    <row r="13" spans="1:46" s="926" customFormat="1" ht="19" x14ac:dyDescent="0.25">
      <c r="A13" s="826"/>
      <c r="B13" s="1280" t="s">
        <v>69</v>
      </c>
      <c r="C13" s="1310">
        <f>SUM(C6:C12)</f>
        <v>350</v>
      </c>
      <c r="D13" s="1281" t="s">
        <v>509</v>
      </c>
      <c r="E13" s="1308"/>
      <c r="F13" s="1309"/>
      <c r="G13" s="1308"/>
      <c r="H13" s="1311"/>
      <c r="I13" s="827"/>
      <c r="J13" s="840"/>
      <c r="K13" s="840"/>
      <c r="L13" s="840"/>
      <c r="M13" s="840"/>
      <c r="N13" s="843"/>
      <c r="O13" s="843"/>
      <c r="P13" s="844"/>
      <c r="Q13" s="844"/>
      <c r="R13" s="844"/>
      <c r="S13" s="845"/>
      <c r="T13" s="1471">
        <f>AB5</f>
        <v>3780.2074293099095</v>
      </c>
      <c r="U13" s="1471"/>
      <c r="V13" s="846" t="s">
        <v>297</v>
      </c>
      <c r="W13" s="827"/>
      <c r="X13" s="1223"/>
      <c r="Y13" s="1342" t="s">
        <v>619</v>
      </c>
      <c r="Z13" s="1340">
        <v>4.8799999999999999E-4</v>
      </c>
      <c r="AA13" s="1223" t="s">
        <v>620</v>
      </c>
      <c r="AB13" s="1340" t="s">
        <v>616</v>
      </c>
      <c r="AC13" s="1340"/>
      <c r="AD13" s="1340"/>
      <c r="AE13" s="1203"/>
      <c r="AF13" s="1203"/>
      <c r="AG13" s="1206"/>
      <c r="AH13" s="1211"/>
      <c r="AI13" s="1212"/>
      <c r="AJ13" s="1203"/>
      <c r="AK13" s="1348"/>
      <c r="AL13" s="1376"/>
      <c r="AM13" s="1348"/>
      <c r="AN13" s="1379"/>
      <c r="AO13" s="1348"/>
      <c r="AP13" s="1379"/>
      <c r="AQ13" s="1348"/>
      <c r="AR13" s="1379"/>
      <c r="AS13" s="1348"/>
      <c r="AT13" s="1376"/>
    </row>
    <row r="14" spans="1:46" s="926" customFormat="1" ht="17.5" x14ac:dyDescent="0.25">
      <c r="A14" s="826"/>
      <c r="B14" s="1295"/>
      <c r="C14" s="1296"/>
      <c r="D14" s="1297"/>
      <c r="E14" s="1298"/>
      <c r="F14" s="1299"/>
      <c r="G14" s="1298"/>
      <c r="H14" s="1300" t="s">
        <v>1062</v>
      </c>
      <c r="I14" s="827"/>
      <c r="J14" s="840"/>
      <c r="K14" s="840"/>
      <c r="L14" s="840"/>
      <c r="M14" s="840"/>
      <c r="N14" s="843"/>
      <c r="O14" s="843"/>
      <c r="P14" s="844"/>
      <c r="Q14" s="844"/>
      <c r="R14" s="844"/>
      <c r="S14" s="845" t="s">
        <v>533</v>
      </c>
      <c r="T14" s="980"/>
      <c r="U14" s="980"/>
      <c r="V14" s="845"/>
      <c r="W14" s="827"/>
      <c r="X14" s="1223"/>
      <c r="Y14" s="1342"/>
      <c r="Z14" s="1340"/>
      <c r="AA14" s="1223"/>
      <c r="AB14" s="1340"/>
      <c r="AC14" s="1340"/>
      <c r="AD14" s="1340"/>
      <c r="AE14" s="1203"/>
      <c r="AF14" s="1203"/>
      <c r="AG14" s="1206"/>
      <c r="AH14" s="1211"/>
      <c r="AI14" s="1212"/>
      <c r="AJ14" s="1203"/>
      <c r="AK14" s="1223"/>
      <c r="AL14" s="1376"/>
      <c r="AM14" s="1375"/>
      <c r="AN14" s="1379"/>
      <c r="AO14" s="1375"/>
      <c r="AP14" s="1379"/>
      <c r="AQ14" s="1375"/>
      <c r="AR14" s="1379"/>
      <c r="AS14" s="1375"/>
      <c r="AT14" s="1376"/>
    </row>
    <row r="15" spans="1:46" s="926" customFormat="1" ht="19.5" thickBot="1" x14ac:dyDescent="0.3">
      <c r="A15" s="826"/>
      <c r="B15" s="1306"/>
      <c r="C15" s="1284"/>
      <c r="D15" s="1307"/>
      <c r="E15" s="1286"/>
      <c r="F15" s="1287"/>
      <c r="G15" s="1286"/>
      <c r="H15" s="1288" t="s">
        <v>969</v>
      </c>
      <c r="I15" s="827"/>
      <c r="J15" s="978" t="s">
        <v>627</v>
      </c>
      <c r="K15" s="840"/>
      <c r="L15" s="840"/>
      <c r="M15" s="840"/>
      <c r="N15" s="843"/>
      <c r="O15" s="843"/>
      <c r="P15" s="844"/>
      <c r="Q15" s="844"/>
      <c r="R15" s="844"/>
      <c r="S15" s="845"/>
      <c r="T15" s="1471">
        <f>Z6</f>
        <v>977296.85831250006</v>
      </c>
      <c r="U15" s="1471"/>
      <c r="V15" s="846" t="s">
        <v>532</v>
      </c>
      <c r="W15" s="827"/>
      <c r="X15" s="1223"/>
      <c r="Y15" s="1342"/>
      <c r="Z15" s="1340"/>
      <c r="AA15" s="1223"/>
      <c r="AB15" s="1340"/>
      <c r="AC15" s="1340"/>
      <c r="AD15" s="1340"/>
      <c r="AE15" s="1203"/>
      <c r="AF15" s="1203"/>
      <c r="AG15" s="1206"/>
      <c r="AH15" s="1211"/>
      <c r="AI15" s="1212"/>
      <c r="AJ15" s="1203"/>
      <c r="AK15" s="1223"/>
      <c r="AL15" s="1376"/>
      <c r="AM15" s="1375"/>
      <c r="AN15" s="1379"/>
      <c r="AO15" s="1375"/>
      <c r="AP15" s="1379"/>
      <c r="AQ15" s="1375"/>
      <c r="AR15" s="1379"/>
      <c r="AS15" s="1375"/>
      <c r="AT15" s="1376"/>
    </row>
    <row r="16" spans="1:46" s="926" customFormat="1" ht="18.5" customHeight="1" thickBot="1" x14ac:dyDescent="0.25">
      <c r="A16" s="826"/>
      <c r="B16" s="1304"/>
      <c r="C16" s="1296"/>
      <c r="D16" s="1305"/>
      <c r="E16" s="1298"/>
      <c r="F16" s="1299"/>
      <c r="G16" s="1298"/>
      <c r="H16" s="1299"/>
      <c r="I16" s="827"/>
      <c r="J16" s="978"/>
      <c r="K16" s="840"/>
      <c r="L16" s="840"/>
      <c r="M16" s="840"/>
      <c r="N16" s="840"/>
      <c r="O16" s="840"/>
      <c r="P16" s="840"/>
      <c r="Q16" s="840"/>
      <c r="R16" s="840"/>
      <c r="S16" s="840"/>
      <c r="T16" s="840"/>
      <c r="U16" s="840"/>
      <c r="V16" s="840"/>
      <c r="W16" s="827"/>
      <c r="X16" s="1223"/>
      <c r="Y16" s="1342" t="s">
        <v>618</v>
      </c>
      <c r="Z16" s="1340">
        <v>5.7000000000000002E-2</v>
      </c>
      <c r="AA16" s="1223" t="s">
        <v>621</v>
      </c>
      <c r="AB16" s="1340" t="s">
        <v>617</v>
      </c>
      <c r="AC16" s="1340"/>
      <c r="AD16" s="1340"/>
      <c r="AE16" s="1203"/>
      <c r="AF16" s="1203"/>
      <c r="AG16" s="1321"/>
      <c r="AH16" s="1211"/>
      <c r="AI16" s="1212"/>
      <c r="AJ16" s="1203"/>
      <c r="AK16" s="1223"/>
      <c r="AL16" s="1376"/>
      <c r="AM16" s="1375"/>
      <c r="AN16" s="1379"/>
      <c r="AO16" s="1375"/>
      <c r="AP16" s="1379"/>
      <c r="AQ16" s="1375"/>
      <c r="AR16" s="1379"/>
      <c r="AS16" s="1375"/>
      <c r="AT16" s="1376"/>
    </row>
    <row r="17" spans="1:46" s="926" customFormat="1" ht="18.5" customHeight="1" x14ac:dyDescent="0.2">
      <c r="A17" s="826"/>
      <c r="B17" s="1248" t="s">
        <v>943</v>
      </c>
      <c r="C17" s="1243"/>
      <c r="D17" s="1243"/>
      <c r="E17" s="1250"/>
      <c r="F17" s="1251"/>
      <c r="G17" s="1243"/>
      <c r="H17" s="1244"/>
      <c r="I17" s="827"/>
      <c r="J17" s="833"/>
      <c r="K17" s="833"/>
      <c r="L17" s="833"/>
      <c r="M17" s="833"/>
      <c r="N17" s="834"/>
      <c r="O17" s="834"/>
      <c r="P17" s="834"/>
      <c r="Q17" s="833"/>
      <c r="R17" s="833"/>
      <c r="S17" s="833"/>
      <c r="T17" s="833"/>
      <c r="U17" s="833"/>
      <c r="V17" s="833"/>
      <c r="W17" s="827"/>
      <c r="X17" s="1223"/>
      <c r="Y17" s="1342"/>
      <c r="Z17" s="1340"/>
      <c r="AA17" s="1223"/>
      <c r="AB17" s="1340"/>
      <c r="AC17" s="1340"/>
      <c r="AD17" s="1340"/>
      <c r="AE17" s="1203"/>
      <c r="AF17" s="1203"/>
      <c r="AG17" s="1321"/>
      <c r="AH17" s="1211"/>
      <c r="AI17" s="1212"/>
      <c r="AJ17" s="1203"/>
      <c r="AK17" s="1223"/>
      <c r="AL17" s="1376"/>
      <c r="AM17" s="1375"/>
      <c r="AN17" s="1379"/>
      <c r="AO17" s="1375"/>
      <c r="AP17" s="1379"/>
      <c r="AQ17" s="1375"/>
      <c r="AR17" s="1379"/>
      <c r="AS17" s="1375"/>
      <c r="AT17" s="1376"/>
    </row>
    <row r="18" spans="1:46" s="926" customFormat="1" ht="18.5" customHeight="1" x14ac:dyDescent="0.2">
      <c r="A18" s="826"/>
      <c r="B18" s="1249" t="s">
        <v>941</v>
      </c>
      <c r="C18" s="1245">
        <f>入門シート換算!E36</f>
        <v>13191.796875</v>
      </c>
      <c r="D18" s="1252" t="s">
        <v>508</v>
      </c>
      <c r="E18" s="1478" t="s">
        <v>942</v>
      </c>
      <c r="F18" s="1479"/>
      <c r="G18" s="1245">
        <f>C18*C51*C52</f>
        <v>104479031.25</v>
      </c>
      <c r="H18" s="1246" t="s">
        <v>243</v>
      </c>
      <c r="I18" s="827"/>
      <c r="J18" s="826"/>
      <c r="K18" s="826"/>
      <c r="L18" s="826"/>
      <c r="M18" s="826"/>
      <c r="N18" s="826"/>
      <c r="O18" s="826"/>
      <c r="P18" s="826"/>
      <c r="Q18" s="826"/>
      <c r="R18" s="826"/>
      <c r="S18" s="826"/>
      <c r="T18" s="826"/>
      <c r="U18" s="826"/>
      <c r="V18" s="826"/>
      <c r="W18" s="827"/>
      <c r="X18" s="1223"/>
      <c r="Y18" s="1340"/>
      <c r="Z18" s="1340"/>
      <c r="AA18" s="1340"/>
      <c r="AB18" s="1340"/>
      <c r="AC18" s="1340"/>
      <c r="AD18" s="1340"/>
      <c r="AE18" s="1203"/>
      <c r="AF18" s="1203"/>
      <c r="AG18" s="1203"/>
      <c r="AH18" s="1211"/>
      <c r="AI18" s="1212"/>
      <c r="AJ18" s="1203"/>
      <c r="AK18" s="1223"/>
      <c r="AL18" s="1376"/>
      <c r="AM18" s="1375"/>
      <c r="AN18" s="1379"/>
      <c r="AO18" s="1375"/>
      <c r="AP18" s="1379"/>
      <c r="AQ18" s="1375"/>
      <c r="AR18" s="1379"/>
      <c r="AS18" s="1375"/>
      <c r="AT18" s="1376"/>
    </row>
    <row r="19" spans="1:46" s="926" customFormat="1" ht="18.5" customHeight="1" thickBot="1" x14ac:dyDescent="0.25">
      <c r="A19" s="826"/>
      <c r="B19" s="1249" t="s">
        <v>944</v>
      </c>
      <c r="C19" s="1245">
        <f>入門シート換算!E37/3.6</f>
        <v>26383.59375</v>
      </c>
      <c r="D19" s="1252" t="s">
        <v>508</v>
      </c>
      <c r="E19" s="1480" t="s">
        <v>949</v>
      </c>
      <c r="F19" s="1481"/>
      <c r="G19" s="1230">
        <f>C19*C51*C52</f>
        <v>208958062.5</v>
      </c>
      <c r="H19" s="1247" t="s">
        <v>243</v>
      </c>
      <c r="I19" s="827"/>
      <c r="J19" s="1466" t="s">
        <v>1184</v>
      </c>
      <c r="K19" s="866"/>
      <c r="L19" s="866"/>
      <c r="M19" s="866"/>
      <c r="N19" s="866"/>
      <c r="O19" s="866"/>
      <c r="P19" s="866"/>
      <c r="Q19" s="866"/>
      <c r="R19" s="866"/>
      <c r="S19" s="866"/>
      <c r="T19" s="866"/>
      <c r="U19" s="866"/>
      <c r="V19" s="867"/>
      <c r="W19" s="827"/>
      <c r="X19" s="1223"/>
      <c r="Y19" s="1340"/>
      <c r="Z19" s="1340"/>
      <c r="AA19" s="1340"/>
      <c r="AB19" s="1340"/>
      <c r="AC19" s="1340"/>
      <c r="AD19" s="1340"/>
      <c r="AE19" s="1203"/>
      <c r="AF19" s="1203"/>
      <c r="AG19" s="1203"/>
      <c r="AH19" s="1211"/>
      <c r="AI19" s="1212"/>
      <c r="AJ19" s="1203"/>
      <c r="AK19" s="1223"/>
      <c r="AL19" s="1376"/>
      <c r="AM19" s="1375"/>
      <c r="AN19" s="1379"/>
      <c r="AO19" s="1375"/>
      <c r="AP19" s="1379"/>
      <c r="AQ19" s="1375"/>
      <c r="AR19" s="1379"/>
      <c r="AS19" s="1375"/>
      <c r="AT19" s="1376"/>
    </row>
    <row r="20" spans="1:46" s="926" customFormat="1" ht="18.5" customHeight="1" thickBot="1" x14ac:dyDescent="0.25">
      <c r="A20" s="826"/>
      <c r="B20" s="1325" t="s">
        <v>983</v>
      </c>
      <c r="C20" s="1484" t="str">
        <f>IF(D3="BTG","40℃温水（復水）","70～80℃温水")</f>
        <v>40℃温水（復水）</v>
      </c>
      <c r="D20" s="1485"/>
      <c r="E20" s="827"/>
      <c r="F20" s="827"/>
      <c r="G20" s="827"/>
      <c r="H20" s="1390" t="s">
        <v>1071</v>
      </c>
      <c r="I20" s="827"/>
      <c r="J20" s="1464" t="s">
        <v>1195</v>
      </c>
      <c r="K20" s="864"/>
      <c r="L20" s="864"/>
      <c r="M20" s="864"/>
      <c r="N20" s="864"/>
      <c r="O20" s="864"/>
      <c r="P20" s="864"/>
      <c r="Q20" s="864"/>
      <c r="R20" s="864"/>
      <c r="S20" s="864"/>
      <c r="T20" s="864"/>
      <c r="U20" s="864"/>
      <c r="V20" s="869"/>
      <c r="W20" s="827"/>
      <c r="X20" s="1223"/>
      <c r="Y20" s="1340"/>
      <c r="Z20" s="1340"/>
      <c r="AA20" s="1340"/>
      <c r="AB20" s="1340"/>
      <c r="AC20" s="1340"/>
      <c r="AD20" s="1340"/>
      <c r="AE20" s="1203"/>
      <c r="AF20" s="1203"/>
      <c r="AG20" s="1203"/>
      <c r="AH20" s="1211"/>
      <c r="AI20" s="1212"/>
      <c r="AJ20" s="1203"/>
      <c r="AK20" s="1223"/>
    </row>
    <row r="21" spans="1:46" s="926" customFormat="1" ht="18.5" customHeight="1" x14ac:dyDescent="0.35">
      <c r="A21" s="826"/>
      <c r="B21" s="1010"/>
      <c r="C21" s="1010"/>
      <c r="D21" s="1301"/>
      <c r="E21" s="827"/>
      <c r="F21" s="827"/>
      <c r="G21" s="827"/>
      <c r="H21" s="1338" t="str">
        <f>"※年間稼働日数を"&amp;TEXT(C51,0)&amp;"日、1日の稼働時間を"&amp;TEXT(C52,0)&amp;"時間として試算"</f>
        <v>※年間稼働日数を330日、1日の稼働時間を24時間として試算</v>
      </c>
      <c r="I21" s="827"/>
      <c r="J21" s="1465" t="s">
        <v>1196</v>
      </c>
      <c r="K21" s="864"/>
      <c r="L21" s="864"/>
      <c r="M21" s="864"/>
      <c r="N21" s="864"/>
      <c r="O21" s="864"/>
      <c r="P21" s="864"/>
      <c r="Q21" s="864"/>
      <c r="R21" s="864"/>
      <c r="S21" s="864"/>
      <c r="T21" s="864"/>
      <c r="U21" s="864"/>
      <c r="V21" s="869"/>
      <c r="W21" s="827"/>
      <c r="X21" s="1223"/>
      <c r="Y21" s="1346"/>
      <c r="Z21" s="1347"/>
      <c r="AA21" s="1348"/>
      <c r="AB21" s="1340"/>
      <c r="AC21" s="1340"/>
      <c r="AD21" s="1340"/>
      <c r="AE21" s="1203"/>
      <c r="AF21" s="1203"/>
      <c r="AG21" s="1203"/>
      <c r="AH21" s="1211"/>
      <c r="AI21" s="1212"/>
      <c r="AJ21" s="1203"/>
      <c r="AK21" s="1223"/>
    </row>
    <row r="22" spans="1:46" s="926" customFormat="1" ht="18.5" customHeight="1" thickBot="1" x14ac:dyDescent="0.4">
      <c r="A22" s="826"/>
      <c r="B22" s="826"/>
      <c r="C22" s="826"/>
      <c r="D22" s="826"/>
      <c r="E22" s="827"/>
      <c r="F22" s="827"/>
      <c r="G22" s="827"/>
      <c r="H22" s="827"/>
      <c r="I22" s="827"/>
      <c r="J22" s="1465" t="s">
        <v>1180</v>
      </c>
      <c r="K22" s="864"/>
      <c r="L22" s="864"/>
      <c r="M22" s="864"/>
      <c r="N22" s="864"/>
      <c r="O22" s="864"/>
      <c r="P22" s="864"/>
      <c r="Q22" s="864"/>
      <c r="R22" s="864"/>
      <c r="S22" s="864"/>
      <c r="T22" s="864"/>
      <c r="U22" s="864"/>
      <c r="V22" s="869"/>
      <c r="W22" s="827"/>
      <c r="X22" s="1223"/>
      <c r="Y22" s="1346"/>
      <c r="Z22" s="1347"/>
      <c r="AA22" s="1348"/>
      <c r="AB22" s="1340"/>
      <c r="AC22" s="1340"/>
      <c r="AD22" s="1340"/>
      <c r="AE22" s="1203"/>
      <c r="AF22" s="1203"/>
      <c r="AG22" s="1203"/>
      <c r="AH22" s="1211"/>
      <c r="AI22" s="1212"/>
      <c r="AJ22" s="1203"/>
      <c r="AK22" s="1223"/>
    </row>
    <row r="23" spans="1:46" s="921" customFormat="1" ht="27" customHeight="1" x14ac:dyDescent="0.3">
      <c r="A23" s="834"/>
      <c r="B23" s="1025" t="s">
        <v>940</v>
      </c>
      <c r="C23" s="1026"/>
      <c r="D23" s="1027"/>
      <c r="E23" s="1026"/>
      <c r="F23" s="1027"/>
      <c r="G23" s="1026"/>
      <c r="H23" s="1028"/>
      <c r="I23" s="833"/>
      <c r="J23" s="1465" t="s">
        <v>1200</v>
      </c>
      <c r="K23" s="864"/>
      <c r="L23" s="864"/>
      <c r="M23" s="864"/>
      <c r="N23" s="864"/>
      <c r="O23" s="864"/>
      <c r="P23" s="864"/>
      <c r="Q23" s="864"/>
      <c r="R23" s="864"/>
      <c r="S23" s="864"/>
      <c r="T23" s="864"/>
      <c r="U23" s="864"/>
      <c r="V23" s="869"/>
      <c r="W23" s="833"/>
      <c r="X23" s="1219"/>
      <c r="Y23" s="1216"/>
      <c r="Z23" s="1216"/>
      <c r="AA23" s="1216"/>
      <c r="AB23" s="1216"/>
      <c r="AC23" s="1216"/>
      <c r="AD23" s="1216"/>
      <c r="AE23" s="1213"/>
      <c r="AF23" s="1213"/>
      <c r="AG23" s="1213"/>
      <c r="AH23" s="1214"/>
      <c r="AI23" s="1215"/>
      <c r="AJ23" s="1213"/>
      <c r="AK23" s="1219"/>
    </row>
    <row r="24" spans="1:46" s="921" customFormat="1" ht="20.5" thickBot="1" x14ac:dyDescent="0.4">
      <c r="A24" s="834"/>
      <c r="B24" s="1105" t="s">
        <v>938</v>
      </c>
      <c r="C24" s="1013"/>
      <c r="D24" s="1013"/>
      <c r="E24" s="1013"/>
      <c r="F24" s="1013"/>
      <c r="G24" s="1013"/>
      <c r="H24" s="1029"/>
      <c r="I24" s="833"/>
      <c r="J24" s="1464" t="s">
        <v>1181</v>
      </c>
      <c r="K24" s="864"/>
      <c r="L24" s="864"/>
      <c r="M24" s="864"/>
      <c r="N24" s="864"/>
      <c r="O24" s="864"/>
      <c r="P24" s="864"/>
      <c r="Q24" s="864"/>
      <c r="R24" s="864"/>
      <c r="S24" s="864"/>
      <c r="T24" s="864"/>
      <c r="U24" s="864"/>
      <c r="V24" s="869"/>
      <c r="W24" s="833"/>
      <c r="X24" s="1219"/>
      <c r="Y24" s="1216"/>
      <c r="Z24" s="1216"/>
      <c r="AA24" s="1216"/>
      <c r="AB24" s="1216"/>
      <c r="AC24" s="1216"/>
      <c r="AD24" s="1216"/>
      <c r="AE24" s="1213"/>
      <c r="AF24" s="1213"/>
      <c r="AG24" s="1213"/>
      <c r="AH24" s="1214"/>
      <c r="AI24" s="1215"/>
      <c r="AJ24" s="1213"/>
      <c r="AK24" s="1219"/>
    </row>
    <row r="25" spans="1:46" s="921" customFormat="1" ht="20.5" thickBot="1" x14ac:dyDescent="0.4">
      <c r="A25" s="834"/>
      <c r="B25" s="1015"/>
      <c r="C25" s="1013"/>
      <c r="D25" s="1143" t="s">
        <v>648</v>
      </c>
      <c r="E25" s="890" t="s">
        <v>645</v>
      </c>
      <c r="F25" s="1084"/>
      <c r="G25" s="830" t="s">
        <v>928</v>
      </c>
      <c r="H25" s="1016"/>
      <c r="I25" s="833"/>
      <c r="J25" s="1465" t="s">
        <v>1182</v>
      </c>
      <c r="K25" s="864"/>
      <c r="L25" s="864"/>
      <c r="M25" s="864"/>
      <c r="N25" s="864"/>
      <c r="O25" s="864"/>
      <c r="P25" s="864"/>
      <c r="Q25" s="864"/>
      <c r="R25" s="864"/>
      <c r="S25" s="864"/>
      <c r="T25" s="864"/>
      <c r="U25" s="864"/>
      <c r="V25" s="869"/>
      <c r="W25" s="833"/>
      <c r="X25" s="1219"/>
      <c r="Y25" s="1216"/>
      <c r="Z25" s="1216"/>
      <c r="AA25" s="1216"/>
      <c r="AB25" s="1216"/>
      <c r="AC25" s="1216"/>
      <c r="AD25" s="1216"/>
      <c r="AE25" s="1213"/>
      <c r="AF25" s="1213"/>
      <c r="AG25" s="1213"/>
      <c r="AH25" s="1214"/>
      <c r="AI25" s="1215"/>
      <c r="AJ25" s="1213"/>
      <c r="AK25" s="1219"/>
    </row>
    <row r="26" spans="1:46" s="921" customFormat="1" ht="20" x14ac:dyDescent="0.35">
      <c r="A26" s="834"/>
      <c r="B26" s="1018" t="s">
        <v>818</v>
      </c>
      <c r="C26" s="1013"/>
      <c r="D26" s="1137" t="s">
        <v>716</v>
      </c>
      <c r="E26" s="901">
        <f>入門シート換算!H14</f>
        <v>0</v>
      </c>
      <c r="F26" s="1139" t="s">
        <v>509</v>
      </c>
      <c r="G26" s="1189">
        <v>40</v>
      </c>
      <c r="H26" s="1017" t="s">
        <v>727</v>
      </c>
      <c r="I26" s="833"/>
      <c r="J26" s="868"/>
      <c r="K26" s="864"/>
      <c r="L26" s="864"/>
      <c r="M26" s="864"/>
      <c r="N26" s="864"/>
      <c r="O26" s="864"/>
      <c r="P26" s="864"/>
      <c r="Q26" s="864"/>
      <c r="R26" s="864"/>
      <c r="S26" s="864"/>
      <c r="T26" s="864"/>
      <c r="U26" s="864"/>
      <c r="V26" s="869"/>
      <c r="W26" s="833"/>
      <c r="X26" s="1216"/>
      <c r="Y26" s="1216"/>
      <c r="Z26" s="1216"/>
      <c r="AA26" s="1216"/>
      <c r="AB26" s="1216"/>
      <c r="AC26" s="1216"/>
      <c r="AD26" s="1216"/>
      <c r="AE26" s="1213"/>
      <c r="AF26" s="1213"/>
      <c r="AG26" s="1213"/>
      <c r="AH26" s="1214"/>
      <c r="AI26" s="1215"/>
      <c r="AJ26" s="1213"/>
      <c r="AK26" s="1219"/>
    </row>
    <row r="27" spans="1:46" ht="20.5" thickBot="1" x14ac:dyDescent="0.4">
      <c r="A27" s="826"/>
      <c r="B27" s="1186"/>
      <c r="C27" s="1013"/>
      <c r="D27" s="1138" t="s">
        <v>709</v>
      </c>
      <c r="E27" s="901">
        <f>入門シート換算!H15</f>
        <v>0</v>
      </c>
      <c r="F27" s="1140" t="s">
        <v>509</v>
      </c>
      <c r="G27" s="1189">
        <v>35</v>
      </c>
      <c r="H27" s="1019" t="s">
        <v>727</v>
      </c>
      <c r="I27" s="833"/>
      <c r="J27" s="1380"/>
      <c r="K27" s="1380"/>
      <c r="L27" s="1380"/>
      <c r="M27" s="1380"/>
      <c r="N27" s="1380"/>
      <c r="O27" s="1380"/>
      <c r="P27" s="1380"/>
      <c r="Q27" s="1380"/>
      <c r="R27" s="1380"/>
      <c r="S27" s="1380"/>
      <c r="T27" s="1380"/>
      <c r="U27" s="1380"/>
      <c r="V27" s="1380"/>
      <c r="W27" s="827"/>
      <c r="X27" s="1341"/>
      <c r="Y27" s="1341"/>
      <c r="AE27" s="1322"/>
      <c r="AF27" s="1322"/>
      <c r="AG27" s="1204"/>
      <c r="AH27" s="1204"/>
      <c r="AI27" s="1204"/>
      <c r="AJ27" s="1204"/>
    </row>
    <row r="28" spans="1:46" ht="20" x14ac:dyDescent="0.35">
      <c r="A28" s="826"/>
      <c r="B28" s="1018" t="s">
        <v>980</v>
      </c>
      <c r="C28" s="1013"/>
      <c r="D28" s="1137" t="s">
        <v>710</v>
      </c>
      <c r="E28" s="1135">
        <f>入門シート換算!H16</f>
        <v>0</v>
      </c>
      <c r="F28" s="1139" t="s">
        <v>509</v>
      </c>
      <c r="G28" s="1190">
        <v>25</v>
      </c>
      <c r="H28" s="1136" t="s">
        <v>727</v>
      </c>
      <c r="I28" s="833"/>
      <c r="J28" s="1467"/>
      <c r="K28" s="1467"/>
      <c r="L28" s="1467"/>
      <c r="M28" s="1467"/>
      <c r="N28" s="1467"/>
      <c r="O28" s="1467"/>
      <c r="P28" s="1467"/>
      <c r="Q28" s="1467"/>
      <c r="R28" s="1467"/>
      <c r="S28" s="1467"/>
      <c r="T28" s="1467"/>
      <c r="U28" s="1467"/>
      <c r="V28" s="1467"/>
      <c r="W28" s="827"/>
      <c r="X28" s="1341"/>
      <c r="Y28" s="1341"/>
      <c r="AE28" s="1322"/>
      <c r="AF28" s="1322"/>
      <c r="AG28" s="1204"/>
      <c r="AH28" s="1204"/>
      <c r="AI28" s="1204"/>
      <c r="AJ28" s="1204"/>
    </row>
    <row r="29" spans="1:46" ht="20.5" thickBot="1" x14ac:dyDescent="0.4">
      <c r="A29" s="826"/>
      <c r="B29" s="1186"/>
      <c r="C29" s="1013"/>
      <c r="D29" s="1144" t="s">
        <v>711</v>
      </c>
      <c r="E29" s="1134">
        <f>入門シート換算!H17</f>
        <v>0</v>
      </c>
      <c r="F29" s="1140" t="s">
        <v>509</v>
      </c>
      <c r="G29" s="1191">
        <v>50</v>
      </c>
      <c r="H29" s="1019" t="s">
        <v>727</v>
      </c>
      <c r="I29" s="833"/>
      <c r="J29" s="552" t="s">
        <v>1039</v>
      </c>
      <c r="K29" s="552"/>
      <c r="L29" s="552"/>
      <c r="M29" s="552"/>
      <c r="V29" s="1381"/>
      <c r="W29" s="827"/>
      <c r="X29" s="1341"/>
      <c r="Y29" s="1341"/>
      <c r="AE29" s="1322"/>
      <c r="AF29" s="1322"/>
      <c r="AG29" s="1204"/>
      <c r="AH29" s="1204"/>
      <c r="AI29" s="1204"/>
      <c r="AJ29" s="1204"/>
    </row>
    <row r="30" spans="1:46" ht="20" customHeight="1" x14ac:dyDescent="0.35">
      <c r="A30" s="1315"/>
      <c r="B30" s="1314"/>
      <c r="C30" s="1013"/>
      <c r="D30" s="1145" t="s">
        <v>714</v>
      </c>
      <c r="E30" s="901">
        <f>入門シート換算!H18</f>
        <v>0</v>
      </c>
      <c r="F30" s="1140" t="s">
        <v>509</v>
      </c>
      <c r="G30" s="1189">
        <v>10</v>
      </c>
      <c r="H30" s="1019" t="s">
        <v>727</v>
      </c>
      <c r="I30" s="833"/>
      <c r="J30" s="552" t="s">
        <v>1041</v>
      </c>
      <c r="K30" s="552"/>
      <c r="L30" s="552"/>
      <c r="M30" s="552"/>
      <c r="V30" s="827"/>
      <c r="W30" s="827"/>
      <c r="X30" s="1341"/>
      <c r="Y30" s="1341" t="s">
        <v>979</v>
      </c>
      <c r="AE30" s="1322"/>
      <c r="AF30" s="1322"/>
      <c r="AG30" s="1204"/>
      <c r="AH30" s="1204"/>
      <c r="AI30" s="1204"/>
      <c r="AJ30" s="1204"/>
    </row>
    <row r="31" spans="1:46" ht="20" customHeight="1" thickBot="1" x14ac:dyDescent="0.25">
      <c r="A31" s="1315"/>
      <c r="D31" s="1289"/>
      <c r="E31" s="1290"/>
      <c r="F31" s="1285"/>
      <c r="G31" s="1290"/>
      <c r="H31" s="1291"/>
      <c r="I31" s="833"/>
      <c r="J31" s="552" t="s">
        <v>1042</v>
      </c>
      <c r="K31" s="552"/>
      <c r="L31" s="552"/>
      <c r="M31" s="552"/>
      <c r="V31" s="827"/>
      <c r="W31" s="827"/>
      <c r="X31" s="1341"/>
      <c r="Y31" s="1341"/>
      <c r="AE31" s="1322"/>
      <c r="AF31" s="1322"/>
      <c r="AG31" s="1204"/>
      <c r="AH31" s="1204"/>
      <c r="AI31" s="1204"/>
      <c r="AJ31" s="1204"/>
    </row>
    <row r="32" spans="1:46" ht="20" customHeight="1" x14ac:dyDescent="0.25">
      <c r="A32" s="1315"/>
      <c r="B32" s="1482" t="str">
        <f>"発電出力から試算した熱電併給時の熱出力"&amp;C20</f>
        <v>発電出力から試算した熱電併給時の熱出力40℃温水（復水）</v>
      </c>
      <c r="C32" s="1482"/>
      <c r="D32" s="1482"/>
      <c r="E32" s="1014"/>
      <c r="F32" s="1085"/>
      <c r="G32" s="1014"/>
      <c r="H32" s="1391" t="s">
        <v>985</v>
      </c>
      <c r="I32" s="833"/>
      <c r="J32" s="552" t="s">
        <v>975</v>
      </c>
      <c r="K32" s="552"/>
      <c r="L32" s="552"/>
      <c r="M32" s="552"/>
      <c r="V32" s="827"/>
      <c r="W32" s="827"/>
      <c r="X32" s="1341"/>
      <c r="Y32" s="1341"/>
      <c r="AC32" s="1341"/>
      <c r="AD32" s="1341"/>
      <c r="AE32" s="1322"/>
      <c r="AF32" s="1322"/>
      <c r="AG32" s="1204"/>
      <c r="AH32" s="1204"/>
      <c r="AI32" s="1204"/>
      <c r="AJ32" s="1204"/>
    </row>
    <row r="33" spans="1:37" ht="20" x14ac:dyDescent="0.25">
      <c r="A33" s="1315"/>
      <c r="B33" s="1313">
        <f>B27/L44*L45</f>
        <v>0</v>
      </c>
      <c r="C33" s="1313" t="s">
        <v>982</v>
      </c>
      <c r="D33" s="1"/>
      <c r="E33" s="1014"/>
      <c r="F33" s="1085"/>
      <c r="G33" s="1014"/>
      <c r="H33" s="1391" t="s">
        <v>853</v>
      </c>
      <c r="I33" s="833"/>
      <c r="J33" s="1200"/>
      <c r="K33" s="552" t="s">
        <v>930</v>
      </c>
      <c r="L33" s="552"/>
      <c r="M33" s="552"/>
      <c r="V33" s="827"/>
      <c r="W33" s="827"/>
      <c r="X33" s="1341"/>
      <c r="Y33" s="1341"/>
      <c r="Z33" s="1349"/>
      <c r="AA33" s="1350"/>
      <c r="AB33" s="1349"/>
      <c r="AC33" s="1350"/>
      <c r="AD33" s="1341"/>
      <c r="AE33" s="1322"/>
      <c r="AF33" s="1322"/>
      <c r="AG33" s="1204"/>
      <c r="AH33" s="1204"/>
      <c r="AI33" s="1204"/>
      <c r="AJ33" s="1204"/>
    </row>
    <row r="34" spans="1:37" ht="16.5" x14ac:dyDescent="0.2">
      <c r="A34" s="826"/>
      <c r="B34" s="1483" t="s">
        <v>981</v>
      </c>
      <c r="C34" s="1482"/>
      <c r="D34" s="1482"/>
      <c r="E34" s="1312"/>
      <c r="F34" s="1085"/>
      <c r="G34" s="1312"/>
      <c r="H34" s="1391" t="str">
        <f>"※発電効率を"&amp;TEXT(入門シート換算!D36,"0%")&amp;"、熱効率を"&amp;TEXT(入門シート換算!D37,"0%")&amp;"として試算（バイオマス熱量比）"</f>
        <v>※発電効率を25%、熱効率を50%として試算（バイオマス熱量比）</v>
      </c>
      <c r="I34" s="827"/>
      <c r="J34" s="557"/>
      <c r="K34" s="552" t="s">
        <v>931</v>
      </c>
      <c r="L34" s="552"/>
      <c r="M34" s="552"/>
      <c r="V34" s="827"/>
      <c r="W34" s="827"/>
      <c r="X34" s="1341"/>
      <c r="Y34" s="1341"/>
      <c r="AC34" s="1341"/>
      <c r="AD34" s="1341"/>
      <c r="AE34" s="1322"/>
      <c r="AF34" s="1322"/>
      <c r="AG34" s="1204"/>
      <c r="AH34" s="1204"/>
      <c r="AI34" s="1204"/>
      <c r="AJ34" s="1204"/>
    </row>
    <row r="35" spans="1:37" ht="17" thickBot="1" x14ac:dyDescent="0.25">
      <c r="A35" s="827"/>
      <c r="B35" s="1020">
        <f>B29/L45*L44</f>
        <v>0</v>
      </c>
      <c r="C35" s="1021" t="s">
        <v>982</v>
      </c>
      <c r="D35" s="1022"/>
      <c r="E35" s="1023"/>
      <c r="F35" s="1086"/>
      <c r="G35" s="1023"/>
      <c r="H35" s="1024"/>
      <c r="I35" s="827"/>
      <c r="J35" s="843"/>
      <c r="K35" s="552" t="s">
        <v>932</v>
      </c>
      <c r="L35" s="552"/>
      <c r="M35" s="552"/>
      <c r="V35" s="827"/>
      <c r="W35" s="827"/>
      <c r="X35" s="1341"/>
      <c r="Y35" s="1341"/>
      <c r="AE35" s="1322"/>
      <c r="AF35" s="1322"/>
      <c r="AG35" s="1204"/>
      <c r="AH35" s="1204"/>
      <c r="AI35" s="1204"/>
      <c r="AJ35" s="1204"/>
    </row>
    <row r="36" spans="1:37" s="920" customFormat="1" ht="20" x14ac:dyDescent="0.3">
      <c r="A36" s="1126"/>
      <c r="B36" s="834"/>
      <c r="C36" s="834"/>
      <c r="D36" s="834"/>
      <c r="E36" s="834"/>
      <c r="F36" s="834"/>
      <c r="G36" s="833"/>
      <c r="H36" s="833"/>
      <c r="I36" s="833"/>
      <c r="J36" s="1127"/>
      <c r="K36" s="1127"/>
      <c r="L36" s="833"/>
      <c r="M36" s="833"/>
      <c r="N36" s="833"/>
      <c r="O36" s="834"/>
      <c r="P36" s="834"/>
      <c r="Q36" s="834"/>
      <c r="R36" s="833"/>
      <c r="S36" s="833"/>
      <c r="T36" s="833"/>
      <c r="U36" s="833"/>
      <c r="V36" s="833"/>
      <c r="W36" s="1128"/>
      <c r="X36" s="1216"/>
      <c r="Y36" s="1216"/>
      <c r="Z36" s="1216"/>
      <c r="AA36" s="1216"/>
      <c r="AB36" s="1216"/>
      <c r="AC36" s="1216"/>
      <c r="AD36" s="1216"/>
      <c r="AE36" s="1216"/>
      <c r="AF36" s="1216"/>
      <c r="AG36" s="1216"/>
      <c r="AH36" s="1217"/>
      <c r="AI36" s="1218"/>
      <c r="AJ36" s="1216"/>
      <c r="AK36" s="1219"/>
    </row>
    <row r="37" spans="1:37" s="1367" customFormat="1" ht="35.5" customHeight="1" x14ac:dyDescent="0.2">
      <c r="A37" s="623"/>
      <c r="B37" s="1117" t="s">
        <v>867</v>
      </c>
      <c r="C37" s="620"/>
      <c r="D37" s="621"/>
      <c r="E37" s="620"/>
      <c r="F37" s="621"/>
      <c r="G37" s="622"/>
      <c r="H37" s="622"/>
      <c r="I37" s="622"/>
      <c r="J37" s="622"/>
      <c r="K37" s="622"/>
      <c r="L37" s="622"/>
      <c r="M37" s="622"/>
      <c r="N37" s="622"/>
      <c r="O37" s="622"/>
      <c r="P37" s="623"/>
      <c r="Q37" s="623"/>
      <c r="R37" s="623"/>
      <c r="S37" s="623"/>
      <c r="T37" s="623"/>
      <c r="U37" s="623"/>
      <c r="V37" s="623"/>
      <c r="W37" s="623"/>
      <c r="X37" s="1340"/>
      <c r="Y37" s="1340"/>
      <c r="Z37" s="1340"/>
      <c r="AA37" s="1223"/>
      <c r="AB37" s="1223"/>
      <c r="AC37" s="1223"/>
      <c r="AD37" s="1342"/>
      <c r="AE37" s="1203"/>
      <c r="AF37" s="1203"/>
      <c r="AG37" s="1203"/>
      <c r="AH37" s="1203"/>
      <c r="AI37" s="1204"/>
      <c r="AJ37" s="1204"/>
      <c r="AK37" s="1223"/>
    </row>
    <row r="38" spans="1:37" s="1367" customFormat="1" ht="21.5" thickBot="1" x14ac:dyDescent="0.25">
      <c r="A38" s="849"/>
      <c r="B38" s="824" t="s">
        <v>530</v>
      </c>
      <c r="C38" s="827"/>
      <c r="D38" s="827"/>
      <c r="E38" s="827"/>
      <c r="F38" s="827"/>
      <c r="G38" s="827"/>
      <c r="H38" s="827"/>
      <c r="I38" s="827"/>
      <c r="J38" s="824" t="s">
        <v>646</v>
      </c>
      <c r="K38" s="850"/>
      <c r="L38" s="850"/>
      <c r="M38" s="850"/>
      <c r="N38" s="850"/>
      <c r="O38" s="850"/>
      <c r="P38" s="850"/>
      <c r="Q38" s="850"/>
      <c r="R38" s="850"/>
      <c r="S38" s="850"/>
      <c r="T38" s="850"/>
      <c r="U38" s="850"/>
      <c r="V38" s="850"/>
      <c r="W38" s="850"/>
      <c r="X38" s="1340"/>
      <c r="Y38" s="1223"/>
      <c r="Z38" s="1223"/>
      <c r="AA38" s="1223"/>
      <c r="AB38" s="1223"/>
      <c r="AC38" s="1223"/>
      <c r="AD38" s="1223"/>
      <c r="AE38" s="1204"/>
      <c r="AF38" s="1204"/>
      <c r="AG38" s="1204"/>
      <c r="AH38" s="1204"/>
      <c r="AI38" s="1204"/>
      <c r="AJ38" s="1204"/>
      <c r="AK38" s="1223"/>
    </row>
    <row r="39" spans="1:37" s="1367" customFormat="1" ht="18" x14ac:dyDescent="0.2">
      <c r="A39" s="849"/>
      <c r="B39" s="829" t="s">
        <v>948</v>
      </c>
      <c r="C39" s="890"/>
      <c r="D39" s="890"/>
      <c r="E39" s="890" t="s">
        <v>233</v>
      </c>
      <c r="F39" s="1084"/>
      <c r="G39" s="1084"/>
      <c r="H39" s="891"/>
      <c r="I39" s="827"/>
      <c r="J39" s="998" t="s">
        <v>995</v>
      </c>
      <c r="K39" s="1006"/>
      <c r="L39" s="879"/>
      <c r="M39" s="879"/>
      <c r="N39" s="896" t="s">
        <v>233</v>
      </c>
      <c r="O39" s="1263"/>
      <c r="P39" s="1263"/>
      <c r="Q39" s="1263"/>
      <c r="R39" s="1263"/>
      <c r="S39" s="1263"/>
      <c r="T39" s="1263"/>
      <c r="U39" s="1263"/>
      <c r="V39" s="897"/>
      <c r="W39" s="850"/>
      <c r="X39" s="1340"/>
      <c r="Y39" s="1223"/>
      <c r="Z39" s="1223"/>
      <c r="AA39" s="1223"/>
      <c r="AB39" s="1223"/>
      <c r="AC39" s="1223"/>
      <c r="AD39" s="1223"/>
      <c r="AE39" s="1204"/>
      <c r="AF39" s="1204"/>
      <c r="AG39" s="1204"/>
      <c r="AH39" s="1204"/>
      <c r="AI39" s="1204"/>
      <c r="AJ39" s="1204"/>
      <c r="AK39" s="1223"/>
    </row>
    <row r="40" spans="1:37" s="1367" customFormat="1" ht="17.5" x14ac:dyDescent="0.2">
      <c r="A40" s="849"/>
      <c r="B40" s="1264" t="s">
        <v>955</v>
      </c>
      <c r="C40" s="1265"/>
      <c r="D40" s="1265"/>
      <c r="E40" s="1265"/>
      <c r="F40" s="1265"/>
      <c r="G40" s="1265"/>
      <c r="H40" s="1266"/>
      <c r="I40" s="851"/>
      <c r="J40" s="1130" t="s">
        <v>511</v>
      </c>
      <c r="K40" s="1261"/>
      <c r="L40" s="1231">
        <f>L43*L44/100</f>
        <v>13191.796875</v>
      </c>
      <c r="M40" s="1139" t="s">
        <v>508</v>
      </c>
      <c r="N40" s="1146" t="s">
        <v>953</v>
      </c>
      <c r="O40" s="1258"/>
      <c r="P40" s="1258"/>
      <c r="Q40" s="1258"/>
      <c r="R40" s="1258"/>
      <c r="S40" s="1258"/>
      <c r="T40" s="1258"/>
      <c r="U40" s="1258"/>
      <c r="V40" s="1255"/>
      <c r="W40" s="850"/>
      <c r="X40" s="1340"/>
      <c r="Y40" s="1223"/>
      <c r="Z40" s="1223"/>
      <c r="AA40" s="1223"/>
      <c r="AB40" s="1223"/>
      <c r="AC40" s="1223"/>
      <c r="AD40" s="1223"/>
      <c r="AE40" s="1204"/>
      <c r="AF40" s="1204"/>
      <c r="AG40" s="1204"/>
      <c r="AH40" s="1204"/>
      <c r="AI40" s="1204"/>
      <c r="AJ40" s="1204"/>
      <c r="AK40" s="1223"/>
    </row>
    <row r="41" spans="1:37" s="1367" customFormat="1" ht="17.5" x14ac:dyDescent="0.2">
      <c r="A41" s="849"/>
      <c r="B41" s="1130" t="s">
        <v>996</v>
      </c>
      <c r="C41" s="1257">
        <f>L40*C53</f>
        <v>104479031.25</v>
      </c>
      <c r="D41" s="1139" t="s">
        <v>947</v>
      </c>
      <c r="E41" s="1146" t="s">
        <v>978</v>
      </c>
      <c r="F41" s="1258"/>
      <c r="G41" s="1258"/>
      <c r="H41" s="1255"/>
      <c r="I41" s="827"/>
      <c r="J41" s="1130" t="s">
        <v>512</v>
      </c>
      <c r="K41" s="1261"/>
      <c r="L41" s="1232">
        <f>L43*L45/100</f>
        <v>26383.59375</v>
      </c>
      <c r="M41" s="1139" t="s">
        <v>508</v>
      </c>
      <c r="N41" s="1146" t="s">
        <v>953</v>
      </c>
      <c r="O41" s="1258"/>
      <c r="P41" s="1258"/>
      <c r="Q41" s="1258"/>
      <c r="R41" s="1258"/>
      <c r="S41" s="1258"/>
      <c r="T41" s="1258"/>
      <c r="U41" s="1258"/>
      <c r="V41" s="1255"/>
      <c r="W41" s="850"/>
      <c r="X41" s="1340"/>
      <c r="Y41" s="1223"/>
      <c r="Z41" s="1223"/>
      <c r="AA41" s="1223"/>
      <c r="AB41" s="1223"/>
      <c r="AC41" s="1223"/>
      <c r="AD41" s="1223"/>
      <c r="AE41" s="1204"/>
      <c r="AF41" s="1204"/>
      <c r="AG41" s="1204"/>
      <c r="AH41" s="1204"/>
      <c r="AI41" s="1204"/>
      <c r="AJ41" s="1204"/>
      <c r="AK41" s="1223"/>
    </row>
    <row r="42" spans="1:37" s="1367" customFormat="1" ht="17.5" x14ac:dyDescent="0.2">
      <c r="A42" s="849"/>
      <c r="B42" s="1130" t="s">
        <v>1038</v>
      </c>
      <c r="C42" s="1234">
        <f>C41*L42/L43</f>
        <v>104479031.25</v>
      </c>
      <c r="D42" s="1139" t="s">
        <v>947</v>
      </c>
      <c r="E42" s="1146" t="s">
        <v>997</v>
      </c>
      <c r="F42" s="1258"/>
      <c r="G42" s="1258"/>
      <c r="H42" s="1255"/>
      <c r="I42" s="827"/>
      <c r="J42" s="1130" t="s">
        <v>993</v>
      </c>
      <c r="K42" s="1261"/>
      <c r="L42" s="1232">
        <f>入門シート換算!E47/3.6</f>
        <v>52767.1875</v>
      </c>
      <c r="M42" s="1139" t="s">
        <v>508</v>
      </c>
      <c r="N42" s="1146" t="s">
        <v>994</v>
      </c>
      <c r="O42" s="1258"/>
      <c r="P42" s="1258"/>
      <c r="Q42" s="1258"/>
      <c r="R42" s="1258"/>
      <c r="S42" s="1258"/>
      <c r="T42" s="1258"/>
      <c r="U42" s="1258"/>
      <c r="V42" s="1255"/>
      <c r="W42" s="850"/>
      <c r="X42" s="1340"/>
      <c r="Y42" s="1223"/>
      <c r="Z42" s="1223"/>
      <c r="AA42" s="1223"/>
      <c r="AB42" s="1223"/>
      <c r="AC42" s="1223"/>
      <c r="AD42" s="1223"/>
      <c r="AE42" s="1204"/>
      <c r="AF42" s="1204"/>
      <c r="AG42" s="1204"/>
      <c r="AH42" s="1204"/>
      <c r="AI42" s="1204"/>
      <c r="AJ42" s="1204"/>
      <c r="AK42" s="1223"/>
    </row>
    <row r="43" spans="1:37" s="1367" customFormat="1" ht="17.5" x14ac:dyDescent="0.2">
      <c r="A43" s="849"/>
      <c r="B43" s="1130" t="s">
        <v>977</v>
      </c>
      <c r="C43" s="1192">
        <v>0.9</v>
      </c>
      <c r="D43" s="1139"/>
      <c r="E43" s="1146" t="s">
        <v>999</v>
      </c>
      <c r="F43" s="1258"/>
      <c r="G43" s="1258"/>
      <c r="H43" s="1255"/>
      <c r="I43" s="827"/>
      <c r="J43" s="1130" t="s">
        <v>992</v>
      </c>
      <c r="K43" s="1261"/>
      <c r="L43" s="1232">
        <f>入門シート換算!E34/3.6</f>
        <v>52767.1875</v>
      </c>
      <c r="M43" s="1139" t="s">
        <v>508</v>
      </c>
      <c r="N43" s="1146" t="s">
        <v>954</v>
      </c>
      <c r="O43" s="1258"/>
      <c r="P43" s="1258"/>
      <c r="Q43" s="1258"/>
      <c r="R43" s="1258"/>
      <c r="S43" s="1258"/>
      <c r="T43" s="1258"/>
      <c r="U43" s="1258"/>
      <c r="V43" s="1255"/>
      <c r="W43" s="850"/>
      <c r="X43" s="1340"/>
      <c r="Y43" s="1223"/>
      <c r="Z43" s="1223"/>
      <c r="AA43" s="1223"/>
      <c r="AB43" s="1223"/>
      <c r="AC43" s="1223"/>
      <c r="AD43" s="1223"/>
      <c r="AE43" s="1204"/>
      <c r="AF43" s="1204"/>
      <c r="AG43" s="1204"/>
      <c r="AH43" s="1204"/>
      <c r="AI43" s="1204"/>
      <c r="AJ43" s="1204"/>
      <c r="AK43" s="1223"/>
    </row>
    <row r="44" spans="1:37" s="1367" customFormat="1" ht="17.5" x14ac:dyDescent="0.2">
      <c r="A44" s="849"/>
      <c r="B44" s="1149" t="s">
        <v>956</v>
      </c>
      <c r="C44" s="1193">
        <v>13</v>
      </c>
      <c r="D44" s="1139" t="s">
        <v>531</v>
      </c>
      <c r="E44" s="1146" t="s">
        <v>988</v>
      </c>
      <c r="F44" s="1258"/>
      <c r="G44" s="1258"/>
      <c r="H44" s="1255"/>
      <c r="I44" s="827"/>
      <c r="J44" s="1130" t="s">
        <v>736</v>
      </c>
      <c r="K44" s="1261"/>
      <c r="L44" s="1232">
        <f>入門シート換算!D36*100</f>
        <v>25</v>
      </c>
      <c r="M44" s="1139" t="s">
        <v>36</v>
      </c>
      <c r="N44" s="1146" t="s">
        <v>953</v>
      </c>
      <c r="O44" s="1258"/>
      <c r="P44" s="1258"/>
      <c r="Q44" s="1258"/>
      <c r="R44" s="1258"/>
      <c r="S44" s="1258"/>
      <c r="T44" s="1258"/>
      <c r="U44" s="1258"/>
      <c r="V44" s="1255"/>
      <c r="W44" s="850"/>
      <c r="X44" s="1340"/>
      <c r="Y44" s="1223"/>
      <c r="Z44" s="1223"/>
      <c r="AA44" s="1223"/>
      <c r="AB44" s="1223"/>
      <c r="AC44" s="1223"/>
      <c r="AD44" s="1223"/>
      <c r="AE44" s="1204"/>
      <c r="AF44" s="1204"/>
      <c r="AG44" s="1204"/>
      <c r="AH44" s="1204"/>
      <c r="AI44" s="1204"/>
      <c r="AJ44" s="1204"/>
      <c r="AK44" s="1223"/>
    </row>
    <row r="45" spans="1:37" s="1367" customFormat="1" ht="18" thickBot="1" x14ac:dyDescent="0.25">
      <c r="A45" s="849"/>
      <c r="B45" s="1264" t="s">
        <v>957</v>
      </c>
      <c r="C45" s="1265"/>
      <c r="D45" s="1265"/>
      <c r="E45" s="1265"/>
      <c r="F45" s="1265"/>
      <c r="G45" s="1265"/>
      <c r="H45" s="1266"/>
      <c r="I45" s="827"/>
      <c r="J45" s="1109" t="s">
        <v>991</v>
      </c>
      <c r="K45" s="1262"/>
      <c r="L45" s="1233">
        <f>入門シート換算!D37*100</f>
        <v>50</v>
      </c>
      <c r="M45" s="1150" t="s">
        <v>36</v>
      </c>
      <c r="N45" s="1370" t="s">
        <v>953</v>
      </c>
      <c r="O45" s="1072"/>
      <c r="P45" s="1072"/>
      <c r="Q45" s="1072"/>
      <c r="R45" s="1072"/>
      <c r="S45" s="1072"/>
      <c r="T45" s="1072"/>
      <c r="U45" s="1072"/>
      <c r="V45" s="986"/>
      <c r="W45" s="850"/>
      <c r="X45" s="1340"/>
      <c r="Y45" s="1223"/>
      <c r="Z45" s="1223"/>
      <c r="AA45" s="1223"/>
      <c r="AB45" s="1223"/>
      <c r="AC45" s="1223"/>
      <c r="AD45" s="1223"/>
      <c r="AE45" s="1204"/>
      <c r="AF45" s="1204"/>
      <c r="AG45" s="1204"/>
      <c r="AH45" s="1204"/>
      <c r="AI45" s="1204"/>
      <c r="AJ45" s="1204"/>
      <c r="AK45" s="1223"/>
    </row>
    <row r="46" spans="1:37" s="1367" customFormat="1" ht="18" thickBot="1" x14ac:dyDescent="0.25">
      <c r="A46" s="827"/>
      <c r="B46" s="1130" t="s">
        <v>959</v>
      </c>
      <c r="C46" s="1260">
        <f>L41*C53</f>
        <v>208958062.5</v>
      </c>
      <c r="D46" s="1139" t="s">
        <v>947</v>
      </c>
      <c r="E46" s="1146" t="s">
        <v>976</v>
      </c>
      <c r="F46" s="1258"/>
      <c r="G46" s="1258"/>
      <c r="H46" s="1255"/>
      <c r="I46" s="827"/>
      <c r="J46" s="850"/>
      <c r="K46" s="850"/>
      <c r="L46" s="850"/>
      <c r="M46" s="850"/>
      <c r="N46" s="850"/>
      <c r="O46" s="850"/>
      <c r="P46" s="850"/>
      <c r="Q46" s="850"/>
      <c r="R46" s="850"/>
      <c r="S46" s="850"/>
      <c r="T46" s="850"/>
      <c r="U46" s="850"/>
      <c r="V46" s="850"/>
      <c r="W46" s="850"/>
      <c r="X46" s="1340"/>
      <c r="Y46" s="1223"/>
      <c r="Z46" s="1223"/>
      <c r="AA46" s="1223"/>
      <c r="AB46" s="1223"/>
      <c r="AC46" s="1223"/>
      <c r="AD46" s="1223"/>
      <c r="AE46" s="1204"/>
      <c r="AF46" s="1204"/>
      <c r="AG46" s="1204"/>
      <c r="AH46" s="1204"/>
      <c r="AI46" s="1204"/>
      <c r="AJ46" s="1204"/>
      <c r="AK46" s="1223"/>
    </row>
    <row r="47" spans="1:37" s="1367" customFormat="1" ht="18" x14ac:dyDescent="0.2">
      <c r="A47" s="827"/>
      <c r="B47" s="1130" t="s">
        <v>990</v>
      </c>
      <c r="C47" s="1234">
        <f>C46*L42/L43</f>
        <v>208958062.5</v>
      </c>
      <c r="D47" s="1139" t="s">
        <v>947</v>
      </c>
      <c r="E47" s="1146" t="s">
        <v>998</v>
      </c>
      <c r="F47" s="1258"/>
      <c r="G47" s="1258"/>
      <c r="H47" s="1255"/>
      <c r="I47" s="827"/>
      <c r="J47" s="998" t="s">
        <v>629</v>
      </c>
      <c r="K47" s="879"/>
      <c r="L47" s="879"/>
      <c r="M47" s="879"/>
      <c r="N47" s="1006" t="s">
        <v>828</v>
      </c>
      <c r="O47" s="1006"/>
      <c r="P47" s="1006"/>
      <c r="Q47" s="1006"/>
      <c r="R47" s="1006"/>
      <c r="S47" s="1006"/>
      <c r="T47" s="1006"/>
      <c r="U47" s="1006"/>
      <c r="V47" s="984"/>
      <c r="W47" s="850"/>
      <c r="X47" s="1340"/>
      <c r="Y47" s="1223"/>
      <c r="Z47" s="1223"/>
      <c r="AA47" s="1223"/>
      <c r="AB47" s="1223"/>
      <c r="AC47" s="1223"/>
      <c r="AD47" s="1223"/>
      <c r="AE47" s="1204"/>
      <c r="AF47" s="1204"/>
      <c r="AG47" s="1204"/>
      <c r="AH47" s="1204"/>
      <c r="AI47" s="1204"/>
      <c r="AJ47" s="1204"/>
      <c r="AK47" s="1223"/>
    </row>
    <row r="48" spans="1:37" s="1367" customFormat="1" ht="17.5" x14ac:dyDescent="0.2">
      <c r="A48" s="827"/>
      <c r="B48" s="1149" t="s">
        <v>1000</v>
      </c>
      <c r="C48" s="1303">
        <f>IF(D3="BTG",0.25,0.8)</f>
        <v>0.25</v>
      </c>
      <c r="D48" s="1139"/>
      <c r="E48" s="1146" t="s">
        <v>1001</v>
      </c>
      <c r="F48" s="1258"/>
      <c r="G48" s="1258"/>
      <c r="H48" s="1255"/>
      <c r="I48" s="827"/>
      <c r="J48" s="861" t="s">
        <v>644</v>
      </c>
      <c r="K48" s="877"/>
      <c r="L48" s="983">
        <f>SUM(L49:L50)</f>
        <v>4820.1912416296973</v>
      </c>
      <c r="M48" s="1330" t="s">
        <v>297</v>
      </c>
      <c r="N48" s="1059" t="str">
        <f>IF(D3="温水ボイラー","事業者ヒアリングをもとに算出","調達価格算定委員会のバイオマス原料種ごとの初期投資費用から算出")</f>
        <v>調達価格算定委員会のバイオマス原料種ごとの初期投資費用から算出</v>
      </c>
      <c r="O48" s="1000"/>
      <c r="P48" s="1000"/>
      <c r="Q48" s="1000"/>
      <c r="R48" s="1000"/>
      <c r="S48" s="1000"/>
      <c r="T48" s="1067"/>
      <c r="U48" s="1067"/>
      <c r="V48" s="1068"/>
      <c r="W48" s="850"/>
      <c r="X48" s="1340"/>
      <c r="Y48" s="1223"/>
      <c r="Z48" s="1223"/>
      <c r="AA48" s="1223"/>
      <c r="AB48" s="1223"/>
      <c r="AC48" s="1223"/>
      <c r="AD48" s="1223"/>
      <c r="AE48" s="1204"/>
      <c r="AF48" s="1204"/>
      <c r="AG48" s="1204"/>
      <c r="AH48" s="1204"/>
      <c r="AI48" s="1204"/>
      <c r="AJ48" s="1204"/>
      <c r="AK48" s="1223"/>
    </row>
    <row r="49" spans="1:37" s="1367" customFormat="1" ht="17.5" x14ac:dyDescent="0.2">
      <c r="A49" s="827"/>
      <c r="B49" s="1149" t="s">
        <v>960</v>
      </c>
      <c r="C49" s="1392">
        <v>5</v>
      </c>
      <c r="D49" s="1139" t="s">
        <v>531</v>
      </c>
      <c r="E49" s="1146" t="s">
        <v>987</v>
      </c>
      <c r="F49" s="1258"/>
      <c r="G49" s="1258"/>
      <c r="H49" s="1255"/>
      <c r="I49" s="827"/>
      <c r="J49" s="966" t="s">
        <v>636</v>
      </c>
      <c r="K49" s="981"/>
      <c r="L49" s="1234">
        <f>入門シート換算!B89</f>
        <v>3615.1434312222727</v>
      </c>
      <c r="M49" s="1331" t="s">
        <v>297</v>
      </c>
      <c r="N49" s="1060" t="s">
        <v>934</v>
      </c>
      <c r="O49" s="1000"/>
      <c r="P49" s="1000"/>
      <c r="Q49" s="1000"/>
      <c r="R49" s="1000"/>
      <c r="S49" s="1000"/>
      <c r="T49" s="1067"/>
      <c r="U49" s="1067"/>
      <c r="V49" s="1068"/>
      <c r="W49" s="850"/>
      <c r="X49" s="1340"/>
      <c r="Y49" s="1223"/>
      <c r="Z49" s="1223"/>
      <c r="AA49" s="1223"/>
      <c r="AB49" s="1223"/>
      <c r="AC49" s="1223"/>
      <c r="AD49" s="1223"/>
      <c r="AE49" s="1204"/>
      <c r="AF49" s="1204"/>
      <c r="AG49" s="1204"/>
      <c r="AH49" s="1204"/>
      <c r="AI49" s="1204"/>
      <c r="AJ49" s="1204"/>
      <c r="AK49" s="1223"/>
    </row>
    <row r="50" spans="1:37" s="1367" customFormat="1" ht="20.149999999999999" customHeight="1" x14ac:dyDescent="0.2">
      <c r="A50" s="849"/>
      <c r="B50" s="1264" t="s">
        <v>958</v>
      </c>
      <c r="C50" s="1265"/>
      <c r="D50" s="1265"/>
      <c r="E50" s="1265"/>
      <c r="F50" s="1265"/>
      <c r="G50" s="1265"/>
      <c r="H50" s="1266"/>
      <c r="I50" s="827"/>
      <c r="J50" s="966" t="s">
        <v>637</v>
      </c>
      <c r="K50" s="982"/>
      <c r="L50" s="1234">
        <f>入門シート換算!B90</f>
        <v>1205.0478104074243</v>
      </c>
      <c r="M50" s="1331" t="s">
        <v>297</v>
      </c>
      <c r="N50" s="1060" t="s">
        <v>935</v>
      </c>
      <c r="O50" s="1000"/>
      <c r="P50" s="1000"/>
      <c r="Q50" s="1000"/>
      <c r="R50" s="1000"/>
      <c r="S50" s="1000"/>
      <c r="T50" s="1067"/>
      <c r="U50" s="1067"/>
      <c r="V50" s="1068"/>
      <c r="W50" s="850"/>
      <c r="X50" s="1340"/>
      <c r="Y50" s="1223"/>
      <c r="Z50" s="1223"/>
      <c r="AA50" s="1223"/>
      <c r="AB50" s="1223"/>
      <c r="AC50" s="1223"/>
      <c r="AD50" s="1223"/>
      <c r="AE50" s="1204"/>
      <c r="AF50" s="1204"/>
      <c r="AG50" s="1204"/>
      <c r="AH50" s="1204"/>
      <c r="AI50" s="1204"/>
      <c r="AJ50" s="1204"/>
      <c r="AK50" s="1223"/>
    </row>
    <row r="51" spans="1:37" s="1367" customFormat="1" ht="20.149999999999999" customHeight="1" x14ac:dyDescent="0.2">
      <c r="A51" s="849"/>
      <c r="B51" s="1130" t="s">
        <v>961</v>
      </c>
      <c r="C51" s="1193">
        <v>330</v>
      </c>
      <c r="D51" s="1152" t="s">
        <v>515</v>
      </c>
      <c r="E51" s="1147" t="s">
        <v>951</v>
      </c>
      <c r="F51" s="1258"/>
      <c r="G51" s="1258"/>
      <c r="H51" s="1255"/>
      <c r="I51" s="827"/>
      <c r="J51" s="966" t="s">
        <v>641</v>
      </c>
      <c r="K51" s="982"/>
      <c r="L51" s="901">
        <f>SUM(L52:L56)</f>
        <v>499.68606457545826</v>
      </c>
      <c r="M51" s="1331" t="s">
        <v>642</v>
      </c>
      <c r="N51" s="1059" t="str">
        <f>IF(D3="温水ボイラー","事業者へのヒアリングをもとに算出","調達価格算定委員会のバイオマス原料種ごとの運転維持費用から算出")</f>
        <v>調達価格算定委員会のバイオマス原料種ごとの運転維持費用から算出</v>
      </c>
      <c r="O51" s="1000"/>
      <c r="P51" s="1000"/>
      <c r="Q51" s="1000"/>
      <c r="R51" s="1000"/>
      <c r="S51" s="1000"/>
      <c r="T51" s="1067"/>
      <c r="U51" s="1067"/>
      <c r="V51" s="1068"/>
      <c r="W51" s="850"/>
      <c r="X51" s="1340"/>
      <c r="Y51" s="1223"/>
      <c r="Z51" s="1223"/>
      <c r="AA51" s="1223"/>
      <c r="AB51" s="1223"/>
      <c r="AC51" s="1223"/>
      <c r="AD51" s="1223"/>
      <c r="AE51" s="1204"/>
      <c r="AF51" s="1204"/>
      <c r="AG51" s="1204"/>
      <c r="AH51" s="1204"/>
      <c r="AI51" s="1204"/>
      <c r="AJ51" s="1204"/>
      <c r="AK51" s="1223"/>
    </row>
    <row r="52" spans="1:37" s="1367" customFormat="1" ht="20.149999999999999" customHeight="1" x14ac:dyDescent="0.2">
      <c r="A52" s="849"/>
      <c r="B52" s="1130" t="s">
        <v>962</v>
      </c>
      <c r="C52" s="1463">
        <f>IF(D3="温水ボイラー",16,24)</f>
        <v>24</v>
      </c>
      <c r="D52" s="1152" t="s">
        <v>945</v>
      </c>
      <c r="E52" s="1147" t="s">
        <v>952</v>
      </c>
      <c r="F52" s="1258"/>
      <c r="G52" s="1258"/>
      <c r="H52" s="1255"/>
      <c r="I52" s="827"/>
      <c r="J52" s="966" t="s">
        <v>631</v>
      </c>
      <c r="K52" s="981"/>
      <c r="L52" s="1235">
        <f>入門シート換算!B92</f>
        <v>84.281810798385692</v>
      </c>
      <c r="M52" s="1331" t="s">
        <v>642</v>
      </c>
      <c r="N52" s="1060" t="s">
        <v>1160</v>
      </c>
      <c r="O52" s="1000"/>
      <c r="P52" s="1000"/>
      <c r="Q52" s="1000"/>
      <c r="R52" s="1000"/>
      <c r="S52" s="1000"/>
      <c r="T52" s="1067"/>
      <c r="U52" s="1067"/>
      <c r="V52" s="1068"/>
      <c r="W52" s="850"/>
      <c r="X52" s="1340"/>
      <c r="Y52" s="1223"/>
      <c r="Z52" s="1223"/>
      <c r="AA52" s="1223"/>
      <c r="AB52" s="1223"/>
      <c r="AC52" s="1223"/>
      <c r="AD52" s="1223"/>
      <c r="AE52" s="1204"/>
      <c r="AF52" s="1204"/>
      <c r="AG52" s="1204"/>
      <c r="AH52" s="1204"/>
      <c r="AI52" s="1204"/>
      <c r="AJ52" s="1204"/>
      <c r="AK52" s="1223"/>
    </row>
    <row r="53" spans="1:37" s="1367" customFormat="1" ht="20.149999999999999" customHeight="1" thickBot="1" x14ac:dyDescent="0.25">
      <c r="A53" s="849"/>
      <c r="B53" s="987" t="s">
        <v>963</v>
      </c>
      <c r="C53" s="1256">
        <f>C51*C52</f>
        <v>7920</v>
      </c>
      <c r="D53" s="1148" t="s">
        <v>946</v>
      </c>
      <c r="E53" s="1253"/>
      <c r="F53" s="1259"/>
      <c r="G53" s="1259"/>
      <c r="H53" s="1254"/>
      <c r="I53" s="827"/>
      <c r="J53" s="966" t="s">
        <v>811</v>
      </c>
      <c r="K53" s="981"/>
      <c r="L53" s="1235">
        <f>入門シート換算!B93</f>
        <v>60.201293427418356</v>
      </c>
      <c r="M53" s="1331" t="s">
        <v>642</v>
      </c>
      <c r="N53" s="1060" t="s">
        <v>1197</v>
      </c>
      <c r="O53" s="1000"/>
      <c r="P53" s="1000"/>
      <c r="Q53" s="1000"/>
      <c r="R53" s="1000"/>
      <c r="S53" s="877"/>
      <c r="T53" s="1067"/>
      <c r="U53" s="1067"/>
      <c r="V53" s="1068"/>
      <c r="W53" s="850"/>
      <c r="X53" s="1340"/>
      <c r="Y53" s="1223"/>
      <c r="Z53" s="1223"/>
      <c r="AA53" s="1223"/>
      <c r="AB53" s="1223"/>
      <c r="AC53" s="1223"/>
      <c r="AD53" s="1223"/>
      <c r="AE53" s="1204"/>
      <c r="AF53" s="1204"/>
      <c r="AG53" s="1204"/>
      <c r="AH53" s="1204"/>
      <c r="AI53" s="1204"/>
      <c r="AJ53" s="1204"/>
      <c r="AK53" s="1223"/>
    </row>
    <row r="54" spans="1:37" s="1367" customFormat="1" ht="20.149999999999999" customHeight="1" x14ac:dyDescent="0.2">
      <c r="A54" s="849"/>
      <c r="B54" s="849"/>
      <c r="C54" s="849"/>
      <c r="D54" s="849"/>
      <c r="E54" s="849"/>
      <c r="F54" s="849"/>
      <c r="G54" s="849"/>
      <c r="H54" s="849"/>
      <c r="I54" s="827"/>
      <c r="J54" s="966" t="s">
        <v>1157</v>
      </c>
      <c r="K54" s="982"/>
      <c r="L54" s="1235">
        <f>入門シート換算!B94+L49*0.1/20</f>
        <v>258.88089086578481</v>
      </c>
      <c r="M54" s="1331" t="s">
        <v>642</v>
      </c>
      <c r="N54" s="1060" t="s">
        <v>1159</v>
      </c>
      <c r="O54" s="1000"/>
      <c r="P54" s="1000"/>
      <c r="Q54" s="1000"/>
      <c r="R54" s="1000"/>
      <c r="S54" s="1000"/>
      <c r="T54" s="1067"/>
      <c r="U54" s="1067"/>
      <c r="V54" s="1068"/>
      <c r="W54" s="850"/>
      <c r="X54" s="1340"/>
      <c r="Y54" s="1223"/>
      <c r="Z54" s="1223"/>
      <c r="AA54" s="1223"/>
      <c r="AB54" s="1223"/>
      <c r="AC54" s="1223"/>
      <c r="AD54" s="1223"/>
      <c r="AE54" s="1204"/>
      <c r="AF54" s="1204"/>
      <c r="AG54" s="1204"/>
      <c r="AH54" s="1204"/>
      <c r="AI54" s="1204"/>
      <c r="AJ54" s="1204"/>
      <c r="AK54" s="1223"/>
    </row>
    <row r="55" spans="1:37" ht="20" customHeight="1" thickBot="1" x14ac:dyDescent="0.25">
      <c r="A55" s="827"/>
      <c r="B55" s="824" t="s">
        <v>817</v>
      </c>
      <c r="C55" s="827"/>
      <c r="D55" s="827"/>
      <c r="E55" s="827"/>
      <c r="F55" s="827"/>
      <c r="G55" s="827"/>
      <c r="H55" s="827"/>
      <c r="I55" s="827"/>
      <c r="J55" s="966" t="s">
        <v>632</v>
      </c>
      <c r="K55" s="982"/>
      <c r="L55" s="1235">
        <f>入門シート換算!B95</f>
        <v>72.241552112902028</v>
      </c>
      <c r="M55" s="1331" t="s">
        <v>642</v>
      </c>
      <c r="N55" s="1060" t="s">
        <v>1198</v>
      </c>
      <c r="O55" s="1000"/>
      <c r="P55" s="1000"/>
      <c r="Q55" s="1000"/>
      <c r="R55" s="1000"/>
      <c r="S55" s="1000"/>
      <c r="T55" s="1067"/>
      <c r="U55" s="1067"/>
      <c r="V55" s="1068"/>
      <c r="W55" s="853"/>
      <c r="X55" s="1341"/>
      <c r="Y55" s="1223"/>
      <c r="Z55" s="1223"/>
      <c r="AA55" s="1223"/>
      <c r="AC55" s="1223"/>
      <c r="AD55" s="1223"/>
      <c r="AE55" s="1204"/>
      <c r="AF55" s="1204"/>
      <c r="AG55" s="1204"/>
      <c r="AH55" s="1204"/>
      <c r="AI55" s="1204"/>
      <c r="AJ55" s="1204"/>
    </row>
    <row r="56" spans="1:37" ht="20.149999999999999" customHeight="1" thickBot="1" x14ac:dyDescent="0.25">
      <c r="A56" s="852"/>
      <c r="B56" s="1248" t="s">
        <v>966</v>
      </c>
      <c r="C56" s="1271"/>
      <c r="D56" s="1272"/>
      <c r="E56" s="1271"/>
      <c r="F56" s="1272"/>
      <c r="G56" s="1271"/>
      <c r="H56" s="1273"/>
      <c r="I56" s="827"/>
      <c r="J56" s="985" t="s">
        <v>633</v>
      </c>
      <c r="K56" s="997"/>
      <c r="L56" s="1236">
        <f>入門シート換算!B96</f>
        <v>24.080517370967339</v>
      </c>
      <c r="M56" s="1332" t="s">
        <v>642</v>
      </c>
      <c r="N56" s="1061" t="s">
        <v>1199</v>
      </c>
      <c r="O56" s="1007"/>
      <c r="P56" s="1007"/>
      <c r="Q56" s="1007"/>
      <c r="R56" s="1007"/>
      <c r="S56" s="1007"/>
      <c r="T56" s="1069"/>
      <c r="U56" s="1069"/>
      <c r="V56" s="999"/>
      <c r="W56" s="853"/>
      <c r="X56" s="1341"/>
      <c r="Y56" s="1223"/>
      <c r="Z56" s="1223"/>
      <c r="AA56" s="1223"/>
      <c r="AC56" s="1223"/>
      <c r="AD56" s="1223"/>
      <c r="AE56" s="1204"/>
      <c r="AF56" s="1204"/>
      <c r="AG56" s="1204"/>
      <c r="AH56" s="1204"/>
      <c r="AI56" s="1204"/>
      <c r="AJ56" s="1204"/>
    </row>
    <row r="57" spans="1:37" ht="20.149999999999999" customHeight="1" x14ac:dyDescent="0.2">
      <c r="A57" s="852"/>
      <c r="B57" s="1274" t="s">
        <v>648</v>
      </c>
      <c r="C57" s="1275" t="s">
        <v>964</v>
      </c>
      <c r="D57" s="1276"/>
      <c r="E57" s="1275" t="s">
        <v>965</v>
      </c>
      <c r="F57" s="1384"/>
      <c r="G57" s="1275" t="s">
        <v>1043</v>
      </c>
      <c r="H57" s="1277"/>
      <c r="I57" s="827"/>
      <c r="J57" s="827"/>
      <c r="K57" s="827"/>
      <c r="L57" s="827"/>
      <c r="M57" s="827"/>
      <c r="N57" s="827"/>
      <c r="O57" s="827"/>
      <c r="P57" s="827"/>
      <c r="Q57" s="827"/>
      <c r="R57" s="827"/>
      <c r="S57" s="827"/>
      <c r="T57" s="827"/>
      <c r="U57" s="1338"/>
      <c r="V57" s="1338" t="s">
        <v>1003</v>
      </c>
      <c r="W57" s="853"/>
      <c r="X57" s="1341"/>
      <c r="Y57" s="1223"/>
      <c r="Z57" s="1223"/>
      <c r="AA57" s="1223"/>
      <c r="AC57" s="1223"/>
      <c r="AD57" s="1223"/>
      <c r="AE57" s="1204"/>
      <c r="AF57" s="1204"/>
      <c r="AG57" s="1204"/>
      <c r="AH57" s="1204"/>
      <c r="AI57" s="1204"/>
      <c r="AJ57" s="1204"/>
    </row>
    <row r="58" spans="1:37" ht="20.149999999999999" customHeight="1" thickBot="1" x14ac:dyDescent="0.25">
      <c r="A58" s="852"/>
      <c r="B58" s="1137" t="s">
        <v>716</v>
      </c>
      <c r="C58" s="1268">
        <f>C7</f>
        <v>50</v>
      </c>
      <c r="D58" s="1139" t="s">
        <v>509</v>
      </c>
      <c r="E58" s="1278">
        <f>C7</f>
        <v>50</v>
      </c>
      <c r="F58" s="1387" t="s">
        <v>509</v>
      </c>
      <c r="G58" s="1385">
        <f>E58*$C$51</f>
        <v>16500</v>
      </c>
      <c r="H58" s="1133" t="s">
        <v>1044</v>
      </c>
      <c r="I58" s="827"/>
      <c r="J58" s="827"/>
      <c r="K58" s="827"/>
      <c r="L58" s="827"/>
      <c r="M58" s="827"/>
      <c r="N58" s="827"/>
      <c r="O58" s="827"/>
      <c r="P58" s="827"/>
      <c r="Q58" s="827"/>
      <c r="R58" s="827"/>
      <c r="S58" s="827"/>
      <c r="T58" s="827"/>
      <c r="U58" s="827"/>
      <c r="V58" s="827"/>
      <c r="W58" s="853"/>
      <c r="X58" s="1341"/>
      <c r="Y58" s="1223"/>
      <c r="Z58" s="1223"/>
      <c r="AA58" s="1223"/>
      <c r="AC58" s="1223"/>
      <c r="AD58" s="1223"/>
      <c r="AE58" s="1204"/>
      <c r="AF58" s="1204"/>
      <c r="AG58" s="1204"/>
      <c r="AH58" s="1204"/>
      <c r="AI58" s="1204"/>
      <c r="AJ58" s="1204"/>
    </row>
    <row r="59" spans="1:37" ht="20.149999999999999" customHeight="1" x14ac:dyDescent="0.2">
      <c r="A59" s="852"/>
      <c r="B59" s="1138" t="s">
        <v>709</v>
      </c>
      <c r="C59" s="1269">
        <f>C8</f>
        <v>0</v>
      </c>
      <c r="D59" s="1140" t="s">
        <v>509</v>
      </c>
      <c r="E59" s="1279">
        <f>C8</f>
        <v>0</v>
      </c>
      <c r="F59" s="1387" t="s">
        <v>509</v>
      </c>
      <c r="G59" s="1385">
        <f t="shared" ref="G59:G62" si="0">E59*$C$51</f>
        <v>0</v>
      </c>
      <c r="H59" s="1133" t="s">
        <v>1044</v>
      </c>
      <c r="I59" s="827"/>
      <c r="J59" s="878" t="s">
        <v>629</v>
      </c>
      <c r="K59" s="879"/>
      <c r="L59" s="879"/>
      <c r="M59" s="879"/>
      <c r="N59" s="1006" t="s">
        <v>828</v>
      </c>
      <c r="O59" s="1006"/>
      <c r="P59" s="1006"/>
      <c r="Q59" s="1006"/>
      <c r="R59" s="1006"/>
      <c r="S59" s="1006"/>
      <c r="T59" s="1006"/>
      <c r="U59" s="1006"/>
      <c r="V59" s="984"/>
      <c r="W59" s="853"/>
      <c r="X59" s="1341"/>
      <c r="Y59" s="1223"/>
      <c r="Z59" s="1223"/>
      <c r="AA59" s="1223"/>
      <c r="AC59" s="1223"/>
      <c r="AD59" s="1223"/>
      <c r="AE59" s="1204"/>
      <c r="AF59" s="1204"/>
      <c r="AG59" s="1204"/>
      <c r="AH59" s="1204"/>
      <c r="AI59" s="1204"/>
      <c r="AJ59" s="1204"/>
    </row>
    <row r="60" spans="1:37" ht="20.149999999999999" customHeight="1" x14ac:dyDescent="0.2">
      <c r="A60" s="852"/>
      <c r="B60" s="1137" t="s">
        <v>710</v>
      </c>
      <c r="C60" s="1270">
        <f>C9</f>
        <v>300</v>
      </c>
      <c r="D60" s="1139" t="s">
        <v>509</v>
      </c>
      <c r="E60" s="1279">
        <f>C9</f>
        <v>300</v>
      </c>
      <c r="F60" s="1387" t="s">
        <v>509</v>
      </c>
      <c r="G60" s="1385">
        <f t="shared" si="0"/>
        <v>99000</v>
      </c>
      <c r="H60" s="1133" t="s">
        <v>1044</v>
      </c>
      <c r="I60" s="827"/>
      <c r="J60" s="966" t="s">
        <v>451</v>
      </c>
      <c r="K60" s="982"/>
      <c r="L60" s="1194"/>
      <c r="M60" s="1333" t="s">
        <v>297</v>
      </c>
      <c r="N60" s="1146" t="s">
        <v>703</v>
      </c>
      <c r="O60" s="969"/>
      <c r="P60" s="969"/>
      <c r="Q60" s="969"/>
      <c r="R60" s="969"/>
      <c r="S60" s="969"/>
      <c r="T60" s="1070"/>
      <c r="U60" s="1070"/>
      <c r="V60" s="1071"/>
      <c r="W60" s="853"/>
      <c r="X60" s="1341"/>
      <c r="Y60" s="1223"/>
      <c r="Z60" s="1223"/>
      <c r="AA60" s="1223"/>
      <c r="AC60" s="1223"/>
      <c r="AD60" s="1223"/>
      <c r="AE60" s="1204"/>
      <c r="AF60" s="1204"/>
      <c r="AG60" s="1204"/>
      <c r="AH60" s="1204"/>
      <c r="AI60" s="1204"/>
      <c r="AJ60" s="1204"/>
    </row>
    <row r="61" spans="1:37" ht="20.149999999999999" customHeight="1" x14ac:dyDescent="0.2">
      <c r="A61" s="852"/>
      <c r="B61" s="1137" t="s">
        <v>712</v>
      </c>
      <c r="C61" s="1270">
        <f>C10</f>
        <v>0</v>
      </c>
      <c r="D61" s="1139" t="s">
        <v>509</v>
      </c>
      <c r="E61" s="1279">
        <f t="shared" ref="E61:E62" si="1">C10</f>
        <v>0</v>
      </c>
      <c r="F61" s="1387" t="s">
        <v>509</v>
      </c>
      <c r="G61" s="1385">
        <f t="shared" si="0"/>
        <v>0</v>
      </c>
      <c r="H61" s="1133" t="s">
        <v>1044</v>
      </c>
      <c r="I61" s="827"/>
      <c r="J61" s="967" t="s">
        <v>597</v>
      </c>
      <c r="K61" s="982"/>
      <c r="L61" s="1194"/>
      <c r="M61" s="1333" t="s">
        <v>297</v>
      </c>
      <c r="N61" s="1146" t="s">
        <v>704</v>
      </c>
      <c r="O61" s="969"/>
      <c r="P61" s="969"/>
      <c r="Q61" s="969"/>
      <c r="R61" s="969"/>
      <c r="S61" s="969"/>
      <c r="T61" s="1070"/>
      <c r="U61" s="1070"/>
      <c r="V61" s="1071"/>
      <c r="W61" s="853"/>
      <c r="X61" s="1341"/>
      <c r="Y61" s="1223"/>
      <c r="Z61" s="1223"/>
      <c r="AA61" s="1223"/>
      <c r="AC61" s="1223"/>
      <c r="AD61" s="1223"/>
      <c r="AE61" s="1204"/>
      <c r="AF61" s="1204"/>
      <c r="AG61" s="1204"/>
      <c r="AH61" s="1204"/>
      <c r="AI61" s="1204"/>
      <c r="AJ61" s="1204"/>
    </row>
    <row r="62" spans="1:37" ht="20.149999999999999" customHeight="1" x14ac:dyDescent="0.2">
      <c r="A62" s="852"/>
      <c r="B62" s="1137" t="s">
        <v>715</v>
      </c>
      <c r="C62" s="1270">
        <f>C11</f>
        <v>0</v>
      </c>
      <c r="D62" s="1139" t="s">
        <v>509</v>
      </c>
      <c r="E62" s="1279">
        <f t="shared" si="1"/>
        <v>0</v>
      </c>
      <c r="F62" s="1387" t="s">
        <v>509</v>
      </c>
      <c r="G62" s="1385">
        <f t="shared" si="0"/>
        <v>0</v>
      </c>
      <c r="H62" s="1133" t="s">
        <v>1044</v>
      </c>
      <c r="I62" s="827"/>
      <c r="J62" s="970" t="s">
        <v>622</v>
      </c>
      <c r="K62" s="982"/>
      <c r="L62" s="1192">
        <v>0.01</v>
      </c>
      <c r="M62" s="1334"/>
      <c r="N62" s="1146" t="s">
        <v>705</v>
      </c>
      <c r="O62" s="969"/>
      <c r="P62" s="969"/>
      <c r="Q62" s="969"/>
      <c r="R62" s="969"/>
      <c r="S62" s="969"/>
      <c r="T62" s="1070"/>
      <c r="U62" s="1070"/>
      <c r="V62" s="1071"/>
      <c r="W62" s="853"/>
      <c r="X62" s="1341"/>
      <c r="Y62" s="1223"/>
      <c r="Z62" s="1223"/>
      <c r="AA62" s="1223"/>
      <c r="AC62" s="1223"/>
      <c r="AD62" s="1223"/>
      <c r="AE62" s="1204"/>
      <c r="AF62" s="1204"/>
      <c r="AG62" s="1204"/>
      <c r="AH62" s="1204"/>
      <c r="AI62" s="1204"/>
      <c r="AJ62" s="1204"/>
    </row>
    <row r="63" spans="1:37" ht="20.149999999999999" customHeight="1" x14ac:dyDescent="0.2">
      <c r="A63" s="852"/>
      <c r="B63" s="1280"/>
      <c r="C63" s="1270"/>
      <c r="D63" s="1281"/>
      <c r="E63" s="1282"/>
      <c r="F63" s="1388"/>
      <c r="G63" s="1282"/>
      <c r="H63" s="1283"/>
      <c r="I63" s="827"/>
      <c r="J63" s="970" t="s">
        <v>623</v>
      </c>
      <c r="K63" s="982"/>
      <c r="L63" s="1195">
        <v>20</v>
      </c>
      <c r="M63" s="1335" t="s">
        <v>132</v>
      </c>
      <c r="N63" s="1146" t="s">
        <v>706</v>
      </c>
      <c r="O63" s="969"/>
      <c r="P63" s="969"/>
      <c r="Q63" s="969"/>
      <c r="R63" s="969"/>
      <c r="S63" s="969"/>
      <c r="T63" s="1070"/>
      <c r="U63" s="1070"/>
      <c r="V63" s="1071"/>
      <c r="W63" s="853"/>
      <c r="X63" s="1341"/>
      <c r="Y63" s="1223"/>
      <c r="Z63" s="1223"/>
      <c r="AA63" s="1223"/>
      <c r="AC63" s="1223"/>
      <c r="AD63" s="1223"/>
      <c r="AE63" s="1204"/>
      <c r="AF63" s="1204"/>
      <c r="AG63" s="1204"/>
      <c r="AH63" s="1204"/>
      <c r="AI63" s="1204"/>
      <c r="AJ63" s="1204"/>
    </row>
    <row r="64" spans="1:37" ht="20.149999999999999" customHeight="1" thickBot="1" x14ac:dyDescent="0.25">
      <c r="A64" s="852"/>
      <c r="B64" s="1326" t="s">
        <v>69</v>
      </c>
      <c r="C64" s="1327">
        <f>SUM(C58:C63)</f>
        <v>350</v>
      </c>
      <c r="D64" s="1150" t="s">
        <v>509</v>
      </c>
      <c r="E64" s="1328">
        <f>SUM(E58:E62)</f>
        <v>350</v>
      </c>
      <c r="F64" s="1389" t="s">
        <v>509</v>
      </c>
      <c r="G64" s="1386">
        <f>SUM(G58:G62)</f>
        <v>115500</v>
      </c>
      <c r="H64" s="1329" t="s">
        <v>1045</v>
      </c>
      <c r="I64" s="827"/>
      <c r="J64" s="967" t="s">
        <v>598</v>
      </c>
      <c r="K64" s="982"/>
      <c r="L64" s="1194"/>
      <c r="M64" s="1333" t="s">
        <v>297</v>
      </c>
      <c r="N64" s="1146" t="s">
        <v>707</v>
      </c>
      <c r="O64" s="969"/>
      <c r="P64" s="969"/>
      <c r="Q64" s="969"/>
      <c r="R64" s="969"/>
      <c r="S64" s="969"/>
      <c r="T64" s="1070"/>
      <c r="U64" s="1070"/>
      <c r="V64" s="1071"/>
      <c r="W64" s="853"/>
      <c r="X64" s="1341"/>
      <c r="Y64" s="1223"/>
      <c r="Z64" s="1223"/>
      <c r="AA64" s="1223"/>
      <c r="AC64" s="1223"/>
      <c r="AD64" s="1223"/>
      <c r="AE64" s="1204"/>
      <c r="AF64" s="1204"/>
      <c r="AG64" s="1204"/>
      <c r="AH64" s="1204"/>
      <c r="AI64" s="1204"/>
      <c r="AJ64" s="1204"/>
    </row>
    <row r="65" spans="1:38" ht="20.149999999999999" customHeight="1" x14ac:dyDescent="0.2">
      <c r="A65" s="852"/>
      <c r="B65" s="852"/>
      <c r="C65" s="1004"/>
      <c r="D65" s="852"/>
      <c r="E65" s="1004"/>
      <c r="F65" s="1301"/>
      <c r="G65" s="852"/>
      <c r="H65" s="1390" t="s">
        <v>1072</v>
      </c>
      <c r="I65" s="827"/>
      <c r="J65" s="970" t="s">
        <v>624</v>
      </c>
      <c r="K65" s="982"/>
      <c r="L65" s="1192">
        <v>0.01</v>
      </c>
      <c r="M65" s="1336"/>
      <c r="N65" s="1146" t="s">
        <v>705</v>
      </c>
      <c r="O65" s="969"/>
      <c r="P65" s="969"/>
      <c r="Q65" s="969"/>
      <c r="R65" s="969"/>
      <c r="S65" s="969"/>
      <c r="T65" s="1070"/>
      <c r="U65" s="1070"/>
      <c r="V65" s="1071"/>
      <c r="W65" s="853"/>
      <c r="X65" s="1341"/>
      <c r="Y65" s="1223"/>
      <c r="Z65" s="1223"/>
      <c r="AA65" s="1223"/>
      <c r="AC65" s="1223"/>
      <c r="AD65" s="1223"/>
      <c r="AE65" s="1204"/>
      <c r="AF65" s="1204"/>
      <c r="AG65" s="1204"/>
      <c r="AH65" s="1204"/>
      <c r="AI65" s="1204"/>
      <c r="AJ65" s="1204"/>
    </row>
    <row r="66" spans="1:38" ht="20.149999999999999" customHeight="1" thickBot="1" x14ac:dyDescent="0.25">
      <c r="A66" s="852"/>
      <c r="B66" s="852"/>
      <c r="C66" s="852"/>
      <c r="D66" s="852"/>
      <c r="E66" s="852"/>
      <c r="F66" s="1302"/>
      <c r="G66" s="852"/>
      <c r="H66" s="1390" t="s">
        <v>1063</v>
      </c>
      <c r="I66" s="827"/>
      <c r="J66" s="971" t="s">
        <v>625</v>
      </c>
      <c r="K66" s="997"/>
      <c r="L66" s="1196">
        <v>20</v>
      </c>
      <c r="M66" s="1337" t="s">
        <v>132</v>
      </c>
      <c r="N66" s="1151" t="s">
        <v>706</v>
      </c>
      <c r="O66" s="1008"/>
      <c r="P66" s="1008"/>
      <c r="Q66" s="1008"/>
      <c r="R66" s="1008"/>
      <c r="S66" s="1008"/>
      <c r="T66" s="1072"/>
      <c r="U66" s="1072"/>
      <c r="V66" s="986"/>
      <c r="W66" s="853"/>
      <c r="X66" s="1341"/>
      <c r="Y66" s="1223"/>
      <c r="Z66" s="1223"/>
      <c r="AA66" s="1223"/>
      <c r="AC66" s="1223"/>
      <c r="AD66" s="1223"/>
      <c r="AE66" s="1204"/>
      <c r="AF66" s="1204"/>
      <c r="AG66" s="1204"/>
      <c r="AH66" s="1204"/>
      <c r="AI66" s="1204"/>
      <c r="AJ66" s="1204"/>
    </row>
    <row r="67" spans="1:38" ht="20.149999999999999" customHeight="1" x14ac:dyDescent="0.2">
      <c r="A67" s="852"/>
      <c r="B67" s="852"/>
      <c r="C67" s="852"/>
      <c r="D67" s="1004"/>
      <c r="E67" s="852"/>
      <c r="F67" s="852"/>
      <c r="G67" s="827"/>
      <c r="H67" s="827"/>
      <c r="I67" s="827"/>
      <c r="J67" s="852"/>
      <c r="K67" s="852"/>
      <c r="L67" s="852"/>
      <c r="M67" s="852"/>
      <c r="N67" s="819"/>
      <c r="O67" s="827"/>
      <c r="P67" s="827"/>
      <c r="Q67" s="827"/>
      <c r="R67" s="827"/>
      <c r="S67" s="827"/>
      <c r="T67" s="827"/>
      <c r="U67" s="827"/>
      <c r="V67" s="827"/>
      <c r="W67" s="853"/>
      <c r="X67" s="1341"/>
      <c r="Y67" s="1223"/>
      <c r="Z67" s="1223"/>
      <c r="AA67" s="1223"/>
      <c r="AC67" s="1223"/>
      <c r="AD67" s="1223"/>
      <c r="AE67" s="1204"/>
      <c r="AF67" s="1204"/>
      <c r="AG67" s="1204"/>
      <c r="AH67" s="1204"/>
      <c r="AI67" s="1204"/>
      <c r="AJ67" s="1204"/>
    </row>
    <row r="68" spans="1:38" ht="34.5" customHeight="1" x14ac:dyDescent="0.2">
      <c r="A68" s="623"/>
      <c r="B68" s="1117" t="s">
        <v>868</v>
      </c>
      <c r="C68" s="620"/>
      <c r="D68" s="621"/>
      <c r="E68" s="620"/>
      <c r="F68" s="621"/>
      <c r="G68" s="622"/>
      <c r="H68" s="622"/>
      <c r="I68" s="622"/>
      <c r="J68" s="622"/>
      <c r="K68" s="622"/>
      <c r="L68" s="622"/>
      <c r="M68" s="622"/>
      <c r="N68" s="622"/>
      <c r="O68" s="622"/>
      <c r="P68" s="623"/>
      <c r="Q68" s="623"/>
      <c r="R68" s="623"/>
      <c r="S68" s="623"/>
      <c r="T68" s="623"/>
      <c r="U68" s="623"/>
      <c r="V68" s="623"/>
      <c r="W68" s="623"/>
      <c r="X68" s="1341"/>
      <c r="Y68" s="1223"/>
      <c r="Z68" s="1223"/>
      <c r="AA68" s="1223"/>
      <c r="AC68" s="1223"/>
      <c r="AD68" s="1223"/>
      <c r="AE68" s="1204"/>
      <c r="AF68" s="1204"/>
      <c r="AG68" s="1204"/>
      <c r="AH68" s="1204"/>
      <c r="AI68" s="1204"/>
      <c r="AJ68" s="1204"/>
    </row>
    <row r="69" spans="1:38" x14ac:dyDescent="0.2">
      <c r="A69" s="852"/>
      <c r="B69" s="852"/>
      <c r="C69" s="852"/>
      <c r="D69" s="852"/>
      <c r="E69" s="852"/>
      <c r="F69" s="852"/>
      <c r="G69" s="827"/>
      <c r="H69" s="827"/>
      <c r="I69" s="827"/>
      <c r="J69" s="827"/>
      <c r="K69" s="827"/>
      <c r="L69" s="827"/>
      <c r="M69" s="827"/>
      <c r="N69" s="853"/>
      <c r="O69" s="853"/>
      <c r="P69" s="853"/>
      <c r="Q69" s="853"/>
      <c r="R69" s="853"/>
      <c r="S69" s="853"/>
      <c r="T69" s="853"/>
      <c r="U69" s="853"/>
      <c r="V69" s="853"/>
      <c r="W69" s="853"/>
      <c r="X69" s="1341"/>
      <c r="Y69" s="1341"/>
      <c r="Z69" s="1341"/>
      <c r="AA69" s="1341"/>
      <c r="AB69" s="1340"/>
      <c r="AC69" s="1341"/>
      <c r="AD69" s="1341"/>
      <c r="AE69" s="1318"/>
      <c r="AF69" s="1318"/>
      <c r="AG69" s="1203"/>
      <c r="AH69" s="1203"/>
      <c r="AI69" s="1220"/>
      <c r="AJ69" s="1203"/>
      <c r="AK69" s="1340"/>
      <c r="AL69" s="1368"/>
    </row>
    <row r="70" spans="1:38" ht="21.5" thickBot="1" x14ac:dyDescent="0.25">
      <c r="A70" s="852"/>
      <c r="B70" s="847" t="s">
        <v>972</v>
      </c>
      <c r="C70" s="852"/>
      <c r="D70" s="852"/>
      <c r="E70" s="852"/>
      <c r="F70" s="852"/>
      <c r="G70" s="827"/>
      <c r="H70" s="827"/>
      <c r="I70" s="827"/>
      <c r="J70" s="827"/>
      <c r="K70" s="827"/>
      <c r="L70" s="827"/>
      <c r="M70" s="827"/>
      <c r="N70" s="853"/>
      <c r="O70" s="853"/>
      <c r="P70" s="853"/>
      <c r="Q70" s="853"/>
      <c r="R70" s="853"/>
      <c r="S70" s="853"/>
      <c r="T70" s="853"/>
      <c r="U70" s="853"/>
      <c r="V70" s="853"/>
      <c r="W70" s="853"/>
      <c r="X70" s="1341"/>
      <c r="Y70" s="1341"/>
      <c r="Z70" s="1341"/>
      <c r="AA70" s="1341"/>
      <c r="AB70" s="1340"/>
      <c r="AC70" s="1341"/>
      <c r="AD70" s="1341"/>
      <c r="AE70" s="1318"/>
      <c r="AF70" s="1318"/>
      <c r="AG70" s="1203"/>
      <c r="AH70" s="1203"/>
      <c r="AI70" s="1220"/>
      <c r="AJ70" s="1203"/>
      <c r="AK70" s="1340"/>
      <c r="AL70" s="1368"/>
    </row>
    <row r="71" spans="1:38" ht="18" x14ac:dyDescent="0.2">
      <c r="A71" s="852"/>
      <c r="B71" s="880"/>
      <c r="C71" s="881" t="s">
        <v>490</v>
      </c>
      <c r="D71" s="881" t="s">
        <v>282</v>
      </c>
      <c r="E71" s="882" t="s">
        <v>520</v>
      </c>
      <c r="F71" s="852"/>
      <c r="G71" s="827"/>
      <c r="H71" s="827"/>
      <c r="I71" s="827"/>
      <c r="J71" s="1"/>
      <c r="K71" s="1"/>
      <c r="L71" s="827"/>
      <c r="M71" s="827"/>
      <c r="N71" s="1461" t="s">
        <v>1189</v>
      </c>
      <c r="O71" s="1065"/>
      <c r="P71" s="1065"/>
      <c r="Q71" s="866"/>
      <c r="R71" s="866"/>
      <c r="S71" s="866"/>
      <c r="T71" s="866"/>
      <c r="U71" s="866"/>
      <c r="V71" s="867"/>
      <c r="W71" s="827"/>
      <c r="X71" s="1341"/>
      <c r="Y71" s="1341"/>
      <c r="Z71" s="1341"/>
      <c r="AA71" s="1341"/>
      <c r="AB71" s="1340"/>
      <c r="AC71" s="1341"/>
      <c r="AD71" s="1341"/>
      <c r="AE71" s="1318"/>
      <c r="AF71" s="1318"/>
      <c r="AG71" s="1203"/>
      <c r="AH71" s="1203"/>
      <c r="AI71" s="1220"/>
      <c r="AJ71" s="1203"/>
      <c r="AK71" s="1340"/>
      <c r="AL71" s="1368"/>
    </row>
    <row r="72" spans="1:38" ht="17.5" x14ac:dyDescent="0.2">
      <c r="A72" s="852"/>
      <c r="B72" s="1154" t="s">
        <v>260</v>
      </c>
      <c r="C72" s="1292">
        <f>計算シート!AI203/1000000/20</f>
        <v>1222.404665625</v>
      </c>
      <c r="D72" s="1292"/>
      <c r="E72" s="1155" t="s">
        <v>642</v>
      </c>
      <c r="F72" s="852"/>
      <c r="G72" s="827"/>
      <c r="H72" s="827"/>
      <c r="I72" s="827"/>
      <c r="J72" s="1"/>
      <c r="K72" s="1"/>
      <c r="L72" s="827"/>
      <c r="M72" s="827"/>
      <c r="N72" s="868" t="s">
        <v>1147</v>
      </c>
      <c r="O72" s="864"/>
      <c r="P72" s="864"/>
      <c r="Q72" s="864"/>
      <c r="R72" s="864"/>
      <c r="S72" s="864"/>
      <c r="T72" s="864"/>
      <c r="U72" s="864"/>
      <c r="V72" s="869"/>
      <c r="W72" s="827"/>
      <c r="X72" s="1341"/>
      <c r="Y72" s="1341"/>
      <c r="Z72" s="1341"/>
      <c r="AA72" s="1341"/>
      <c r="AB72" s="1340"/>
      <c r="AC72" s="1341"/>
      <c r="AD72" s="1341"/>
      <c r="AE72" s="1318"/>
      <c r="AF72" s="1318"/>
      <c r="AG72" s="1203"/>
      <c r="AH72" s="1203"/>
      <c r="AI72" s="1220"/>
      <c r="AJ72" s="1203"/>
      <c r="AK72" s="1340"/>
      <c r="AL72" s="1368"/>
    </row>
    <row r="73" spans="1:38" ht="17.5" x14ac:dyDescent="0.2">
      <c r="A73" s="852"/>
      <c r="B73" s="1156" t="s">
        <v>517</v>
      </c>
      <c r="C73" s="1293">
        <f>計算シート!AI205/1000000/20</f>
        <v>261.19757812500001</v>
      </c>
      <c r="D73" s="1293"/>
      <c r="E73" s="1157" t="s">
        <v>642</v>
      </c>
      <c r="F73" s="852"/>
      <c r="G73" s="827"/>
      <c r="H73" s="827"/>
      <c r="I73" s="827"/>
      <c r="J73" s="1"/>
      <c r="K73" s="1"/>
      <c r="L73" s="827"/>
      <c r="M73" s="827"/>
      <c r="N73" s="868" t="s">
        <v>1148</v>
      </c>
      <c r="O73" s="864"/>
      <c r="P73" s="864"/>
      <c r="Q73" s="864"/>
      <c r="R73" s="864"/>
      <c r="S73" s="864"/>
      <c r="T73" s="864"/>
      <c r="U73" s="864"/>
      <c r="V73" s="869"/>
      <c r="W73" s="827"/>
      <c r="X73" s="1341"/>
      <c r="Y73" s="1341"/>
      <c r="Z73" s="1341"/>
      <c r="AA73" s="1341"/>
      <c r="AB73" s="1340"/>
      <c r="AC73" s="1341"/>
      <c r="AD73" s="1341"/>
      <c r="AE73" s="1318"/>
      <c r="AF73" s="1318"/>
      <c r="AG73" s="1203"/>
      <c r="AH73" s="1203"/>
      <c r="AI73" s="1220"/>
      <c r="AJ73" s="1203"/>
      <c r="AK73" s="1340"/>
      <c r="AL73" s="1368"/>
    </row>
    <row r="74" spans="1:38" ht="17.5" x14ac:dyDescent="0.2">
      <c r="A74" s="852"/>
      <c r="B74" s="1154" t="s">
        <v>68</v>
      </c>
      <c r="C74" s="1292">
        <f>計算シート!AI211/1000000/20</f>
        <v>0</v>
      </c>
      <c r="D74" s="1292"/>
      <c r="E74" s="1155" t="s">
        <v>642</v>
      </c>
      <c r="F74" s="852"/>
      <c r="G74" s="827"/>
      <c r="H74" s="827"/>
      <c r="I74" s="827"/>
      <c r="J74" s="1"/>
      <c r="K74" s="1"/>
      <c r="L74" s="827"/>
      <c r="M74" s="827"/>
      <c r="N74" s="868" t="s">
        <v>1149</v>
      </c>
      <c r="O74" s="864"/>
      <c r="P74" s="864"/>
      <c r="Q74" s="864"/>
      <c r="R74" s="864"/>
      <c r="S74" s="864"/>
      <c r="T74" s="864"/>
      <c r="U74" s="864"/>
      <c r="V74" s="869"/>
      <c r="W74" s="827"/>
      <c r="X74" s="1341"/>
      <c r="Y74" s="1341"/>
      <c r="Z74" s="1341"/>
      <c r="AA74" s="1341"/>
      <c r="AB74" s="1340"/>
      <c r="AC74" s="1341"/>
      <c r="AD74" s="1341"/>
      <c r="AE74" s="1318"/>
      <c r="AF74" s="1318"/>
      <c r="AG74" s="1203"/>
      <c r="AH74" s="1203"/>
      <c r="AI74" s="1220"/>
      <c r="AJ74" s="1203"/>
      <c r="AK74" s="1340"/>
      <c r="AL74" s="1368"/>
    </row>
    <row r="75" spans="1:38" ht="17.5" x14ac:dyDescent="0.2">
      <c r="A75" s="852"/>
      <c r="B75" s="1154" t="s">
        <v>768</v>
      </c>
      <c r="C75" s="1292"/>
      <c r="D75" s="1292">
        <f>計算シート!AI214/1000000/20</f>
        <v>495</v>
      </c>
      <c r="E75" s="1155" t="s">
        <v>642</v>
      </c>
      <c r="F75" s="852"/>
      <c r="G75" s="827"/>
      <c r="H75" s="827"/>
      <c r="I75" s="827"/>
      <c r="J75" s="1"/>
      <c r="K75" s="1"/>
      <c r="L75" s="827"/>
      <c r="M75" s="827"/>
      <c r="N75" s="868" t="s">
        <v>1150</v>
      </c>
      <c r="O75" s="864"/>
      <c r="P75" s="864"/>
      <c r="Q75" s="864"/>
      <c r="R75" s="864"/>
      <c r="S75" s="864"/>
      <c r="T75" s="864"/>
      <c r="U75" s="864"/>
      <c r="V75" s="869"/>
      <c r="W75" s="827"/>
      <c r="X75" s="1341"/>
      <c r="Y75" s="1341"/>
      <c r="Z75" s="1341"/>
      <c r="AA75" s="1341"/>
      <c r="AB75" s="1340"/>
      <c r="AC75" s="1341"/>
      <c r="AD75" s="1341"/>
      <c r="AE75" s="1318"/>
      <c r="AF75" s="1318"/>
      <c r="AG75" s="1203"/>
      <c r="AH75" s="1203"/>
      <c r="AI75" s="1220"/>
      <c r="AJ75" s="1203"/>
      <c r="AK75" s="1340"/>
      <c r="AL75" s="1368"/>
    </row>
    <row r="76" spans="1:38" ht="17.5" x14ac:dyDescent="0.2">
      <c r="A76" s="852"/>
      <c r="B76" s="1154" t="s">
        <v>516</v>
      </c>
      <c r="C76" s="1292"/>
      <c r="D76" s="1292">
        <f>計算シート!AI215/1000000/20</f>
        <v>180.75717156111364</v>
      </c>
      <c r="E76" s="1155" t="s">
        <v>642</v>
      </c>
      <c r="F76" s="852"/>
      <c r="G76" s="827"/>
      <c r="H76" s="827"/>
      <c r="I76" s="827"/>
      <c r="J76" s="1"/>
      <c r="K76" s="1"/>
      <c r="L76" s="827"/>
      <c r="M76" s="827"/>
      <c r="N76" s="868" t="s">
        <v>1151</v>
      </c>
      <c r="O76" s="864"/>
      <c r="P76" s="864"/>
      <c r="Q76" s="864"/>
      <c r="R76" s="864"/>
      <c r="S76" s="864"/>
      <c r="T76" s="864"/>
      <c r="U76" s="864"/>
      <c r="V76" s="869"/>
      <c r="W76" s="827"/>
      <c r="X76" s="1341"/>
      <c r="Y76" s="1341"/>
      <c r="Z76" s="1341"/>
      <c r="AA76" s="1341"/>
      <c r="AB76" s="1340"/>
      <c r="AC76" s="1341"/>
      <c r="AD76" s="1341"/>
      <c r="AE76" s="1318"/>
      <c r="AF76" s="1318"/>
      <c r="AG76" s="1203"/>
      <c r="AH76" s="1203"/>
      <c r="AI76" s="1220"/>
      <c r="AJ76" s="1203"/>
      <c r="AK76" s="1340"/>
      <c r="AL76" s="1368"/>
    </row>
    <row r="77" spans="1:38" ht="17.5" x14ac:dyDescent="0.2">
      <c r="A77" s="852"/>
      <c r="B77" s="1154" t="s">
        <v>513</v>
      </c>
      <c r="C77" s="1292"/>
      <c r="D77" s="1292">
        <f>計算シート!AI216/1000000/20</f>
        <v>60.252390520371215</v>
      </c>
      <c r="E77" s="1155" t="s">
        <v>642</v>
      </c>
      <c r="F77" s="852"/>
      <c r="G77" s="827"/>
      <c r="H77" s="827"/>
      <c r="I77" s="827"/>
      <c r="J77" s="1"/>
      <c r="K77" s="1"/>
      <c r="L77" s="827"/>
      <c r="M77" s="827"/>
      <c r="N77" s="868" t="s">
        <v>1158</v>
      </c>
      <c r="O77" s="864"/>
      <c r="P77" s="864"/>
      <c r="Q77" s="864"/>
      <c r="R77" s="864"/>
      <c r="S77" s="864"/>
      <c r="T77" s="864"/>
      <c r="U77" s="864"/>
      <c r="V77" s="869"/>
      <c r="W77" s="827"/>
      <c r="X77" s="1341"/>
      <c r="Y77" s="1341"/>
      <c r="Z77" s="1341"/>
      <c r="AA77" s="1341"/>
      <c r="AB77" s="1340"/>
      <c r="AC77" s="1341"/>
      <c r="AD77" s="1341"/>
      <c r="AE77" s="1318"/>
      <c r="AF77" s="1318"/>
      <c r="AG77" s="1203"/>
      <c r="AH77" s="1203"/>
      <c r="AI77" s="1220"/>
      <c r="AJ77" s="1203"/>
      <c r="AK77" s="1340"/>
      <c r="AL77" s="1368"/>
    </row>
    <row r="78" spans="1:38" ht="17.5" x14ac:dyDescent="0.2">
      <c r="A78" s="852"/>
      <c r="B78" s="1154" t="s">
        <v>210</v>
      </c>
      <c r="C78" s="1292"/>
      <c r="D78" s="1292">
        <f>計算シート!AI217/1000000/20</f>
        <v>84.281810798385678</v>
      </c>
      <c r="E78" s="1155" t="s">
        <v>642</v>
      </c>
      <c r="F78" s="852"/>
      <c r="G78" s="854"/>
      <c r="H78" s="854"/>
      <c r="I78" s="854"/>
      <c r="J78" s="1"/>
      <c r="K78" s="1"/>
      <c r="L78" s="827"/>
      <c r="M78" s="827"/>
      <c r="N78" s="868" t="s">
        <v>1190</v>
      </c>
      <c r="O78" s="864"/>
      <c r="P78" s="864"/>
      <c r="Q78" s="864"/>
      <c r="R78" s="864"/>
      <c r="S78" s="864"/>
      <c r="T78" s="864"/>
      <c r="U78" s="864"/>
      <c r="V78" s="869"/>
      <c r="W78" s="827"/>
      <c r="X78" s="1341"/>
      <c r="Y78" s="1341"/>
      <c r="Z78" s="1341"/>
      <c r="AA78" s="1341"/>
      <c r="AB78" s="1340"/>
      <c r="AC78" s="1341"/>
      <c r="AD78" s="1341"/>
      <c r="AE78" s="1318"/>
      <c r="AF78" s="1318"/>
      <c r="AG78" s="1203"/>
      <c r="AH78" s="1203"/>
      <c r="AI78" s="1220"/>
      <c r="AJ78" s="1203"/>
      <c r="AK78" s="1340"/>
      <c r="AL78" s="1368"/>
    </row>
    <row r="79" spans="1:38" ht="17.5" x14ac:dyDescent="0.2">
      <c r="A79" s="852"/>
      <c r="B79" s="1154" t="s">
        <v>1214</v>
      </c>
      <c r="C79" s="1292"/>
      <c r="D79" s="1292">
        <f>計算シート!AI218/1000000/20</f>
        <v>60.201293427418378</v>
      </c>
      <c r="E79" s="1155" t="s">
        <v>642</v>
      </c>
      <c r="F79" s="852"/>
      <c r="G79" s="854"/>
      <c r="H79" s="854"/>
      <c r="I79" s="854"/>
      <c r="J79" s="1"/>
      <c r="K79" s="1"/>
      <c r="L79" s="827"/>
      <c r="M79" s="827"/>
      <c r="N79" s="868" t="s">
        <v>1178</v>
      </c>
      <c r="O79" s="864"/>
      <c r="P79" s="864"/>
      <c r="Q79" s="864"/>
      <c r="R79" s="864"/>
      <c r="S79" s="864"/>
      <c r="T79" s="864"/>
      <c r="U79" s="864"/>
      <c r="V79" s="869"/>
      <c r="W79" s="827"/>
      <c r="X79" s="1341"/>
      <c r="Y79" s="1341"/>
      <c r="Z79" s="1341"/>
      <c r="AA79" s="1341"/>
      <c r="AB79" s="1340"/>
      <c r="AC79" s="1341"/>
      <c r="AD79" s="1341"/>
      <c r="AE79" s="1318"/>
      <c r="AF79" s="1318"/>
      <c r="AG79" s="1203"/>
      <c r="AH79" s="1203"/>
      <c r="AI79" s="1220"/>
      <c r="AJ79" s="1203"/>
      <c r="AK79" s="1340"/>
      <c r="AL79" s="1368"/>
    </row>
    <row r="80" spans="1:38" ht="17.5" x14ac:dyDescent="0.2">
      <c r="A80" s="852"/>
      <c r="B80" s="1154" t="s">
        <v>1215</v>
      </c>
      <c r="C80" s="1292"/>
      <c r="D80" s="1292">
        <f>計算シート!AI223/1000000/20</f>
        <v>258.88089086578475</v>
      </c>
      <c r="E80" s="1155" t="s">
        <v>642</v>
      </c>
      <c r="F80" s="852"/>
      <c r="G80" s="854"/>
      <c r="H80" s="854"/>
      <c r="I80" s="854"/>
      <c r="J80" s="1"/>
      <c r="K80" s="1"/>
      <c r="L80" s="827"/>
      <c r="M80" s="827"/>
      <c r="N80" s="868" t="s">
        <v>1176</v>
      </c>
      <c r="O80" s="864"/>
      <c r="P80" s="864"/>
      <c r="Q80" s="864"/>
      <c r="R80" s="864"/>
      <c r="S80" s="864"/>
      <c r="T80" s="864"/>
      <c r="U80" s="864"/>
      <c r="V80" s="869"/>
      <c r="W80" s="827"/>
      <c r="X80" s="1341"/>
      <c r="Y80" s="1341"/>
      <c r="Z80" s="1341"/>
      <c r="AA80" s="1341"/>
      <c r="AB80" s="1340"/>
      <c r="AC80" s="1341"/>
      <c r="AD80" s="1341"/>
      <c r="AE80" s="1318"/>
      <c r="AF80" s="1318"/>
      <c r="AG80" s="1203"/>
      <c r="AH80" s="1203"/>
      <c r="AI80" s="1220"/>
      <c r="AJ80" s="1203"/>
      <c r="AK80" s="1340"/>
      <c r="AL80" s="1368"/>
    </row>
    <row r="81" spans="1:38" ht="17.5" x14ac:dyDescent="0.2">
      <c r="A81" s="852"/>
      <c r="B81" s="1154" t="s">
        <v>199</v>
      </c>
      <c r="C81" s="1292"/>
      <c r="D81" s="1292">
        <f>計算シート!AI224/1000000/20</f>
        <v>72.241552112902014</v>
      </c>
      <c r="E81" s="1155" t="s">
        <v>642</v>
      </c>
      <c r="F81" s="852"/>
      <c r="G81" s="854"/>
      <c r="H81" s="854"/>
      <c r="I81" s="854"/>
      <c r="J81" s="1"/>
      <c r="K81" s="1"/>
      <c r="L81" s="827"/>
      <c r="M81" s="827"/>
      <c r="N81" s="868" t="s">
        <v>1177</v>
      </c>
      <c r="O81" s="864"/>
      <c r="P81" s="864"/>
      <c r="Q81" s="864"/>
      <c r="R81" s="864"/>
      <c r="S81" s="864"/>
      <c r="T81" s="864"/>
      <c r="U81" s="864"/>
      <c r="V81" s="869"/>
      <c r="W81" s="827"/>
      <c r="X81" s="1341"/>
      <c r="Y81" s="1341"/>
      <c r="Z81" s="1341"/>
      <c r="AA81" s="1341"/>
      <c r="AB81" s="1340"/>
      <c r="AC81" s="1341"/>
      <c r="AD81" s="1341"/>
      <c r="AE81" s="1318"/>
      <c r="AF81" s="1318"/>
      <c r="AG81" s="1203"/>
      <c r="AH81" s="1203"/>
      <c r="AI81" s="1220"/>
      <c r="AJ81" s="1203"/>
      <c r="AK81" s="1340"/>
      <c r="AL81" s="1368"/>
    </row>
    <row r="82" spans="1:38" ht="17.5" x14ac:dyDescent="0.2">
      <c r="A82" s="852"/>
      <c r="B82" s="1154" t="s">
        <v>643</v>
      </c>
      <c r="C82" s="1292"/>
      <c r="D82" s="1292">
        <f>計算シート!AI225/1000000/20</f>
        <v>24.080517370967332</v>
      </c>
      <c r="E82" s="1155" t="s">
        <v>642</v>
      </c>
      <c r="F82" s="852"/>
      <c r="G82" s="854"/>
      <c r="H82" s="854"/>
      <c r="I82" s="854"/>
      <c r="J82" s="1"/>
      <c r="K82" s="1"/>
      <c r="L82" s="827"/>
      <c r="M82" s="827"/>
      <c r="N82" s="868" t="s">
        <v>1179</v>
      </c>
      <c r="O82" s="864"/>
      <c r="P82" s="864"/>
      <c r="Q82" s="864"/>
      <c r="R82" s="864"/>
      <c r="S82" s="864"/>
      <c r="T82" s="864"/>
      <c r="U82" s="864"/>
      <c r="V82" s="869"/>
      <c r="W82" s="827"/>
      <c r="X82" s="1341"/>
      <c r="Y82" s="1341"/>
      <c r="Z82" s="1341"/>
      <c r="AA82" s="1341"/>
      <c r="AB82" s="1340"/>
      <c r="AC82" s="1341"/>
      <c r="AD82" s="1341"/>
      <c r="AE82" s="1318"/>
      <c r="AF82" s="1318"/>
      <c r="AG82" s="1203"/>
      <c r="AH82" s="1203"/>
      <c r="AI82" s="1220"/>
      <c r="AJ82" s="1203"/>
      <c r="AK82" s="1340"/>
      <c r="AL82" s="1368"/>
    </row>
    <row r="83" spans="1:38" ht="17.5" x14ac:dyDescent="0.2">
      <c r="A83" s="852"/>
      <c r="B83" s="1154" t="s">
        <v>518</v>
      </c>
      <c r="C83" s="1292"/>
      <c r="D83" s="1292">
        <f>計算シート!AI228/1000000/20</f>
        <v>105.96263059559253</v>
      </c>
      <c r="E83" s="1155" t="s">
        <v>642</v>
      </c>
      <c r="F83" s="852"/>
      <c r="G83" s="854"/>
      <c r="H83" s="854"/>
      <c r="I83" s="854"/>
      <c r="J83" s="1"/>
      <c r="K83" s="1"/>
      <c r="L83" s="827"/>
      <c r="M83" s="827"/>
      <c r="N83" s="868" t="s">
        <v>1167</v>
      </c>
      <c r="O83" s="864"/>
      <c r="P83" s="864"/>
      <c r="Q83" s="864"/>
      <c r="R83" s="864"/>
      <c r="S83" s="864"/>
      <c r="T83" s="864"/>
      <c r="U83" s="864"/>
      <c r="V83" s="869"/>
      <c r="W83" s="827"/>
      <c r="X83" s="1341"/>
      <c r="Y83" s="1341"/>
      <c r="Z83" s="1341"/>
      <c r="AA83" s="1341"/>
      <c r="AB83" s="1340"/>
      <c r="AC83" s="1341"/>
      <c r="AD83" s="1341"/>
      <c r="AE83" s="1318"/>
      <c r="AF83" s="1318"/>
      <c r="AG83" s="1203"/>
      <c r="AH83" s="1203"/>
      <c r="AI83" s="1220"/>
      <c r="AJ83" s="1203"/>
      <c r="AK83" s="1340"/>
      <c r="AL83" s="1368"/>
    </row>
    <row r="84" spans="1:38" ht="17" customHeight="1" x14ac:dyDescent="0.2">
      <c r="A84" s="852"/>
      <c r="B84" s="1154" t="s">
        <v>829</v>
      </c>
      <c r="C84" s="1292"/>
      <c r="D84" s="1292">
        <f>計算シート!AI229/1000000/20</f>
        <v>0</v>
      </c>
      <c r="E84" s="1155" t="s">
        <v>642</v>
      </c>
      <c r="F84" s="852"/>
      <c r="G84" s="854"/>
      <c r="H84" s="854"/>
      <c r="I84" s="854"/>
      <c r="J84" s="1"/>
      <c r="K84" s="1"/>
      <c r="L84" s="827"/>
      <c r="M84" s="827"/>
      <c r="N84" s="868" t="s">
        <v>1153</v>
      </c>
      <c r="O84" s="864"/>
      <c r="P84" s="864"/>
      <c r="Q84" s="864"/>
      <c r="R84" s="864"/>
      <c r="S84" s="864"/>
      <c r="T84" s="864"/>
      <c r="U84" s="864"/>
      <c r="V84" s="869"/>
      <c r="W84" s="827"/>
      <c r="X84" s="1341"/>
      <c r="Y84" s="1341"/>
      <c r="Z84" s="1341"/>
      <c r="AA84" s="1341"/>
      <c r="AB84" s="1340"/>
      <c r="AC84" s="1341"/>
      <c r="AD84" s="1341"/>
      <c r="AE84" s="1318"/>
      <c r="AF84" s="1318"/>
      <c r="AG84" s="1203"/>
      <c r="AH84" s="1203"/>
      <c r="AI84" s="1220"/>
      <c r="AJ84" s="1203"/>
      <c r="AK84" s="1340"/>
      <c r="AL84" s="1368"/>
    </row>
    <row r="85" spans="1:38" ht="18" thickBot="1" x14ac:dyDescent="0.25">
      <c r="A85" s="852"/>
      <c r="B85" s="905" t="s">
        <v>69</v>
      </c>
      <c r="C85" s="1294">
        <f>SUM(C72:C82)</f>
        <v>1483.6022437500001</v>
      </c>
      <c r="D85" s="1294">
        <f>SUM(D75:D84)</f>
        <v>1341.6582572525353</v>
      </c>
      <c r="E85" s="1158" t="s">
        <v>642</v>
      </c>
      <c r="F85" s="852"/>
      <c r="G85" s="854"/>
      <c r="H85" s="854"/>
      <c r="I85" s="854"/>
      <c r="J85" s="855"/>
      <c r="K85" s="856"/>
      <c r="L85" s="827"/>
      <c r="M85" s="827"/>
      <c r="N85" s="868" t="s">
        <v>1161</v>
      </c>
      <c r="O85" s="864"/>
      <c r="P85" s="864"/>
      <c r="Q85" s="864"/>
      <c r="R85" s="864"/>
      <c r="S85" s="864"/>
      <c r="T85" s="864"/>
      <c r="U85" s="864"/>
      <c r="V85" s="869"/>
      <c r="W85" s="853"/>
      <c r="X85" s="1341"/>
      <c r="Y85" s="1341"/>
      <c r="Z85" s="1341"/>
      <c r="AA85" s="1341"/>
      <c r="AB85" s="1340"/>
      <c r="AC85" s="1341"/>
      <c r="AD85" s="1341"/>
      <c r="AE85" s="1318"/>
      <c r="AF85" s="1318"/>
      <c r="AG85" s="1203"/>
      <c r="AH85" s="1203"/>
      <c r="AI85" s="1220"/>
      <c r="AJ85" s="1203"/>
      <c r="AK85" s="1340"/>
      <c r="AL85" s="1368"/>
    </row>
    <row r="86" spans="1:38" x14ac:dyDescent="0.2">
      <c r="A86" s="852"/>
      <c r="B86" s="852"/>
      <c r="C86" s="852"/>
      <c r="D86" s="852"/>
      <c r="E86" s="852"/>
      <c r="F86" s="852"/>
      <c r="G86" s="854"/>
      <c r="H86" s="854"/>
      <c r="I86" s="854"/>
      <c r="J86" s="855"/>
      <c r="K86" s="856"/>
      <c r="L86" s="827"/>
      <c r="M86" s="827"/>
      <c r="N86" s="868" t="s">
        <v>1154</v>
      </c>
      <c r="O86" s="864"/>
      <c r="P86" s="864"/>
      <c r="Q86" s="864"/>
      <c r="R86" s="864"/>
      <c r="S86" s="864"/>
      <c r="T86" s="864"/>
      <c r="U86" s="864"/>
      <c r="V86" s="869"/>
      <c r="W86" s="853"/>
      <c r="X86" s="1341"/>
      <c r="Y86" s="1341"/>
      <c r="Z86" s="1341"/>
      <c r="AA86" s="1341"/>
      <c r="AB86" s="1340"/>
      <c r="AC86" s="1341"/>
      <c r="AD86" s="1341"/>
      <c r="AE86" s="1318"/>
      <c r="AF86" s="1318"/>
      <c r="AG86" s="1203"/>
      <c r="AH86" s="1203"/>
      <c r="AI86" s="1220"/>
      <c r="AJ86" s="1203"/>
      <c r="AK86" s="1340"/>
      <c r="AL86" s="1368"/>
    </row>
    <row r="87" spans="1:38" x14ac:dyDescent="0.2">
      <c r="A87" s="852"/>
      <c r="B87" s="852"/>
      <c r="C87" s="852"/>
      <c r="D87" s="852"/>
      <c r="E87" s="852"/>
      <c r="F87" s="852"/>
      <c r="G87" s="854"/>
      <c r="H87" s="854"/>
      <c r="I87" s="854"/>
      <c r="J87" s="855"/>
      <c r="K87" s="856"/>
      <c r="L87" s="856"/>
      <c r="M87" s="854"/>
      <c r="N87" s="868" t="s">
        <v>1152</v>
      </c>
      <c r="O87" s="864"/>
      <c r="P87" s="864"/>
      <c r="Q87" s="864"/>
      <c r="R87" s="864"/>
      <c r="S87" s="864"/>
      <c r="T87" s="864"/>
      <c r="U87" s="864"/>
      <c r="V87" s="869"/>
      <c r="W87" s="853"/>
      <c r="X87" s="1341"/>
      <c r="Y87" s="1341"/>
      <c r="Z87" s="1341"/>
      <c r="AA87" s="1341"/>
      <c r="AB87" s="1340"/>
      <c r="AC87" s="1341"/>
      <c r="AD87" s="1341"/>
      <c r="AE87" s="1318"/>
      <c r="AF87" s="1318"/>
      <c r="AG87" s="1203"/>
      <c r="AH87" s="1203"/>
      <c r="AI87" s="1220"/>
      <c r="AJ87" s="1203"/>
      <c r="AK87" s="1340"/>
      <c r="AL87" s="1368"/>
    </row>
    <row r="88" spans="1:38" x14ac:dyDescent="0.2">
      <c r="A88" s="852"/>
      <c r="B88" s="852"/>
      <c r="C88" s="852"/>
      <c r="D88" s="852"/>
      <c r="E88" s="852"/>
      <c r="F88" s="852"/>
      <c r="G88" s="854"/>
      <c r="H88" s="854"/>
      <c r="I88" s="854"/>
      <c r="J88" s="852"/>
      <c r="K88" s="852"/>
      <c r="L88" s="852"/>
      <c r="M88" s="854"/>
      <c r="N88" s="868" t="s">
        <v>1153</v>
      </c>
      <c r="O88" s="864"/>
      <c r="P88" s="864"/>
      <c r="Q88" s="864"/>
      <c r="R88" s="864"/>
      <c r="S88" s="864"/>
      <c r="T88" s="864"/>
      <c r="U88" s="864"/>
      <c r="V88" s="869"/>
      <c r="W88" s="853"/>
      <c r="X88" s="1341"/>
      <c r="Y88" s="1341"/>
      <c r="Z88" s="1341"/>
      <c r="AA88" s="1341"/>
      <c r="AB88" s="1340"/>
      <c r="AC88" s="1341"/>
      <c r="AD88" s="1341"/>
      <c r="AE88" s="1318"/>
      <c r="AF88" s="1318"/>
      <c r="AG88" s="1221"/>
      <c r="AH88" s="1222"/>
      <c r="AI88" s="1221"/>
      <c r="AJ88" s="1203"/>
      <c r="AK88" s="1369"/>
      <c r="AL88" s="1368"/>
    </row>
    <row r="89" spans="1:38" ht="21" x14ac:dyDescent="0.2">
      <c r="A89" s="852"/>
      <c r="B89" s="824" t="s">
        <v>1004</v>
      </c>
      <c r="C89" s="852"/>
      <c r="D89" s="852"/>
      <c r="E89" s="852"/>
      <c r="F89" s="852"/>
      <c r="G89" s="854"/>
      <c r="H89" s="854"/>
      <c r="I89" s="854"/>
      <c r="J89" s="852"/>
      <c r="K89" s="852"/>
      <c r="L89" s="852"/>
      <c r="M89" s="854"/>
      <c r="N89" s="870"/>
      <c r="O89" s="871"/>
      <c r="P89" s="871"/>
      <c r="Q89" s="871"/>
      <c r="R89" s="871"/>
      <c r="S89" s="871"/>
      <c r="T89" s="871"/>
      <c r="U89" s="871"/>
      <c r="V89" s="872"/>
      <c r="W89" s="853"/>
      <c r="X89" s="1341"/>
      <c r="Y89" s="1341"/>
      <c r="Z89" s="1341"/>
      <c r="AA89" s="1341"/>
      <c r="AB89" s="1340"/>
      <c r="AC89" s="1341"/>
      <c r="AD89" s="1341"/>
      <c r="AE89" s="1318"/>
      <c r="AF89" s="1318"/>
      <c r="AG89" s="1221"/>
      <c r="AH89" s="1222"/>
      <c r="AI89" s="1221"/>
      <c r="AJ89" s="1203"/>
      <c r="AK89" s="1369"/>
      <c r="AL89" s="1368"/>
    </row>
    <row r="90" spans="1:38" x14ac:dyDescent="0.2">
      <c r="A90" s="852"/>
      <c r="B90" s="852"/>
      <c r="C90" s="852"/>
      <c r="D90" s="852"/>
      <c r="E90" s="852"/>
      <c r="F90" s="852"/>
      <c r="G90" s="854"/>
      <c r="H90" s="854"/>
      <c r="I90" s="854"/>
      <c r="J90" s="852"/>
      <c r="K90" s="852"/>
      <c r="L90" s="852"/>
      <c r="M90" s="854"/>
      <c r="N90" s="854"/>
      <c r="O90" s="854"/>
      <c r="P90" s="854"/>
      <c r="Q90" s="854"/>
      <c r="R90" s="854"/>
      <c r="S90" s="854"/>
      <c r="T90" s="854"/>
      <c r="U90" s="854"/>
      <c r="V90" s="854"/>
      <c r="W90" s="854"/>
      <c r="X90" s="1341"/>
      <c r="Y90" s="1341"/>
      <c r="Z90" s="1341"/>
      <c r="AA90" s="1341"/>
      <c r="AB90" s="1340"/>
      <c r="AC90" s="1341"/>
      <c r="AD90" s="1341"/>
      <c r="AE90" s="1318"/>
      <c r="AF90" s="1318"/>
      <c r="AG90" s="1203"/>
      <c r="AH90" s="1203"/>
      <c r="AI90" s="1203"/>
      <c r="AJ90" s="1203"/>
      <c r="AK90" s="1340"/>
      <c r="AL90" s="1368"/>
    </row>
    <row r="91" spans="1:38" x14ac:dyDescent="0.2">
      <c r="A91" s="852"/>
      <c r="B91" s="852"/>
      <c r="C91" s="852"/>
      <c r="D91" s="852"/>
      <c r="E91" s="852"/>
      <c r="F91" s="852"/>
      <c r="G91" s="854"/>
      <c r="H91" s="854"/>
      <c r="I91" s="854"/>
      <c r="J91" s="852"/>
      <c r="K91" s="852"/>
      <c r="L91" s="852"/>
      <c r="M91" s="854"/>
      <c r="N91" s="854"/>
      <c r="O91" s="854"/>
      <c r="P91" s="854"/>
      <c r="Q91" s="854"/>
      <c r="R91" s="854"/>
      <c r="S91" s="854"/>
      <c r="T91" s="854"/>
      <c r="U91" s="854"/>
      <c r="V91" s="854"/>
      <c r="W91" s="854"/>
      <c r="X91" s="1341"/>
      <c r="Y91" s="1341"/>
      <c r="Z91" s="1341"/>
      <c r="AA91" s="1341"/>
      <c r="AB91" s="1340"/>
      <c r="AC91" s="1341"/>
      <c r="AD91" s="1341"/>
      <c r="AE91" s="1318"/>
      <c r="AF91" s="1318"/>
      <c r="AG91" s="1203"/>
      <c r="AH91" s="1203"/>
      <c r="AI91" s="1203"/>
      <c r="AJ91" s="1203"/>
      <c r="AK91" s="1340"/>
      <c r="AL91" s="1368"/>
    </row>
    <row r="92" spans="1:38" ht="16.5" x14ac:dyDescent="0.2">
      <c r="A92" s="852"/>
      <c r="B92" s="852"/>
      <c r="C92" s="852"/>
      <c r="D92" s="852"/>
      <c r="E92" s="852"/>
      <c r="F92" s="852"/>
      <c r="G92" s="854"/>
      <c r="H92" s="854"/>
      <c r="I92" s="854"/>
      <c r="J92" s="852"/>
      <c r="K92" s="852"/>
      <c r="L92" s="852"/>
      <c r="M92" s="854"/>
      <c r="N92" s="865" t="s">
        <v>1185</v>
      </c>
      <c r="O92" s="1065"/>
      <c r="P92" s="1065"/>
      <c r="Q92" s="866"/>
      <c r="R92" s="866"/>
      <c r="S92" s="866"/>
      <c r="T92" s="866"/>
      <c r="U92" s="866"/>
      <c r="V92" s="867"/>
      <c r="W92" s="853"/>
      <c r="X92" s="1341"/>
      <c r="Y92" s="1341"/>
      <c r="Z92" s="1341"/>
      <c r="AA92" s="1341"/>
      <c r="AB92" s="1340"/>
      <c r="AC92" s="1341"/>
      <c r="AD92" s="1341"/>
      <c r="AE92" s="1318"/>
      <c r="AF92" s="1318"/>
      <c r="AG92" s="1203"/>
      <c r="AH92" s="1203"/>
      <c r="AI92" s="1203"/>
      <c r="AJ92" s="1203"/>
      <c r="AK92" s="1340"/>
      <c r="AL92" s="1368"/>
    </row>
    <row r="93" spans="1:38" x14ac:dyDescent="0.2">
      <c r="A93" s="852"/>
      <c r="B93" s="852"/>
      <c r="C93" s="852"/>
      <c r="D93" s="852"/>
      <c r="E93" s="852"/>
      <c r="F93" s="852"/>
      <c r="G93" s="854"/>
      <c r="H93" s="854"/>
      <c r="I93" s="854"/>
      <c r="J93" s="852"/>
      <c r="K93" s="852"/>
      <c r="L93" s="852"/>
      <c r="M93" s="854"/>
      <c r="N93" s="868" t="s">
        <v>1162</v>
      </c>
      <c r="O93" s="864"/>
      <c r="P93" s="864"/>
      <c r="Q93" s="864"/>
      <c r="R93" s="864"/>
      <c r="S93" s="864"/>
      <c r="T93" s="864"/>
      <c r="U93" s="864"/>
      <c r="V93" s="869"/>
      <c r="W93" s="853"/>
      <c r="X93" s="1341"/>
      <c r="Y93" s="1341"/>
      <c r="Z93" s="1341"/>
      <c r="AA93" s="1341"/>
      <c r="AB93" s="1340"/>
      <c r="AC93" s="1341"/>
      <c r="AD93" s="1341"/>
      <c r="AE93" s="1318"/>
      <c r="AF93" s="1318"/>
      <c r="AG93" s="1203"/>
      <c r="AH93" s="1203"/>
      <c r="AI93" s="1203"/>
      <c r="AJ93" s="1203"/>
      <c r="AK93" s="1340"/>
      <c r="AL93" s="1368"/>
    </row>
    <row r="94" spans="1:38" x14ac:dyDescent="0.2">
      <c r="A94" s="852"/>
      <c r="B94" s="852"/>
      <c r="C94" s="852"/>
      <c r="D94" s="852"/>
      <c r="E94" s="852"/>
      <c r="F94" s="852"/>
      <c r="G94" s="854"/>
      <c r="H94" s="854"/>
      <c r="I94" s="854"/>
      <c r="J94" s="852"/>
      <c r="K94" s="852"/>
      <c r="L94" s="852"/>
      <c r="M94" s="854"/>
      <c r="N94" s="868" t="s">
        <v>1163</v>
      </c>
      <c r="O94" s="864"/>
      <c r="P94" s="864"/>
      <c r="Q94" s="864"/>
      <c r="R94" s="864"/>
      <c r="S94" s="864"/>
      <c r="T94" s="864"/>
      <c r="U94" s="864"/>
      <c r="V94" s="869"/>
      <c r="W94" s="853"/>
      <c r="X94" s="1341"/>
      <c r="Y94" s="1341"/>
      <c r="Z94" s="1341"/>
      <c r="AA94" s="1341"/>
      <c r="AB94" s="1340"/>
      <c r="AC94" s="1341"/>
      <c r="AD94" s="1341"/>
      <c r="AE94" s="1318"/>
      <c r="AF94" s="1318"/>
      <c r="AG94" s="1203"/>
      <c r="AH94" s="1203"/>
      <c r="AI94" s="1203"/>
      <c r="AJ94" s="1203"/>
      <c r="AK94" s="1340"/>
      <c r="AL94" s="1368"/>
    </row>
    <row r="95" spans="1:38" x14ac:dyDescent="0.2">
      <c r="A95" s="852"/>
      <c r="B95" s="852"/>
      <c r="C95" s="852"/>
      <c r="D95" s="852"/>
      <c r="E95" s="852"/>
      <c r="F95" s="852"/>
      <c r="G95" s="854"/>
      <c r="H95" s="854"/>
      <c r="I95" s="854"/>
      <c r="J95" s="854"/>
      <c r="K95" s="854"/>
      <c r="L95" s="854"/>
      <c r="M95" s="854"/>
      <c r="N95" s="868" t="s">
        <v>1164</v>
      </c>
      <c r="O95" s="864"/>
      <c r="P95" s="864"/>
      <c r="Q95" s="864"/>
      <c r="R95" s="864"/>
      <c r="S95" s="864"/>
      <c r="T95" s="864"/>
      <c r="U95" s="864"/>
      <c r="V95" s="869"/>
      <c r="W95" s="853"/>
      <c r="X95" s="1341"/>
      <c r="Y95" s="1341"/>
      <c r="Z95" s="1341"/>
      <c r="AD95" s="1341"/>
      <c r="AE95" s="1318"/>
      <c r="AF95" s="1318"/>
      <c r="AG95" s="1203"/>
      <c r="AH95" s="1203"/>
      <c r="AI95" s="1203"/>
      <c r="AJ95" s="1203"/>
      <c r="AK95" s="1340"/>
      <c r="AL95" s="1368"/>
    </row>
    <row r="96" spans="1:38" ht="21" x14ac:dyDescent="0.2">
      <c r="A96" s="852"/>
      <c r="B96" s="824"/>
      <c r="C96" s="852"/>
      <c r="D96" s="852"/>
      <c r="E96" s="852"/>
      <c r="F96" s="852"/>
      <c r="G96" s="854"/>
      <c r="H96" s="854"/>
      <c r="I96" s="854"/>
      <c r="J96" s="854"/>
      <c r="K96" s="854"/>
      <c r="L96" s="854"/>
      <c r="M96" s="854"/>
      <c r="N96" s="868" t="s">
        <v>1186</v>
      </c>
      <c r="O96" s="864"/>
      <c r="P96" s="864"/>
      <c r="Q96" s="864"/>
      <c r="R96" s="864"/>
      <c r="S96" s="864"/>
      <c r="T96" s="864"/>
      <c r="U96" s="864"/>
      <c r="V96" s="869"/>
      <c r="W96" s="854"/>
      <c r="X96" s="1341"/>
      <c r="Y96" s="1341"/>
      <c r="Z96" s="1341"/>
      <c r="AD96" s="1341"/>
      <c r="AE96" s="1318"/>
      <c r="AF96" s="1318"/>
      <c r="AG96" s="1203"/>
      <c r="AH96" s="1203"/>
      <c r="AI96" s="1203"/>
      <c r="AJ96" s="1203"/>
      <c r="AK96" s="1340"/>
      <c r="AL96" s="1368"/>
    </row>
    <row r="97" spans="1:38" x14ac:dyDescent="0.2">
      <c r="A97" s="852"/>
      <c r="B97" s="852"/>
      <c r="C97" s="852"/>
      <c r="D97" s="852"/>
      <c r="E97" s="852"/>
      <c r="F97" s="852"/>
      <c r="G97" s="854"/>
      <c r="H97" s="854"/>
      <c r="I97" s="854"/>
      <c r="J97" s="854"/>
      <c r="K97" s="854"/>
      <c r="L97" s="854"/>
      <c r="M97" s="854"/>
      <c r="N97" s="868" t="s">
        <v>1187</v>
      </c>
      <c r="O97" s="864"/>
      <c r="P97" s="864"/>
      <c r="Q97" s="864"/>
      <c r="R97" s="864"/>
      <c r="S97" s="864"/>
      <c r="T97" s="864"/>
      <c r="U97" s="864"/>
      <c r="V97" s="869"/>
      <c r="W97" s="854"/>
      <c r="X97" s="1341"/>
      <c r="Y97" s="1341"/>
      <c r="Z97" s="1341"/>
      <c r="AE97" s="1318"/>
      <c r="AF97" s="1318"/>
      <c r="AG97" s="1203"/>
      <c r="AH97" s="1203"/>
      <c r="AI97" s="1203"/>
      <c r="AJ97" s="1203"/>
      <c r="AK97" s="1340"/>
      <c r="AL97" s="1368"/>
    </row>
    <row r="98" spans="1:38" x14ac:dyDescent="0.2">
      <c r="A98" s="852"/>
      <c r="B98" s="852"/>
      <c r="C98" s="852"/>
      <c r="D98" s="852"/>
      <c r="E98" s="852"/>
      <c r="F98" s="852"/>
      <c r="G98" s="854"/>
      <c r="H98" s="854"/>
      <c r="I98" s="854"/>
      <c r="J98" s="854"/>
      <c r="K98" s="854"/>
      <c r="L98" s="854"/>
      <c r="M98" s="854"/>
      <c r="N98" s="868" t="s">
        <v>1165</v>
      </c>
      <c r="O98" s="864"/>
      <c r="P98" s="864"/>
      <c r="Q98" s="864"/>
      <c r="R98" s="864"/>
      <c r="S98" s="864"/>
      <c r="T98" s="864"/>
      <c r="U98" s="864"/>
      <c r="V98" s="869"/>
      <c r="W98" s="853"/>
      <c r="X98" s="1341"/>
      <c r="Y98" s="1341"/>
      <c r="Z98" s="1341"/>
      <c r="AE98" s="1318"/>
      <c r="AF98" s="1318"/>
      <c r="AG98" s="1203"/>
      <c r="AH98" s="1203"/>
      <c r="AI98" s="1203"/>
      <c r="AJ98" s="1203"/>
      <c r="AK98" s="1340"/>
      <c r="AL98" s="1368"/>
    </row>
    <row r="99" spans="1:38" x14ac:dyDescent="0.2">
      <c r="A99" s="852"/>
      <c r="B99" s="852"/>
      <c r="C99" s="852"/>
      <c r="D99" s="852"/>
      <c r="E99" s="852"/>
      <c r="F99" s="852"/>
      <c r="G99" s="854"/>
      <c r="H99" s="854"/>
      <c r="I99" s="854"/>
      <c r="J99" s="854"/>
      <c r="K99" s="854"/>
      <c r="L99" s="854"/>
      <c r="M99" s="854"/>
      <c r="N99" s="868" t="s">
        <v>1166</v>
      </c>
      <c r="O99" s="864"/>
      <c r="P99" s="864"/>
      <c r="Q99" s="864"/>
      <c r="R99" s="864"/>
      <c r="S99" s="864"/>
      <c r="T99" s="864"/>
      <c r="U99" s="864"/>
      <c r="V99" s="869"/>
      <c r="W99" s="854"/>
      <c r="X99" s="1341"/>
      <c r="Y99" s="1341"/>
      <c r="Z99" s="1341"/>
      <c r="AE99" s="1318"/>
      <c r="AF99" s="1318"/>
      <c r="AG99" s="1203"/>
      <c r="AH99" s="1203"/>
      <c r="AI99" s="1203"/>
      <c r="AJ99" s="1203"/>
      <c r="AK99" s="1340"/>
      <c r="AL99" s="1368"/>
    </row>
    <row r="100" spans="1:38" x14ac:dyDescent="0.2">
      <c r="A100" s="852"/>
      <c r="B100" s="852"/>
      <c r="C100" s="852"/>
      <c r="D100" s="852"/>
      <c r="E100" s="852"/>
      <c r="F100" s="852"/>
      <c r="G100" s="854"/>
      <c r="H100" s="854"/>
      <c r="I100" s="854"/>
      <c r="J100" s="854"/>
      <c r="K100" s="854"/>
      <c r="L100" s="854"/>
      <c r="M100" s="854"/>
      <c r="N100" s="870"/>
      <c r="O100" s="871"/>
      <c r="P100" s="871"/>
      <c r="Q100" s="871"/>
      <c r="R100" s="871"/>
      <c r="S100" s="871"/>
      <c r="T100" s="871"/>
      <c r="U100" s="871"/>
      <c r="V100" s="872"/>
      <c r="W100" s="853"/>
      <c r="X100" s="1341"/>
      <c r="Y100" s="1341"/>
      <c r="Z100" s="1341"/>
      <c r="AE100" s="1318"/>
      <c r="AF100" s="1318"/>
      <c r="AG100" s="1203"/>
      <c r="AH100" s="1203"/>
      <c r="AI100" s="1203"/>
      <c r="AJ100" s="1203"/>
      <c r="AK100" s="1340"/>
      <c r="AL100" s="1368"/>
    </row>
    <row r="101" spans="1:38" x14ac:dyDescent="0.2">
      <c r="A101" s="852"/>
      <c r="B101" s="852"/>
      <c r="C101" s="852"/>
      <c r="D101" s="852"/>
      <c r="E101" s="852"/>
      <c r="F101" s="852"/>
      <c r="G101" s="854"/>
      <c r="H101" s="854"/>
      <c r="I101" s="854"/>
      <c r="J101" s="854"/>
      <c r="K101" s="854"/>
      <c r="L101" s="854"/>
      <c r="M101" s="854"/>
      <c r="N101" s="854"/>
      <c r="O101" s="854"/>
      <c r="P101" s="854"/>
      <c r="Q101" s="854"/>
      <c r="R101" s="854"/>
      <c r="S101" s="854"/>
      <c r="T101" s="854"/>
      <c r="U101" s="854"/>
      <c r="V101" s="854"/>
      <c r="W101" s="854"/>
      <c r="X101" s="1341"/>
      <c r="Y101" s="1341"/>
      <c r="Z101" s="1341"/>
      <c r="AE101" s="1318"/>
      <c r="AF101" s="1318"/>
      <c r="AG101" s="1203"/>
      <c r="AH101" s="1203"/>
      <c r="AI101" s="1203"/>
      <c r="AJ101" s="1203"/>
      <c r="AK101" s="1340"/>
      <c r="AL101" s="1368"/>
    </row>
    <row r="102" spans="1:38" x14ac:dyDescent="0.2">
      <c r="A102" s="852"/>
      <c r="B102" s="852"/>
      <c r="C102" s="852"/>
      <c r="D102" s="852"/>
      <c r="E102" s="852"/>
      <c r="F102" s="852"/>
      <c r="G102" s="854"/>
      <c r="H102" s="854"/>
      <c r="I102" s="854"/>
      <c r="J102" s="854"/>
      <c r="K102" s="854"/>
      <c r="L102" s="854"/>
      <c r="M102" s="854"/>
      <c r="N102" s="854"/>
      <c r="O102" s="854"/>
      <c r="P102" s="854"/>
      <c r="Q102" s="854"/>
      <c r="R102" s="854"/>
      <c r="S102" s="854"/>
      <c r="T102" s="854"/>
      <c r="U102" s="854"/>
      <c r="V102" s="854"/>
      <c r="W102" s="854"/>
      <c r="X102" s="1341"/>
      <c r="Y102" s="1341"/>
      <c r="Z102" s="1341"/>
      <c r="AE102" s="1318"/>
      <c r="AF102" s="1318"/>
      <c r="AG102" s="1203"/>
      <c r="AH102" s="1203"/>
      <c r="AI102" s="1203"/>
      <c r="AJ102" s="1203"/>
      <c r="AK102" s="1340"/>
      <c r="AL102" s="1368"/>
    </row>
    <row r="103" spans="1:38" ht="16.5" x14ac:dyDescent="0.2">
      <c r="A103" s="852"/>
      <c r="B103" s="852"/>
      <c r="C103" s="852"/>
      <c r="D103" s="852"/>
      <c r="E103" s="852"/>
      <c r="F103" s="852"/>
      <c r="G103" s="854"/>
      <c r="H103" s="854"/>
      <c r="I103" s="854"/>
      <c r="J103" s="854"/>
      <c r="K103" s="854"/>
      <c r="L103" s="854"/>
      <c r="M103" s="854"/>
      <c r="N103" s="865" t="s">
        <v>848</v>
      </c>
      <c r="O103" s="1065"/>
      <c r="P103" s="866"/>
      <c r="Q103" s="866"/>
      <c r="R103" s="866"/>
      <c r="S103" s="866"/>
      <c r="T103" s="866"/>
      <c r="U103" s="866"/>
      <c r="V103" s="867"/>
      <c r="W103" s="853"/>
      <c r="X103" s="1341"/>
      <c r="Y103" s="1341"/>
      <c r="Z103" s="1341"/>
      <c r="AE103" s="1318"/>
      <c r="AF103" s="1318"/>
      <c r="AG103" s="1203"/>
      <c r="AH103" s="1203"/>
      <c r="AI103" s="1203"/>
      <c r="AJ103" s="1203"/>
      <c r="AK103" s="1340"/>
      <c r="AL103" s="1368"/>
    </row>
    <row r="104" spans="1:38" x14ac:dyDescent="0.2">
      <c r="A104" s="852"/>
      <c r="B104" s="857"/>
      <c r="C104" s="858"/>
      <c r="D104" s="859"/>
      <c r="E104" s="854"/>
      <c r="F104" s="854"/>
      <c r="G104" s="854"/>
      <c r="H104" s="854"/>
      <c r="I104" s="854"/>
      <c r="J104" s="854"/>
      <c r="K104" s="854"/>
      <c r="L104" s="854"/>
      <c r="M104" s="854"/>
      <c r="N104" s="868" t="s">
        <v>1188</v>
      </c>
      <c r="O104" s="864"/>
      <c r="P104" s="864"/>
      <c r="Q104" s="864"/>
      <c r="R104" s="864"/>
      <c r="S104" s="864"/>
      <c r="T104" s="864"/>
      <c r="U104" s="864"/>
      <c r="V104" s="869"/>
      <c r="W104" s="853"/>
      <c r="X104" s="1341"/>
      <c r="Y104" s="1341"/>
      <c r="Z104" s="1341"/>
      <c r="AE104" s="1318"/>
      <c r="AF104" s="1318"/>
      <c r="AG104" s="1203"/>
      <c r="AH104" s="1203"/>
      <c r="AI104" s="1203"/>
      <c r="AJ104" s="1203"/>
      <c r="AK104" s="1340"/>
      <c r="AL104" s="1368"/>
    </row>
    <row r="105" spans="1:38" x14ac:dyDescent="0.2">
      <c r="A105" s="852"/>
      <c r="B105" s="852"/>
      <c r="C105" s="852"/>
      <c r="D105" s="852"/>
      <c r="E105" s="852"/>
      <c r="F105" s="852"/>
      <c r="G105" s="854"/>
      <c r="H105" s="854"/>
      <c r="I105" s="854"/>
      <c r="J105" s="854"/>
      <c r="K105" s="854"/>
      <c r="L105" s="854"/>
      <c r="M105" s="854"/>
      <c r="N105" s="868" t="s">
        <v>1168</v>
      </c>
      <c r="O105" s="864"/>
      <c r="P105" s="864"/>
      <c r="Q105" s="864"/>
      <c r="R105" s="864"/>
      <c r="S105" s="864"/>
      <c r="T105" s="864"/>
      <c r="U105" s="864"/>
      <c r="V105" s="869"/>
      <c r="W105" s="853"/>
      <c r="X105" s="1341"/>
      <c r="Y105" s="1341"/>
      <c r="Z105" s="1341"/>
      <c r="AE105" s="1318"/>
      <c r="AF105" s="1318"/>
      <c r="AG105" s="1203"/>
      <c r="AH105" s="1203"/>
      <c r="AI105" s="1203"/>
      <c r="AJ105" s="1203"/>
      <c r="AK105" s="1340"/>
      <c r="AL105" s="1313"/>
    </row>
    <row r="106" spans="1:38" x14ac:dyDescent="0.2">
      <c r="A106" s="852"/>
      <c r="B106" s="852"/>
      <c r="C106" s="852"/>
      <c r="D106" s="852"/>
      <c r="E106" s="852"/>
      <c r="F106" s="852"/>
      <c r="G106" s="854"/>
      <c r="H106" s="854"/>
      <c r="I106" s="854"/>
      <c r="J106" s="854"/>
      <c r="K106" s="854"/>
      <c r="L106" s="854"/>
      <c r="M106" s="854"/>
      <c r="N106" s="868" t="s">
        <v>1169</v>
      </c>
      <c r="O106" s="864"/>
      <c r="P106" s="864"/>
      <c r="Q106" s="864"/>
      <c r="R106" s="864"/>
      <c r="S106" s="864"/>
      <c r="T106" s="864"/>
      <c r="U106" s="864"/>
      <c r="V106" s="869"/>
      <c r="W106" s="853"/>
      <c r="X106" s="1341"/>
      <c r="Y106" s="1341"/>
      <c r="Z106" s="1341"/>
      <c r="AE106" s="1318"/>
      <c r="AF106" s="1318"/>
      <c r="AG106" s="1203"/>
      <c r="AH106" s="1203"/>
      <c r="AI106" s="1203"/>
      <c r="AJ106" s="1203"/>
      <c r="AK106" s="1340"/>
      <c r="AL106" s="1313"/>
    </row>
    <row r="107" spans="1:38" x14ac:dyDescent="0.2">
      <c r="A107" s="852"/>
      <c r="B107" s="852"/>
      <c r="C107" s="852"/>
      <c r="D107" s="852"/>
      <c r="E107" s="852"/>
      <c r="F107" s="852"/>
      <c r="G107" s="854"/>
      <c r="H107" s="854"/>
      <c r="I107" s="854"/>
      <c r="J107" s="854"/>
      <c r="K107" s="854"/>
      <c r="L107" s="854"/>
      <c r="M107" s="854"/>
      <c r="N107" s="868" t="s">
        <v>1170</v>
      </c>
      <c r="O107" s="864"/>
      <c r="P107" s="864"/>
      <c r="Q107" s="864"/>
      <c r="R107" s="864"/>
      <c r="S107" s="864"/>
      <c r="T107" s="864"/>
      <c r="U107" s="864"/>
      <c r="V107" s="869"/>
      <c r="W107" s="854"/>
      <c r="X107" s="1341"/>
      <c r="Y107" s="1341"/>
      <c r="Z107" s="1341"/>
      <c r="AE107" s="1318"/>
      <c r="AF107" s="1318"/>
      <c r="AG107" s="1203"/>
      <c r="AH107" s="1203"/>
      <c r="AI107" s="1203"/>
      <c r="AJ107" s="1203"/>
      <c r="AK107" s="1340"/>
      <c r="AL107" s="1313"/>
    </row>
    <row r="108" spans="1:38" x14ac:dyDescent="0.2">
      <c r="A108" s="852"/>
      <c r="B108" s="852"/>
      <c r="C108" s="852"/>
      <c r="D108" s="852"/>
      <c r="E108" s="852"/>
      <c r="F108" s="852"/>
      <c r="G108" s="854"/>
      <c r="H108" s="854"/>
      <c r="I108" s="854"/>
      <c r="J108" s="854"/>
      <c r="K108" s="854"/>
      <c r="L108" s="854"/>
      <c r="M108" s="854"/>
      <c r="N108" s="868" t="s">
        <v>1171</v>
      </c>
      <c r="O108" s="864"/>
      <c r="P108" s="864"/>
      <c r="Q108" s="864"/>
      <c r="R108" s="864"/>
      <c r="S108" s="864"/>
      <c r="T108" s="864"/>
      <c r="U108" s="864"/>
      <c r="V108" s="869"/>
      <c r="W108" s="854"/>
      <c r="X108" s="1341"/>
      <c r="Y108" s="1341"/>
      <c r="Z108" s="1341"/>
      <c r="AE108" s="1318"/>
      <c r="AF108" s="1318"/>
      <c r="AG108" s="1203"/>
      <c r="AH108" s="1203"/>
      <c r="AI108" s="1203"/>
      <c r="AJ108" s="1203"/>
      <c r="AK108" s="1340"/>
      <c r="AL108" s="1313"/>
    </row>
    <row r="109" spans="1:38" x14ac:dyDescent="0.2">
      <c r="A109" s="852"/>
      <c r="B109" s="852"/>
      <c r="C109" s="852"/>
      <c r="D109" s="852"/>
      <c r="E109" s="852"/>
      <c r="F109" s="852"/>
      <c r="G109" s="854"/>
      <c r="H109" s="854"/>
      <c r="I109" s="854"/>
      <c r="J109" s="854"/>
      <c r="K109" s="854"/>
      <c r="L109" s="854"/>
      <c r="M109" s="854"/>
      <c r="N109" s="870"/>
      <c r="O109" s="871"/>
      <c r="P109" s="871"/>
      <c r="Q109" s="871"/>
      <c r="R109" s="871"/>
      <c r="S109" s="871"/>
      <c r="T109" s="871"/>
      <c r="U109" s="871"/>
      <c r="V109" s="872"/>
      <c r="W109" s="854"/>
      <c r="X109" s="1341"/>
      <c r="Y109" s="1341"/>
      <c r="Z109" s="1341"/>
      <c r="AE109" s="1318"/>
      <c r="AF109" s="1318"/>
      <c r="AG109" s="1203"/>
      <c r="AH109" s="1203"/>
      <c r="AI109" s="1203"/>
      <c r="AJ109" s="1203"/>
      <c r="AK109" s="1340"/>
      <c r="AL109" s="1313"/>
    </row>
    <row r="110" spans="1:38" x14ac:dyDescent="0.2">
      <c r="A110" s="852"/>
      <c r="B110" s="852"/>
      <c r="C110" s="852"/>
      <c r="D110" s="852"/>
      <c r="E110" s="852"/>
      <c r="F110" s="852"/>
      <c r="G110" s="854"/>
      <c r="H110" s="854"/>
      <c r="I110" s="854"/>
      <c r="J110" s="854"/>
      <c r="K110" s="854"/>
      <c r="L110" s="854"/>
      <c r="M110" s="854"/>
      <c r="N110" s="854"/>
      <c r="O110" s="854"/>
      <c r="P110" s="854"/>
      <c r="Q110" s="854"/>
      <c r="R110" s="854"/>
      <c r="S110" s="854"/>
      <c r="T110" s="854"/>
      <c r="U110" s="854"/>
      <c r="V110" s="854"/>
      <c r="W110" s="854"/>
      <c r="X110" s="1341"/>
      <c r="Y110" s="1341"/>
      <c r="Z110" s="1341"/>
      <c r="AE110" s="1318"/>
      <c r="AF110" s="1318"/>
      <c r="AG110" s="1203"/>
      <c r="AH110" s="1203"/>
      <c r="AI110" s="1203"/>
      <c r="AJ110" s="1203"/>
      <c r="AK110" s="1340"/>
      <c r="AL110" s="1313"/>
    </row>
    <row r="111" spans="1:38" x14ac:dyDescent="0.2">
      <c r="A111" s="852"/>
      <c r="B111" s="852"/>
      <c r="C111" s="852"/>
      <c r="D111" s="852"/>
      <c r="E111" s="852"/>
      <c r="F111" s="852"/>
      <c r="G111" s="854"/>
      <c r="H111" s="854"/>
      <c r="I111" s="854"/>
      <c r="J111" s="854"/>
      <c r="K111" s="854"/>
      <c r="L111" s="854"/>
      <c r="M111" s="854"/>
      <c r="N111" s="854"/>
      <c r="O111" s="854"/>
      <c r="P111" s="854"/>
      <c r="Q111" s="854"/>
      <c r="R111" s="854"/>
      <c r="S111" s="854"/>
      <c r="T111" s="854"/>
      <c r="U111" s="854"/>
      <c r="V111" s="854"/>
      <c r="W111" s="854"/>
      <c r="X111" s="1341"/>
      <c r="Y111" s="1341"/>
      <c r="AE111" s="1322"/>
      <c r="AF111" s="1322"/>
      <c r="AG111" s="1204"/>
      <c r="AH111" s="1204"/>
      <c r="AI111" s="1204"/>
      <c r="AJ111" s="1204"/>
    </row>
    <row r="112" spans="1:38" ht="16.5" x14ac:dyDescent="0.2">
      <c r="A112" s="852"/>
      <c r="B112" s="852"/>
      <c r="C112" s="852"/>
      <c r="D112" s="852"/>
      <c r="E112" s="852"/>
      <c r="F112" s="852"/>
      <c r="G112" s="854"/>
      <c r="H112" s="854"/>
      <c r="I112" s="854"/>
      <c r="J112" s="854"/>
      <c r="K112" s="854"/>
      <c r="L112" s="854"/>
      <c r="M112" s="854"/>
      <c r="N112" s="865" t="s">
        <v>708</v>
      </c>
      <c r="O112" s="1065"/>
      <c r="P112" s="866"/>
      <c r="Q112" s="866"/>
      <c r="R112" s="866"/>
      <c r="S112" s="866"/>
      <c r="T112" s="866"/>
      <c r="U112" s="866"/>
      <c r="V112" s="867"/>
      <c r="W112" s="853"/>
      <c r="X112" s="1341"/>
      <c r="Y112" s="1341"/>
      <c r="AE112" s="1322"/>
      <c r="AF112" s="1322"/>
      <c r="AG112" s="1204"/>
      <c r="AH112" s="1204"/>
      <c r="AI112" s="1204"/>
      <c r="AJ112" s="1204"/>
    </row>
    <row r="113" spans="1:36" x14ac:dyDescent="0.2">
      <c r="A113" s="852"/>
      <c r="B113" s="852"/>
      <c r="C113" s="852"/>
      <c r="D113" s="852"/>
      <c r="E113" s="852"/>
      <c r="F113" s="852"/>
      <c r="G113" s="854"/>
      <c r="H113" s="854"/>
      <c r="I113" s="854"/>
      <c r="J113" s="854"/>
      <c r="K113" s="854"/>
      <c r="L113" s="854"/>
      <c r="M113" s="854"/>
      <c r="N113" s="868" t="s">
        <v>1172</v>
      </c>
      <c r="O113" s="864"/>
      <c r="P113" s="864"/>
      <c r="Q113" s="864"/>
      <c r="R113" s="864"/>
      <c r="S113" s="864"/>
      <c r="T113" s="864"/>
      <c r="U113" s="864"/>
      <c r="V113" s="869"/>
      <c r="W113" s="853"/>
      <c r="X113" s="1341"/>
      <c r="Y113" s="1341"/>
      <c r="AE113" s="1322"/>
      <c r="AF113" s="1322"/>
      <c r="AG113" s="1204"/>
      <c r="AH113" s="1204"/>
      <c r="AI113" s="1204"/>
      <c r="AJ113" s="1204"/>
    </row>
    <row r="114" spans="1:36" x14ac:dyDescent="0.2">
      <c r="A114" s="852"/>
      <c r="B114" s="852"/>
      <c r="C114" s="852"/>
      <c r="D114" s="852"/>
      <c r="E114" s="852"/>
      <c r="F114" s="852"/>
      <c r="G114" s="854"/>
      <c r="H114" s="854"/>
      <c r="I114" s="854"/>
      <c r="J114" s="854"/>
      <c r="K114" s="854"/>
      <c r="L114" s="854"/>
      <c r="M114" s="854"/>
      <c r="N114" s="868" t="s">
        <v>1173</v>
      </c>
      <c r="O114" s="864"/>
      <c r="P114" s="864"/>
      <c r="Q114" s="864"/>
      <c r="R114" s="864"/>
      <c r="S114" s="864"/>
      <c r="T114" s="864"/>
      <c r="U114" s="864"/>
      <c r="V114" s="869"/>
      <c r="W114" s="853"/>
      <c r="X114" s="1341"/>
      <c r="Y114" s="1341"/>
      <c r="AE114" s="1322"/>
      <c r="AF114" s="1322"/>
      <c r="AG114" s="1204"/>
      <c r="AH114" s="1204"/>
      <c r="AI114" s="1204"/>
      <c r="AJ114" s="1204"/>
    </row>
    <row r="115" spans="1:36" x14ac:dyDescent="0.2">
      <c r="A115" s="852"/>
      <c r="B115" s="852"/>
      <c r="C115" s="852"/>
      <c r="D115" s="852"/>
      <c r="E115" s="852"/>
      <c r="F115" s="852"/>
      <c r="G115" s="854"/>
      <c r="H115" s="854"/>
      <c r="I115" s="854"/>
      <c r="J115" s="854"/>
      <c r="K115" s="854"/>
      <c r="L115" s="854"/>
      <c r="M115" s="854"/>
      <c r="N115" s="868" t="s">
        <v>1174</v>
      </c>
      <c r="O115" s="864"/>
      <c r="P115" s="864"/>
      <c r="Q115" s="864"/>
      <c r="R115" s="864"/>
      <c r="S115" s="864"/>
      <c r="T115" s="864"/>
      <c r="U115" s="864"/>
      <c r="V115" s="869"/>
      <c r="W115" s="853"/>
      <c r="X115" s="1341"/>
      <c r="Y115" s="1341"/>
      <c r="AE115" s="1322"/>
      <c r="AF115" s="1322"/>
      <c r="AG115" s="1204"/>
      <c r="AH115" s="1204"/>
      <c r="AI115" s="1204"/>
      <c r="AJ115" s="1204"/>
    </row>
    <row r="116" spans="1:36" x14ac:dyDescent="0.2">
      <c r="A116" s="852"/>
      <c r="B116" s="852"/>
      <c r="C116" s="852"/>
      <c r="D116" s="852"/>
      <c r="E116" s="852"/>
      <c r="F116" s="852"/>
      <c r="G116" s="854"/>
      <c r="H116" s="854"/>
      <c r="I116" s="854"/>
      <c r="J116" s="854"/>
      <c r="K116" s="854"/>
      <c r="L116" s="854"/>
      <c r="M116" s="854"/>
      <c r="N116" s="868" t="s">
        <v>1175</v>
      </c>
      <c r="O116" s="864"/>
      <c r="P116" s="864"/>
      <c r="Q116" s="864"/>
      <c r="R116" s="864"/>
      <c r="S116" s="864"/>
      <c r="T116" s="864"/>
      <c r="U116" s="864"/>
      <c r="V116" s="869"/>
      <c r="W116" s="853"/>
      <c r="X116" s="1341"/>
      <c r="Y116" s="1341"/>
      <c r="AE116" s="1322"/>
      <c r="AF116" s="1322"/>
      <c r="AG116" s="1204"/>
      <c r="AH116" s="1204"/>
      <c r="AI116" s="1204"/>
      <c r="AJ116" s="1204"/>
    </row>
    <row r="117" spans="1:36" x14ac:dyDescent="0.2">
      <c r="A117" s="852"/>
      <c r="B117" s="852"/>
      <c r="C117" s="852"/>
      <c r="D117" s="852"/>
      <c r="E117" s="852"/>
      <c r="F117" s="852"/>
      <c r="G117" s="854"/>
      <c r="H117" s="854"/>
      <c r="I117" s="854"/>
      <c r="J117" s="854"/>
      <c r="K117" s="854"/>
      <c r="L117" s="854"/>
      <c r="M117" s="854"/>
      <c r="N117" s="870"/>
      <c r="O117" s="871"/>
      <c r="P117" s="871"/>
      <c r="Q117" s="871"/>
      <c r="R117" s="871"/>
      <c r="S117" s="871"/>
      <c r="T117" s="871"/>
      <c r="U117" s="871"/>
      <c r="V117" s="872"/>
      <c r="W117" s="854"/>
      <c r="X117" s="1341"/>
      <c r="Y117" s="1341"/>
      <c r="AE117" s="1322"/>
      <c r="AF117" s="1322"/>
      <c r="AG117" s="1204"/>
      <c r="AH117" s="1204"/>
      <c r="AI117" s="1204"/>
      <c r="AJ117" s="1204"/>
    </row>
    <row r="118" spans="1:36" x14ac:dyDescent="0.2">
      <c r="A118" s="852"/>
      <c r="B118" s="852"/>
      <c r="C118" s="852"/>
      <c r="D118" s="852"/>
      <c r="E118" s="852"/>
      <c r="F118" s="852"/>
      <c r="G118" s="854"/>
      <c r="H118" s="854"/>
      <c r="I118" s="854"/>
      <c r="J118" s="854"/>
      <c r="K118" s="854"/>
      <c r="L118" s="854"/>
      <c r="M118" s="854"/>
      <c r="N118" s="854"/>
      <c r="O118" s="854"/>
      <c r="P118" s="854"/>
      <c r="Q118" s="854"/>
      <c r="R118" s="854"/>
      <c r="S118" s="854"/>
      <c r="T118" s="854"/>
      <c r="U118" s="854"/>
      <c r="V118" s="854"/>
      <c r="W118" s="854"/>
      <c r="X118" s="1341"/>
      <c r="Y118" s="1341"/>
      <c r="AE118" s="1322"/>
      <c r="AF118" s="1322"/>
      <c r="AG118" s="1204"/>
      <c r="AH118" s="1204"/>
      <c r="AI118" s="1204"/>
      <c r="AJ118" s="1204"/>
    </row>
    <row r="119" spans="1:36" ht="28" customHeight="1" x14ac:dyDescent="0.2">
      <c r="A119" s="852"/>
      <c r="B119" s="1009" t="s">
        <v>813</v>
      </c>
      <c r="C119" s="1009"/>
      <c r="D119" s="1009"/>
      <c r="E119" s="1009"/>
      <c r="F119" s="1009"/>
      <c r="G119" s="854"/>
      <c r="H119" s="854"/>
      <c r="I119" s="854"/>
      <c r="J119" s="854"/>
      <c r="K119" s="854"/>
      <c r="L119" s="854"/>
      <c r="M119" s="854"/>
      <c r="N119" s="853"/>
      <c r="O119" s="853"/>
      <c r="P119" s="853"/>
      <c r="Q119" s="853"/>
      <c r="R119" s="853"/>
      <c r="S119" s="853"/>
      <c r="T119" s="853"/>
      <c r="U119" s="853"/>
      <c r="V119" s="853"/>
      <c r="W119" s="853"/>
      <c r="X119" s="1341"/>
      <c r="Y119" s="1341"/>
      <c r="AE119" s="1322"/>
      <c r="AF119" s="1322"/>
      <c r="AG119" s="1204"/>
      <c r="AH119" s="1204"/>
      <c r="AI119" s="1204"/>
      <c r="AJ119" s="1204"/>
    </row>
    <row r="120" spans="1:36" ht="17" thickBot="1" x14ac:dyDescent="0.25">
      <c r="A120" s="852"/>
      <c r="B120" s="1003" t="s">
        <v>819</v>
      </c>
      <c r="C120" s="1111">
        <f>C48</f>
        <v>0.25</v>
      </c>
      <c r="D120" s="1004"/>
      <c r="E120" s="1005"/>
      <c r="F120" s="1005"/>
      <c r="G120" s="854"/>
      <c r="H120" s="854"/>
      <c r="I120" s="854"/>
      <c r="J120" s="854"/>
      <c r="K120" s="854"/>
      <c r="L120" s="854"/>
      <c r="M120" s="854"/>
      <c r="N120" s="865" t="s">
        <v>847</v>
      </c>
      <c r="O120" s="1065"/>
      <c r="P120" s="866"/>
      <c r="Q120" s="866"/>
      <c r="R120" s="866"/>
      <c r="S120" s="866"/>
      <c r="T120" s="866"/>
      <c r="U120" s="866"/>
      <c r="V120" s="867"/>
      <c r="W120" s="853"/>
      <c r="X120" s="1341"/>
      <c r="Z120" s="1351">
        <f>AI3/100</f>
        <v>4.9483612815025779E-2</v>
      </c>
      <c r="AB120" s="1324"/>
      <c r="AC120" s="1351">
        <f>AH4</f>
        <v>13</v>
      </c>
      <c r="AE120" s="1318" t="s">
        <v>647</v>
      </c>
      <c r="AF120" s="1322"/>
      <c r="AG120" s="1204"/>
      <c r="AH120" s="1204"/>
      <c r="AI120" s="1204"/>
      <c r="AJ120" s="1204"/>
    </row>
    <row r="121" spans="1:36" ht="13.5" thickBot="1" x14ac:dyDescent="0.25">
      <c r="A121" s="852"/>
      <c r="B121" s="337" t="s">
        <v>1084</v>
      </c>
      <c r="C121" s="1110" t="s">
        <v>820</v>
      </c>
      <c r="D121" s="338" t="s">
        <v>198</v>
      </c>
      <c r="E121" s="336" t="s">
        <v>635</v>
      </c>
      <c r="F121" s="1005"/>
      <c r="G121" s="854"/>
      <c r="H121" s="854"/>
      <c r="I121" s="854"/>
      <c r="J121" s="854"/>
      <c r="K121" s="854"/>
      <c r="L121" s="854"/>
      <c r="M121" s="854"/>
      <c r="N121" s="868" t="s">
        <v>1191</v>
      </c>
      <c r="O121" s="864"/>
      <c r="P121" s="864"/>
      <c r="Q121" s="864"/>
      <c r="R121" s="864"/>
      <c r="S121" s="864"/>
      <c r="T121" s="864"/>
      <c r="U121" s="864"/>
      <c r="V121" s="869"/>
      <c r="W121" s="860"/>
      <c r="Y121" s="1352">
        <v>0</v>
      </c>
      <c r="Z121" s="1353">
        <f t="dataTable" ref="Z121:Z131" dt2D="0" dtr="0" r1="AE121" ca="1"/>
        <v>-2.4967025049085989E-2</v>
      </c>
      <c r="AB121" s="1352">
        <v>0.5</v>
      </c>
      <c r="AC121" s="1345">
        <f t="dataTable" ref="AC121:AC131" dt2D="0" dtr="0" r1="AE121"/>
        <v>17</v>
      </c>
      <c r="AE121" s="1323">
        <v>1</v>
      </c>
      <c r="AF121" s="1322"/>
      <c r="AG121" s="1204"/>
      <c r="AH121" s="1204"/>
      <c r="AI121" s="1204"/>
      <c r="AJ121" s="1204"/>
    </row>
    <row r="122" spans="1:36" x14ac:dyDescent="0.2">
      <c r="A122" s="852"/>
      <c r="B122" s="988" t="str">
        <f t="shared" ref="B122:B126" si="2">"熱利用率"&amp;TEXT($C$48*Y121,"0%")</f>
        <v>熱利用率0%</v>
      </c>
      <c r="C122" s="989" t="str">
        <f t="shared" ref="C122:C132" si="3">TEXT($C$120*Y121,"0%")</f>
        <v>0%</v>
      </c>
      <c r="D122" s="331">
        <f t="shared" ref="D122:D132" si="4">Z121</f>
        <v>-2.4967025049085989E-2</v>
      </c>
      <c r="E122" s="329">
        <f t="shared" ref="E122:E132" si="5">AC121</f>
        <v>17</v>
      </c>
      <c r="F122" s="1005"/>
      <c r="G122" s="854"/>
      <c r="H122" s="854"/>
      <c r="I122" s="854"/>
      <c r="J122" s="854"/>
      <c r="K122" s="854"/>
      <c r="L122" s="854"/>
      <c r="M122" s="854"/>
      <c r="N122" s="868" t="s">
        <v>1193</v>
      </c>
      <c r="O122" s="864"/>
      <c r="P122" s="864"/>
      <c r="Q122" s="864"/>
      <c r="R122" s="864"/>
      <c r="S122" s="864"/>
      <c r="T122" s="864"/>
      <c r="U122" s="864"/>
      <c r="V122" s="869"/>
      <c r="W122" s="853"/>
      <c r="X122" s="1341"/>
      <c r="Y122" s="1352">
        <v>0.1</v>
      </c>
      <c r="Z122" s="1353">
        <v>-1.4978078489464641E-2</v>
      </c>
      <c r="AB122" s="1352">
        <v>0.6</v>
      </c>
      <c r="AC122" s="1345">
        <v>15</v>
      </c>
      <c r="AE122" s="1204"/>
      <c r="AF122" s="1322"/>
      <c r="AG122" s="1204"/>
      <c r="AH122" s="1204"/>
      <c r="AI122" s="1204"/>
      <c r="AJ122" s="1204"/>
    </row>
    <row r="123" spans="1:36" x14ac:dyDescent="0.2">
      <c r="A123" s="852"/>
      <c r="B123" s="990" t="str">
        <f t="shared" si="2"/>
        <v>熱利用率3%</v>
      </c>
      <c r="C123" s="991" t="str">
        <f t="shared" si="3"/>
        <v>3%</v>
      </c>
      <c r="D123" s="332">
        <f t="shared" si="4"/>
        <v>-1.4978078489464641E-2</v>
      </c>
      <c r="E123" s="330">
        <f t="shared" si="5"/>
        <v>15</v>
      </c>
      <c r="F123" s="1005"/>
      <c r="G123" s="854"/>
      <c r="H123" s="854"/>
      <c r="I123" s="854"/>
      <c r="J123" s="854"/>
      <c r="K123" s="854"/>
      <c r="L123" s="854"/>
      <c r="M123" s="854"/>
      <c r="N123" s="868" t="s">
        <v>1194</v>
      </c>
      <c r="O123" s="864"/>
      <c r="P123" s="864"/>
      <c r="Q123" s="864"/>
      <c r="R123" s="864"/>
      <c r="S123" s="864"/>
      <c r="T123" s="864"/>
      <c r="U123" s="864"/>
      <c r="V123" s="869"/>
      <c r="W123" s="853"/>
      <c r="X123" s="1341"/>
      <c r="Y123" s="1352">
        <v>0.2</v>
      </c>
      <c r="Z123" s="1353">
        <v>-4.8073065327574049E-3</v>
      </c>
      <c r="AB123" s="1352">
        <v>0.7</v>
      </c>
      <c r="AC123" s="1345">
        <v>15</v>
      </c>
      <c r="AE123" s="1204"/>
      <c r="AF123" s="1322"/>
      <c r="AG123" s="1204"/>
      <c r="AH123" s="1204"/>
      <c r="AI123" s="1204"/>
      <c r="AJ123" s="1204"/>
    </row>
    <row r="124" spans="1:36" x14ac:dyDescent="0.2">
      <c r="A124" s="852"/>
      <c r="B124" s="990" t="str">
        <f t="shared" si="2"/>
        <v>熱利用率5%</v>
      </c>
      <c r="C124" s="991" t="str">
        <f t="shared" si="3"/>
        <v>5%</v>
      </c>
      <c r="D124" s="332">
        <f t="shared" si="4"/>
        <v>-4.8073065327574049E-3</v>
      </c>
      <c r="E124" s="330">
        <f t="shared" si="5"/>
        <v>15</v>
      </c>
      <c r="F124" s="1005"/>
      <c r="G124" s="854"/>
      <c r="H124" s="854"/>
      <c r="I124" s="854"/>
      <c r="J124" s="854"/>
      <c r="K124" s="854"/>
      <c r="L124" s="854"/>
      <c r="M124" s="854"/>
      <c r="N124" s="868" t="s">
        <v>1192</v>
      </c>
      <c r="O124" s="864"/>
      <c r="P124" s="864"/>
      <c r="Q124" s="864"/>
      <c r="R124" s="864"/>
      <c r="S124" s="864"/>
      <c r="T124" s="864"/>
      <c r="U124" s="864"/>
      <c r="V124" s="869"/>
      <c r="W124" s="853"/>
      <c r="X124" s="1341"/>
      <c r="Y124" s="1352">
        <v>0.3</v>
      </c>
      <c r="Z124" s="1353">
        <v>4.5129692730623283E-3</v>
      </c>
      <c r="AB124" s="1352">
        <v>0.8</v>
      </c>
      <c r="AC124" s="1345">
        <v>14</v>
      </c>
      <c r="AE124" s="1204"/>
      <c r="AF124" s="1322"/>
      <c r="AG124" s="1204"/>
      <c r="AH124" s="1204"/>
      <c r="AI124" s="1204"/>
      <c r="AJ124" s="1204"/>
    </row>
    <row r="125" spans="1:36" x14ac:dyDescent="0.2">
      <c r="A125" s="852"/>
      <c r="B125" s="990" t="str">
        <f t="shared" si="2"/>
        <v>熱利用率8%</v>
      </c>
      <c r="C125" s="991" t="str">
        <f t="shared" si="3"/>
        <v>8%</v>
      </c>
      <c r="D125" s="332">
        <f t="shared" si="4"/>
        <v>4.5129692730623283E-3</v>
      </c>
      <c r="E125" s="330">
        <f t="shared" si="5"/>
        <v>14</v>
      </c>
      <c r="F125" s="1005"/>
      <c r="G125" s="854"/>
      <c r="H125" s="854"/>
      <c r="I125" s="854"/>
      <c r="J125" s="854"/>
      <c r="K125" s="854"/>
      <c r="L125" s="854"/>
      <c r="M125" s="854"/>
      <c r="N125" s="870"/>
      <c r="O125" s="871"/>
      <c r="P125" s="871"/>
      <c r="Q125" s="871"/>
      <c r="R125" s="871"/>
      <c r="S125" s="871"/>
      <c r="T125" s="871"/>
      <c r="U125" s="871"/>
      <c r="V125" s="872"/>
      <c r="W125" s="853"/>
      <c r="X125" s="1341"/>
      <c r="Y125" s="1352">
        <v>0.4</v>
      </c>
      <c r="Z125" s="1353">
        <v>1.2433115799482364E-2</v>
      </c>
      <c r="AB125" s="1352">
        <v>0.9</v>
      </c>
      <c r="AC125" s="1345">
        <v>13</v>
      </c>
      <c r="AE125" s="1204"/>
      <c r="AF125" s="1322"/>
      <c r="AG125" s="1204"/>
      <c r="AH125" s="1204"/>
      <c r="AI125" s="1204"/>
      <c r="AJ125" s="1204"/>
    </row>
    <row r="126" spans="1:36" x14ac:dyDescent="0.2">
      <c r="A126" s="852"/>
      <c r="B126" s="990" t="str">
        <f t="shared" si="2"/>
        <v>熱利用率10%</v>
      </c>
      <c r="C126" s="991" t="str">
        <f t="shared" si="3"/>
        <v>10%</v>
      </c>
      <c r="D126" s="332">
        <f t="shared" si="4"/>
        <v>1.2433115799482364E-2</v>
      </c>
      <c r="E126" s="330">
        <f t="shared" si="5"/>
        <v>13</v>
      </c>
      <c r="F126" s="1005"/>
      <c r="G126" s="854"/>
      <c r="H126" s="854"/>
      <c r="I126" s="854"/>
      <c r="J126" s="854"/>
      <c r="K126" s="854"/>
      <c r="L126" s="854"/>
      <c r="M126" s="854"/>
      <c r="N126" s="853"/>
      <c r="O126" s="853"/>
      <c r="P126" s="853"/>
      <c r="Q126" s="853"/>
      <c r="R126" s="853"/>
      <c r="S126" s="853"/>
      <c r="T126" s="853"/>
      <c r="U126" s="853"/>
      <c r="V126" s="853"/>
      <c r="W126" s="853"/>
      <c r="X126" s="1341"/>
      <c r="Y126" s="1352">
        <v>0.5</v>
      </c>
      <c r="Z126" s="1353">
        <v>1.92019243140511E-2</v>
      </c>
      <c r="AB126" s="1352">
        <v>1</v>
      </c>
      <c r="AC126" s="1345">
        <v>13</v>
      </c>
      <c r="AE126" s="1204"/>
      <c r="AF126" s="1322"/>
      <c r="AG126" s="1204"/>
      <c r="AH126" s="1204"/>
      <c r="AI126" s="1204"/>
      <c r="AJ126" s="1204"/>
    </row>
    <row r="127" spans="1:36" x14ac:dyDescent="0.2">
      <c r="A127" s="852"/>
      <c r="B127" s="990" t="str">
        <f>"熱利用率"&amp;TEXT($C$48*Y126,"0%")</f>
        <v>熱利用率13%</v>
      </c>
      <c r="C127" s="991" t="str">
        <f t="shared" si="3"/>
        <v>13%</v>
      </c>
      <c r="D127" s="332">
        <f t="shared" si="4"/>
        <v>1.92019243140511E-2</v>
      </c>
      <c r="E127" s="330">
        <f t="shared" si="5"/>
        <v>13</v>
      </c>
      <c r="F127" s="1005"/>
      <c r="G127" s="854"/>
      <c r="H127" s="854"/>
      <c r="I127" s="854"/>
      <c r="J127" s="854"/>
      <c r="K127" s="854"/>
      <c r="L127" s="854"/>
      <c r="M127" s="854"/>
      <c r="N127" s="853"/>
      <c r="O127" s="853"/>
      <c r="P127" s="853"/>
      <c r="Q127" s="853"/>
      <c r="R127" s="853"/>
      <c r="S127" s="853"/>
      <c r="T127" s="853"/>
      <c r="U127" s="853"/>
      <c r="V127" s="853"/>
      <c r="W127" s="853"/>
      <c r="X127" s="1341"/>
      <c r="Y127" s="1352">
        <v>0.6</v>
      </c>
      <c r="Z127" s="1353">
        <v>2.5645967147614135E-2</v>
      </c>
      <c r="AB127" s="1352">
        <v>1.1000000000000001</v>
      </c>
      <c r="AC127" s="1345">
        <v>12</v>
      </c>
      <c r="AE127" s="1204"/>
      <c r="AF127" s="1322"/>
      <c r="AG127" s="1204"/>
      <c r="AH127" s="1204"/>
      <c r="AI127" s="1204"/>
      <c r="AJ127" s="1204"/>
    </row>
    <row r="128" spans="1:36" x14ac:dyDescent="0.2">
      <c r="A128" s="852"/>
      <c r="B128" s="990" t="str">
        <f t="shared" ref="B128:B132" si="6">"熱利用率"&amp;TEXT($C$48*Y127,"0%")</f>
        <v>熱利用率15%</v>
      </c>
      <c r="C128" s="991" t="str">
        <f t="shared" si="3"/>
        <v>15%</v>
      </c>
      <c r="D128" s="332">
        <f t="shared" si="4"/>
        <v>2.5645967147614135E-2</v>
      </c>
      <c r="E128" s="330">
        <f t="shared" si="5"/>
        <v>12</v>
      </c>
      <c r="F128" s="1005"/>
      <c r="G128" s="854"/>
      <c r="H128" s="854"/>
      <c r="I128" s="854"/>
      <c r="J128" s="854"/>
      <c r="K128" s="854"/>
      <c r="L128" s="854"/>
      <c r="M128" s="854"/>
      <c r="N128" s="853"/>
      <c r="O128" s="853"/>
      <c r="P128" s="853"/>
      <c r="Q128" s="853"/>
      <c r="R128" s="853"/>
      <c r="S128" s="853"/>
      <c r="T128" s="853"/>
      <c r="U128" s="853"/>
      <c r="V128" s="853"/>
      <c r="W128" s="853"/>
      <c r="X128" s="1341"/>
      <c r="Y128" s="1352">
        <v>0.7</v>
      </c>
      <c r="Z128" s="1353">
        <v>3.1873356401832975E-2</v>
      </c>
      <c r="AB128" s="1352">
        <v>1.2</v>
      </c>
      <c r="AC128" s="1345">
        <v>12</v>
      </c>
      <c r="AE128" s="1204"/>
      <c r="AF128" s="1322"/>
      <c r="AG128" s="1204"/>
      <c r="AH128" s="1204"/>
      <c r="AI128" s="1204"/>
      <c r="AJ128" s="1204"/>
    </row>
    <row r="129" spans="1:36" x14ac:dyDescent="0.2">
      <c r="A129" s="852"/>
      <c r="B129" s="990" t="str">
        <f t="shared" si="6"/>
        <v>熱利用率18%</v>
      </c>
      <c r="C129" s="991" t="str">
        <f t="shared" si="3"/>
        <v>18%</v>
      </c>
      <c r="D129" s="332">
        <f t="shared" si="4"/>
        <v>3.1873356401832975E-2</v>
      </c>
      <c r="E129" s="330">
        <f t="shared" si="5"/>
        <v>12</v>
      </c>
      <c r="F129" s="1005"/>
      <c r="G129" s="854"/>
      <c r="H129" s="854"/>
      <c r="I129" s="854"/>
      <c r="J129" s="854"/>
      <c r="K129" s="854"/>
      <c r="L129" s="854"/>
      <c r="M129" s="854"/>
      <c r="N129" s="853"/>
      <c r="O129" s="853"/>
      <c r="P129" s="853"/>
      <c r="Q129" s="853"/>
      <c r="R129" s="853"/>
      <c r="S129" s="853"/>
      <c r="T129" s="853"/>
      <c r="U129" s="853"/>
      <c r="V129" s="853"/>
      <c r="W129" s="853"/>
      <c r="X129" s="1341"/>
      <c r="Y129" s="1352">
        <v>0.8</v>
      </c>
      <c r="Z129" s="1353">
        <v>3.7908748284006588E-2</v>
      </c>
      <c r="AB129" s="1352">
        <v>1.3</v>
      </c>
      <c r="AC129" s="1345">
        <v>11</v>
      </c>
      <c r="AE129" s="1204"/>
      <c r="AF129" s="1322"/>
      <c r="AG129" s="1204"/>
      <c r="AH129" s="1204"/>
      <c r="AI129" s="1204"/>
      <c r="AJ129" s="1204"/>
    </row>
    <row r="130" spans="1:36" x14ac:dyDescent="0.2">
      <c r="A130" s="852"/>
      <c r="B130" s="990" t="str">
        <f t="shared" si="6"/>
        <v>熱利用率20%</v>
      </c>
      <c r="C130" s="991" t="str">
        <f t="shared" si="3"/>
        <v>20%</v>
      </c>
      <c r="D130" s="332">
        <f t="shared" si="4"/>
        <v>3.7908748284006588E-2</v>
      </c>
      <c r="E130" s="330">
        <f t="shared" si="5"/>
        <v>11</v>
      </c>
      <c r="F130" s="852"/>
      <c r="G130" s="854"/>
      <c r="H130" s="854"/>
      <c r="I130" s="854"/>
      <c r="J130" s="854"/>
      <c r="K130" s="854"/>
      <c r="L130" s="854"/>
      <c r="M130" s="854"/>
      <c r="N130" s="853"/>
      <c r="O130" s="853"/>
      <c r="P130" s="853"/>
      <c r="Q130" s="853"/>
      <c r="R130" s="853"/>
      <c r="S130" s="853"/>
      <c r="T130" s="853"/>
      <c r="U130" s="853"/>
      <c r="V130" s="853"/>
      <c r="W130" s="853"/>
      <c r="X130" s="1341"/>
      <c r="Y130" s="1352">
        <v>0.9</v>
      </c>
      <c r="Z130" s="1353">
        <v>4.3772933470501707E-2</v>
      </c>
      <c r="AB130" s="1352">
        <v>1.4</v>
      </c>
      <c r="AC130" s="1345">
        <v>11</v>
      </c>
      <c r="AE130" s="1204"/>
      <c r="AF130" s="1322"/>
      <c r="AG130" s="1204"/>
      <c r="AH130" s="1204"/>
      <c r="AI130" s="1204"/>
      <c r="AJ130" s="1204"/>
    </row>
    <row r="131" spans="1:36" x14ac:dyDescent="0.2">
      <c r="A131" s="852"/>
      <c r="B131" s="990" t="str">
        <f t="shared" si="6"/>
        <v>熱利用率23%</v>
      </c>
      <c r="C131" s="991" t="str">
        <f t="shared" si="3"/>
        <v>23%</v>
      </c>
      <c r="D131" s="332">
        <f t="shared" si="4"/>
        <v>4.3772933470501707E-2</v>
      </c>
      <c r="E131" s="330">
        <f t="shared" si="5"/>
        <v>11</v>
      </c>
      <c r="F131" s="852"/>
      <c r="G131" s="854"/>
      <c r="H131" s="854"/>
      <c r="I131" s="854"/>
      <c r="J131" s="854"/>
      <c r="K131" s="854"/>
      <c r="L131" s="854"/>
      <c r="M131" s="854"/>
      <c r="N131" s="853"/>
      <c r="O131" s="853"/>
      <c r="P131" s="853"/>
      <c r="Q131" s="853"/>
      <c r="R131" s="853"/>
      <c r="S131" s="853"/>
      <c r="T131" s="853"/>
      <c r="U131" s="853"/>
      <c r="V131" s="853"/>
      <c r="W131" s="853"/>
      <c r="X131" s="1341"/>
      <c r="Y131" s="1352">
        <v>1</v>
      </c>
      <c r="Z131" s="1353">
        <v>4.9483612815025779E-2</v>
      </c>
      <c r="AB131" s="1352">
        <v>1.5</v>
      </c>
      <c r="AC131" s="1345">
        <v>11</v>
      </c>
      <c r="AE131" s="1204"/>
      <c r="AF131" s="1322"/>
      <c r="AG131" s="1204"/>
      <c r="AH131" s="1204"/>
      <c r="AI131" s="1204"/>
      <c r="AJ131" s="1204"/>
    </row>
    <row r="132" spans="1:36" ht="13.5" thickBot="1" x14ac:dyDescent="0.25">
      <c r="A132" s="852"/>
      <c r="B132" s="992" t="str">
        <f t="shared" si="6"/>
        <v>熱利用率25%</v>
      </c>
      <c r="C132" s="993" t="str">
        <f t="shared" si="3"/>
        <v>25%</v>
      </c>
      <c r="D132" s="333">
        <f t="shared" si="4"/>
        <v>4.9483612815025779E-2</v>
      </c>
      <c r="E132" s="335">
        <f t="shared" si="5"/>
        <v>11</v>
      </c>
      <c r="F132" s="852"/>
      <c r="G132" s="854"/>
      <c r="H132" s="854"/>
      <c r="I132" s="854"/>
      <c r="J132" s="854"/>
      <c r="K132" s="854"/>
      <c r="L132" s="854"/>
      <c r="M132" s="854"/>
      <c r="N132" s="853"/>
      <c r="O132" s="853"/>
      <c r="P132" s="853"/>
      <c r="Q132" s="853"/>
      <c r="R132" s="853"/>
      <c r="S132" s="853"/>
      <c r="T132" s="853"/>
      <c r="U132" s="853"/>
      <c r="V132" s="853"/>
      <c r="W132" s="853"/>
      <c r="X132" s="1341"/>
      <c r="Y132" s="1341"/>
      <c r="AE132" s="1322"/>
      <c r="AF132" s="1322"/>
      <c r="AG132" s="1204"/>
      <c r="AH132" s="1204"/>
      <c r="AI132" s="1204"/>
      <c r="AJ132" s="1204"/>
    </row>
    <row r="133" spans="1:36" x14ac:dyDescent="0.2">
      <c r="A133" s="852"/>
      <c r="B133" s="852"/>
      <c r="C133" s="852"/>
      <c r="D133" s="852"/>
      <c r="E133" s="1003" t="s">
        <v>814</v>
      </c>
      <c r="F133" s="852"/>
      <c r="G133" s="854"/>
      <c r="H133" s="854"/>
      <c r="I133" s="854"/>
      <c r="J133" s="854"/>
      <c r="K133" s="854"/>
      <c r="L133" s="854"/>
      <c r="M133" s="854"/>
      <c r="N133" s="853"/>
      <c r="O133" s="853"/>
      <c r="P133" s="853"/>
      <c r="Q133" s="853"/>
      <c r="R133" s="853"/>
      <c r="S133" s="853"/>
      <c r="T133" s="853"/>
      <c r="U133" s="853"/>
      <c r="V133" s="853"/>
      <c r="W133" s="853"/>
      <c r="X133" s="1341"/>
      <c r="Y133" s="1341"/>
      <c r="AE133" s="1322"/>
      <c r="AF133" s="1322"/>
      <c r="AG133" s="1204"/>
      <c r="AH133" s="1204"/>
      <c r="AI133" s="1204"/>
      <c r="AJ133" s="1204"/>
    </row>
    <row r="134" spans="1:36" x14ac:dyDescent="0.2">
      <c r="A134" s="852"/>
      <c r="B134" s="852"/>
      <c r="C134" s="852"/>
      <c r="D134" s="852"/>
      <c r="E134" s="852"/>
      <c r="F134" s="852"/>
      <c r="G134" s="854"/>
      <c r="H134" s="854"/>
      <c r="I134" s="854"/>
      <c r="J134" s="854"/>
      <c r="K134" s="854"/>
      <c r="L134" s="854"/>
      <c r="M134" s="854"/>
      <c r="N134" s="853"/>
      <c r="O134" s="853"/>
      <c r="P134" s="853"/>
      <c r="Q134" s="853"/>
      <c r="R134" s="853"/>
      <c r="S134" s="853"/>
      <c r="T134" s="853"/>
      <c r="U134" s="853"/>
      <c r="V134" s="853"/>
      <c r="W134" s="853"/>
      <c r="X134" s="1341"/>
      <c r="Y134" s="1341"/>
      <c r="AE134" s="1322"/>
      <c r="AF134" s="1322"/>
      <c r="AG134" s="1204"/>
      <c r="AH134" s="1204"/>
      <c r="AI134" s="1204"/>
      <c r="AJ134" s="1204"/>
    </row>
    <row r="135" spans="1:36" x14ac:dyDescent="0.2">
      <c r="A135" s="852"/>
      <c r="B135" s="852"/>
      <c r="C135" s="852"/>
      <c r="D135" s="852"/>
      <c r="E135" s="852"/>
      <c r="F135" s="852"/>
      <c r="G135" s="854"/>
      <c r="H135" s="854"/>
      <c r="I135" s="854"/>
      <c r="J135" s="854"/>
      <c r="K135" s="854"/>
      <c r="L135" s="854"/>
      <c r="M135" s="854"/>
      <c r="N135" s="853"/>
      <c r="O135" s="853"/>
      <c r="P135" s="853"/>
      <c r="Q135" s="853"/>
      <c r="R135" s="853"/>
      <c r="S135" s="853"/>
      <c r="T135" s="853"/>
      <c r="U135" s="853"/>
      <c r="V135" s="853"/>
      <c r="W135" s="853"/>
      <c r="X135" s="1341"/>
      <c r="Y135" s="1341"/>
      <c r="AE135" s="1322"/>
      <c r="AF135" s="1322"/>
      <c r="AG135" s="1204"/>
      <c r="AH135" s="1204"/>
      <c r="AI135" s="1204"/>
      <c r="AJ135" s="1204"/>
    </row>
    <row r="136" spans="1:36" x14ac:dyDescent="0.2">
      <c r="A136" s="852"/>
      <c r="B136" s="852"/>
      <c r="C136" s="852"/>
      <c r="D136" s="852"/>
      <c r="E136" s="852"/>
      <c r="F136" s="852"/>
      <c r="G136" s="854"/>
      <c r="H136" s="854"/>
      <c r="I136" s="854"/>
      <c r="J136" s="854"/>
      <c r="K136" s="854"/>
      <c r="L136" s="854"/>
      <c r="M136" s="854"/>
      <c r="N136" s="853"/>
      <c r="O136" s="853"/>
      <c r="P136" s="853"/>
      <c r="Q136" s="853"/>
      <c r="R136" s="853"/>
      <c r="S136" s="853"/>
      <c r="T136" s="853"/>
      <c r="U136" s="853"/>
      <c r="V136" s="853"/>
      <c r="W136" s="853"/>
      <c r="X136" s="1341"/>
      <c r="Y136" s="1341"/>
      <c r="AE136" s="1322"/>
      <c r="AF136" s="1322"/>
      <c r="AG136" s="1204"/>
      <c r="AH136" s="1204"/>
      <c r="AI136" s="1204"/>
      <c r="AJ136" s="1204"/>
    </row>
    <row r="137" spans="1:36" x14ac:dyDescent="0.2">
      <c r="A137" s="852"/>
      <c r="B137" s="852"/>
      <c r="C137" s="852"/>
      <c r="D137" s="852"/>
      <c r="E137" s="852"/>
      <c r="F137" s="852"/>
      <c r="G137" s="854"/>
      <c r="H137" s="854"/>
      <c r="I137" s="854"/>
      <c r="J137" s="854"/>
      <c r="K137" s="854"/>
      <c r="L137" s="854"/>
      <c r="M137" s="854"/>
      <c r="N137" s="853"/>
      <c r="O137" s="853"/>
      <c r="P137" s="853"/>
      <c r="Q137" s="853"/>
      <c r="R137" s="853"/>
      <c r="S137" s="853"/>
      <c r="T137" s="853"/>
      <c r="U137" s="853"/>
      <c r="V137" s="853"/>
      <c r="W137" s="853"/>
      <c r="X137" s="1341"/>
      <c r="Y137" s="1341"/>
      <c r="AE137" s="1322"/>
      <c r="AF137" s="1322"/>
      <c r="AG137" s="1204"/>
      <c r="AH137" s="1204"/>
      <c r="AI137" s="1204"/>
      <c r="AJ137" s="1204"/>
    </row>
    <row r="138" spans="1:36" ht="33" customHeight="1" x14ac:dyDescent="0.2">
      <c r="A138" s="883"/>
      <c r="B138" s="1117" t="s">
        <v>851</v>
      </c>
      <c r="C138" s="620"/>
      <c r="D138" s="621"/>
      <c r="E138" s="622"/>
      <c r="F138" s="622"/>
      <c r="G138" s="622"/>
      <c r="H138" s="622"/>
      <c r="I138" s="622"/>
      <c r="J138" s="622"/>
      <c r="K138" s="622"/>
      <c r="L138" s="622"/>
      <c r="M138" s="622"/>
      <c r="N138" s="623"/>
      <c r="O138" s="623"/>
      <c r="P138" s="623"/>
      <c r="Q138" s="623"/>
      <c r="R138" s="623"/>
      <c r="S138" s="623"/>
      <c r="T138" s="623"/>
      <c r="U138" s="623"/>
      <c r="V138" s="623"/>
      <c r="W138" s="623"/>
      <c r="X138" s="1341"/>
      <c r="Y138" s="1341"/>
      <c r="AE138" s="1322"/>
      <c r="AF138" s="1322"/>
      <c r="AG138" s="1204"/>
      <c r="AH138" s="1204"/>
      <c r="AI138" s="1204"/>
      <c r="AJ138" s="1204"/>
    </row>
    <row r="139" spans="1:36" ht="21.5" thickBot="1" x14ac:dyDescent="0.25">
      <c r="A139" s="826"/>
      <c r="B139" s="824" t="s">
        <v>701</v>
      </c>
      <c r="C139" s="828"/>
      <c r="D139" s="827"/>
      <c r="E139" s="828"/>
      <c r="F139" s="827"/>
      <c r="G139" s="827"/>
      <c r="H139" s="827"/>
      <c r="I139" s="827"/>
      <c r="J139" s="827"/>
      <c r="K139" s="827"/>
      <c r="L139" s="827"/>
      <c r="M139" s="827"/>
      <c r="N139" s="827"/>
      <c r="O139" s="827"/>
      <c r="P139" s="827"/>
      <c r="Q139" s="827"/>
      <c r="R139" s="827"/>
      <c r="S139" s="827"/>
      <c r="T139" s="827"/>
      <c r="U139" s="827"/>
      <c r="V139" s="827"/>
      <c r="W139" s="825"/>
      <c r="X139" s="1341"/>
      <c r="Y139" s="1341"/>
      <c r="AE139" s="1322"/>
      <c r="AF139" s="1322"/>
      <c r="AG139" s="1204"/>
      <c r="AH139" s="1204"/>
      <c r="AI139" s="1204"/>
      <c r="AJ139" s="1204"/>
    </row>
    <row r="140" spans="1:36" ht="18" x14ac:dyDescent="0.2">
      <c r="A140" s="826"/>
      <c r="B140" s="884" t="s">
        <v>648</v>
      </c>
      <c r="C140" s="1063" t="s">
        <v>713</v>
      </c>
      <c r="D140" s="897"/>
      <c r="E140" s="965" t="s">
        <v>842</v>
      </c>
      <c r="F140" s="891"/>
      <c r="G140" s="827"/>
      <c r="H140" s="1316" t="s">
        <v>984</v>
      </c>
      <c r="I140" s="1317"/>
      <c r="J140" s="1317"/>
      <c r="K140" s="1317"/>
      <c r="L140" s="1317"/>
      <c r="M140" s="1317"/>
      <c r="N140" s="1317"/>
      <c r="O140" s="1317"/>
      <c r="P140" s="1317"/>
      <c r="Q140" s="1317"/>
      <c r="R140" s="1317"/>
      <c r="S140" s="1317"/>
      <c r="T140" s="1317"/>
      <c r="U140" s="1317"/>
      <c r="V140" s="1317"/>
      <c r="W140" s="825"/>
      <c r="X140" s="1341"/>
      <c r="Y140" s="1343">
        <f t="shared" ref="Y140:Y145" si="7">C141-E141</f>
        <v>0</v>
      </c>
      <c r="AA140" s="1324" t="s">
        <v>552</v>
      </c>
      <c r="AE140" s="1322"/>
      <c r="AF140" s="1322"/>
      <c r="AG140" s="1204"/>
      <c r="AH140" s="1204"/>
      <c r="AI140" s="1204"/>
      <c r="AJ140" s="1204"/>
    </row>
    <row r="141" spans="1:36" ht="19.5" customHeight="1" x14ac:dyDescent="0.2">
      <c r="A141" s="826"/>
      <c r="B141" s="861" t="s">
        <v>716</v>
      </c>
      <c r="C141" s="894">
        <f>G7</f>
        <v>12000</v>
      </c>
      <c r="D141" s="892" t="s">
        <v>307</v>
      </c>
      <c r="E141" s="1238">
        <f>C141</f>
        <v>12000</v>
      </c>
      <c r="F141" s="892" t="s">
        <v>307</v>
      </c>
      <c r="G141" s="827"/>
      <c r="H141" s="1317" t="s">
        <v>843</v>
      </c>
      <c r="I141" s="1317"/>
      <c r="J141" s="1317"/>
      <c r="K141" s="1317" t="s">
        <v>1046</v>
      </c>
      <c r="L141" s="1317"/>
      <c r="M141" s="1317"/>
      <c r="N141" s="1317"/>
      <c r="O141" s="1317"/>
      <c r="P141" s="1317"/>
      <c r="Q141" s="1317"/>
      <c r="R141" s="1317"/>
      <c r="S141" s="1317"/>
      <c r="T141" s="1317"/>
      <c r="U141" s="1317"/>
      <c r="V141" s="1317"/>
      <c r="W141" s="825"/>
      <c r="X141" s="1341"/>
      <c r="Y141" s="1343">
        <f t="shared" si="7"/>
        <v>0</v>
      </c>
      <c r="AA141" s="1324" t="s">
        <v>551</v>
      </c>
      <c r="AE141" s="1322"/>
      <c r="AF141" s="1322"/>
      <c r="AG141" s="1204"/>
      <c r="AH141" s="1204"/>
      <c r="AI141" s="1204"/>
      <c r="AJ141" s="1204"/>
    </row>
    <row r="142" spans="1:36" ht="19.5" customHeight="1" x14ac:dyDescent="0.2">
      <c r="A142" s="826"/>
      <c r="B142" s="861" t="s">
        <v>709</v>
      </c>
      <c r="C142" s="895">
        <f>G8</f>
        <v>3000</v>
      </c>
      <c r="D142" s="863" t="s">
        <v>307</v>
      </c>
      <c r="E142" s="1238">
        <v>3000</v>
      </c>
      <c r="F142" s="863" t="s">
        <v>307</v>
      </c>
      <c r="G142" s="827"/>
      <c r="H142" s="1317"/>
      <c r="I142" s="1317"/>
      <c r="J142" s="1317"/>
      <c r="K142" s="1317" t="s">
        <v>1047</v>
      </c>
      <c r="L142" s="1317"/>
      <c r="M142" s="1317"/>
      <c r="N142" s="1317"/>
      <c r="O142" s="1317"/>
      <c r="P142" s="1317"/>
      <c r="Q142" s="1317"/>
      <c r="R142" s="1317"/>
      <c r="S142" s="1317"/>
      <c r="T142" s="1317"/>
      <c r="U142" s="1317"/>
      <c r="V142" s="1317"/>
      <c r="W142" s="825"/>
      <c r="X142" s="1341"/>
      <c r="Y142" s="1343">
        <f t="shared" si="7"/>
        <v>0</v>
      </c>
      <c r="AA142" s="1324" t="s">
        <v>553</v>
      </c>
      <c r="AE142" s="1322"/>
      <c r="AF142" s="1322"/>
      <c r="AG142" s="1204"/>
      <c r="AH142" s="1204"/>
      <c r="AI142" s="1204"/>
      <c r="AJ142" s="1204"/>
    </row>
    <row r="143" spans="1:36" ht="19.5" customHeight="1" x14ac:dyDescent="0.2">
      <c r="A143" s="826"/>
      <c r="B143" s="950" t="s">
        <v>710</v>
      </c>
      <c r="C143" s="1129">
        <f>G9</f>
        <v>3000</v>
      </c>
      <c r="D143" s="863" t="s">
        <v>307</v>
      </c>
      <c r="E143" s="1238">
        <v>3000</v>
      </c>
      <c r="F143" s="863" t="s">
        <v>307</v>
      </c>
      <c r="G143" s="827"/>
      <c r="H143" s="1317" t="s">
        <v>844</v>
      </c>
      <c r="I143" s="1317"/>
      <c r="J143" s="1317"/>
      <c r="K143" s="1317" t="s">
        <v>1064</v>
      </c>
      <c r="L143" s="1317"/>
      <c r="M143" s="1317"/>
      <c r="N143" s="1317"/>
      <c r="O143" s="1317"/>
      <c r="P143" s="1317"/>
      <c r="Q143" s="1317"/>
      <c r="R143" s="1317"/>
      <c r="S143" s="1317"/>
      <c r="T143" s="1317"/>
      <c r="U143" s="1317"/>
      <c r="V143" s="1317"/>
      <c r="W143" s="825"/>
      <c r="X143" s="1341"/>
      <c r="Y143" s="1343">
        <f t="shared" si="7"/>
        <v>0</v>
      </c>
      <c r="AA143" s="1324" t="s">
        <v>554</v>
      </c>
      <c r="AE143" s="1322"/>
      <c r="AF143" s="1322"/>
      <c r="AG143" s="1204"/>
      <c r="AH143" s="1204"/>
      <c r="AI143" s="1204"/>
      <c r="AJ143" s="1204"/>
    </row>
    <row r="144" spans="1:36" ht="19.5" customHeight="1" x14ac:dyDescent="0.2">
      <c r="A144" s="826"/>
      <c r="B144" s="1130" t="s">
        <v>711</v>
      </c>
      <c r="C144" s="1131">
        <f>G10</f>
        <v>3000</v>
      </c>
      <c r="D144" s="863" t="s">
        <v>307</v>
      </c>
      <c r="E144" s="1238">
        <f>G10</f>
        <v>3000</v>
      </c>
      <c r="F144" s="863" t="s">
        <v>307</v>
      </c>
      <c r="G144" s="827"/>
      <c r="H144" s="1317"/>
      <c r="I144" s="1317"/>
      <c r="J144" s="1317"/>
      <c r="K144" s="1317" t="s">
        <v>1065</v>
      </c>
      <c r="L144" s="1317"/>
      <c r="M144" s="1317"/>
      <c r="N144" s="1317"/>
      <c r="O144" s="1317"/>
      <c r="P144" s="1317"/>
      <c r="Q144" s="1317"/>
      <c r="R144" s="1317"/>
      <c r="S144" s="1317"/>
      <c r="T144" s="1317"/>
      <c r="U144" s="1317"/>
      <c r="V144" s="1317"/>
      <c r="W144" s="825"/>
      <c r="X144" s="1341"/>
      <c r="Y144" s="1343">
        <f t="shared" si="7"/>
        <v>0</v>
      </c>
      <c r="AA144" s="1324" t="s">
        <v>555</v>
      </c>
      <c r="AE144" s="1322"/>
      <c r="AF144" s="1322"/>
      <c r="AG144" s="1204"/>
      <c r="AH144" s="1204"/>
      <c r="AI144" s="1204"/>
      <c r="AJ144" s="1204"/>
    </row>
    <row r="145" spans="1:36" ht="19.5" customHeight="1" x14ac:dyDescent="0.2">
      <c r="A145" s="826"/>
      <c r="B145" s="1130" t="s">
        <v>714</v>
      </c>
      <c r="C145" s="887">
        <f>G11</f>
        <v>32000</v>
      </c>
      <c r="D145" s="863" t="s">
        <v>307</v>
      </c>
      <c r="E145" s="1239">
        <f>G11</f>
        <v>32000</v>
      </c>
      <c r="F145" s="863" t="s">
        <v>307</v>
      </c>
      <c r="G145" s="827"/>
      <c r="H145" s="1317" t="s">
        <v>845</v>
      </c>
      <c r="I145" s="1317"/>
      <c r="J145" s="1317"/>
      <c r="K145" s="1317" t="s">
        <v>1048</v>
      </c>
      <c r="L145" s="1317"/>
      <c r="M145" s="1317"/>
      <c r="N145" s="1317"/>
      <c r="O145" s="1317"/>
      <c r="P145" s="1317"/>
      <c r="Q145" s="1317"/>
      <c r="R145" s="1317"/>
      <c r="S145" s="1317"/>
      <c r="T145" s="1317"/>
      <c r="U145" s="1317"/>
      <c r="V145" s="1317"/>
      <c r="W145" s="827"/>
      <c r="X145" s="1341"/>
      <c r="Y145" s="1343">
        <f t="shared" si="7"/>
        <v>0</v>
      </c>
      <c r="AA145" s="1324" t="s">
        <v>556</v>
      </c>
      <c r="AE145" s="1322"/>
      <c r="AF145" s="1322"/>
      <c r="AG145" s="1204"/>
      <c r="AH145" s="1204"/>
      <c r="AI145" s="1204"/>
      <c r="AJ145" s="1204"/>
    </row>
    <row r="146" spans="1:36" ht="19.5" customHeight="1" thickBot="1" x14ac:dyDescent="0.25">
      <c r="A146" s="826"/>
      <c r="B146" s="987"/>
      <c r="C146" s="1132"/>
      <c r="D146" s="893"/>
      <c r="E146" s="1237"/>
      <c r="F146" s="893"/>
      <c r="G146" s="848"/>
      <c r="H146" s="1317"/>
      <c r="I146" s="1317"/>
      <c r="J146" s="1317"/>
      <c r="K146" s="1317" t="s">
        <v>1049</v>
      </c>
      <c r="L146" s="1317"/>
      <c r="M146" s="1317"/>
      <c r="N146" s="1317"/>
      <c r="O146" s="1317"/>
      <c r="P146" s="1317"/>
      <c r="Q146" s="1317"/>
      <c r="R146" s="1317"/>
      <c r="S146" s="1317"/>
      <c r="T146" s="1317"/>
      <c r="U146" s="1317"/>
      <c r="V146" s="1317"/>
      <c r="W146" s="827"/>
      <c r="X146" s="1341"/>
      <c r="Y146" s="1343"/>
      <c r="AA146" s="1324" t="s">
        <v>557</v>
      </c>
      <c r="AE146" s="1322"/>
      <c r="AF146" s="1322"/>
      <c r="AG146" s="1204"/>
      <c r="AH146" s="1204"/>
      <c r="AI146" s="1204"/>
      <c r="AJ146" s="1204"/>
    </row>
    <row r="147" spans="1:36" ht="17.5" customHeight="1" x14ac:dyDescent="0.2">
      <c r="A147" s="826"/>
      <c r="B147" s="874" t="s">
        <v>699</v>
      </c>
      <c r="C147" s="1062" t="s">
        <v>700</v>
      </c>
      <c r="D147" s="889"/>
      <c r="E147" s="890" t="s">
        <v>536</v>
      </c>
      <c r="F147" s="891"/>
      <c r="G147" s="848"/>
      <c r="H147" s="1317" t="s">
        <v>846</v>
      </c>
      <c r="I147" s="1317"/>
      <c r="J147" s="1317"/>
      <c r="K147" s="1317" t="s">
        <v>1050</v>
      </c>
      <c r="L147" s="1317"/>
      <c r="M147" s="1317"/>
      <c r="N147" s="1317"/>
      <c r="O147" s="1317"/>
      <c r="P147" s="1317"/>
      <c r="Q147" s="1317"/>
      <c r="R147" s="1317"/>
      <c r="S147" s="1317"/>
      <c r="T147" s="1317"/>
      <c r="U147" s="1317"/>
      <c r="V147" s="1317"/>
      <c r="W147" s="827"/>
      <c r="X147" s="1341"/>
      <c r="Y147" s="1341"/>
      <c r="AE147" s="1322"/>
      <c r="AF147" s="1322"/>
      <c r="AG147" s="1204"/>
      <c r="AH147" s="1204"/>
      <c r="AI147" s="1204"/>
      <c r="AJ147" s="1204"/>
    </row>
    <row r="148" spans="1:36" ht="18" customHeight="1" x14ac:dyDescent="0.2">
      <c r="A148" s="826"/>
      <c r="B148" s="967" t="s">
        <v>514</v>
      </c>
      <c r="C148" s="1114">
        <f>C44</f>
        <v>13</v>
      </c>
      <c r="D148" s="1115" t="s">
        <v>531</v>
      </c>
      <c r="E148" s="1240">
        <f>C148</f>
        <v>13</v>
      </c>
      <c r="F148" s="1116" t="s">
        <v>296</v>
      </c>
      <c r="G148" s="848"/>
      <c r="H148" s="1317"/>
      <c r="I148" s="1317"/>
      <c r="J148" s="1317"/>
      <c r="K148" s="1317" t="s">
        <v>1051</v>
      </c>
      <c r="L148" s="1317"/>
      <c r="M148" s="1317"/>
      <c r="N148" s="1317"/>
      <c r="O148" s="1317"/>
      <c r="P148" s="1317"/>
      <c r="Q148" s="1317"/>
      <c r="R148" s="1317"/>
      <c r="S148" s="1317"/>
      <c r="T148" s="1317"/>
      <c r="U148" s="1317"/>
      <c r="V148" s="1317"/>
      <c r="W148" s="827"/>
      <c r="X148" s="1341"/>
      <c r="Y148" s="1341"/>
      <c r="AE148" s="1322"/>
      <c r="AF148" s="1322"/>
      <c r="AG148" s="1204"/>
      <c r="AH148" s="1204"/>
      <c r="AI148" s="1204"/>
      <c r="AJ148" s="1204"/>
    </row>
    <row r="149" spans="1:36" ht="18" customHeight="1" thickBot="1" x14ac:dyDescent="0.25">
      <c r="A149" s="826"/>
      <c r="B149" s="975" t="s">
        <v>840</v>
      </c>
      <c r="C149" s="1112">
        <f>C49</f>
        <v>5</v>
      </c>
      <c r="D149" s="1113" t="s">
        <v>531</v>
      </c>
      <c r="E149" s="1241">
        <f>C149</f>
        <v>5</v>
      </c>
      <c r="F149" s="977" t="s">
        <v>296</v>
      </c>
      <c r="G149" s="848"/>
      <c r="H149" s="827"/>
      <c r="I149" s="827"/>
      <c r="J149" s="827"/>
      <c r="K149" s="827"/>
      <c r="L149" s="827"/>
      <c r="M149" s="827"/>
      <c r="N149" s="827"/>
      <c r="O149" s="827"/>
      <c r="P149" s="827"/>
      <c r="Q149" s="827"/>
      <c r="R149" s="827"/>
      <c r="S149" s="827"/>
      <c r="T149" s="827"/>
      <c r="U149" s="827"/>
      <c r="V149" s="827"/>
      <c r="W149" s="827"/>
      <c r="X149" s="1341"/>
      <c r="Y149" s="1341"/>
      <c r="AE149" s="1322"/>
      <c r="AF149" s="1322"/>
      <c r="AG149" s="1204"/>
      <c r="AH149" s="1204"/>
      <c r="AI149" s="1204"/>
      <c r="AJ149" s="1204"/>
    </row>
    <row r="150" spans="1:36" ht="29.15" customHeight="1" x14ac:dyDescent="0.25">
      <c r="A150" s="826"/>
      <c r="B150" s="826"/>
      <c r="C150" s="826"/>
      <c r="D150" s="826"/>
      <c r="E150" s="826"/>
      <c r="F150" s="826"/>
      <c r="G150" s="827"/>
      <c r="H150" s="827"/>
      <c r="I150" s="836" t="s">
        <v>589</v>
      </c>
      <c r="J150" s="836"/>
      <c r="K150" s="837"/>
      <c r="L150" s="838"/>
      <c r="M150" s="837"/>
      <c r="N150" s="838"/>
      <c r="O150" s="839"/>
      <c r="P150" s="839"/>
      <c r="Q150" s="839"/>
      <c r="R150" s="839"/>
      <c r="S150" s="839"/>
      <c r="T150" s="839"/>
      <c r="U150" s="839"/>
      <c r="V150" s="839"/>
      <c r="W150" s="825"/>
      <c r="X150" s="1341"/>
      <c r="Y150" s="1341"/>
      <c r="AE150" s="1322"/>
      <c r="AF150" s="1322"/>
      <c r="AG150" s="1204"/>
      <c r="AH150" s="1204"/>
      <c r="AI150" s="1204"/>
      <c r="AJ150" s="1204"/>
    </row>
    <row r="151" spans="1:36" ht="19.5" customHeight="1" thickBot="1" x14ac:dyDescent="0.25">
      <c r="A151" s="826"/>
      <c r="B151" s="824" t="s">
        <v>702</v>
      </c>
      <c r="C151" s="826"/>
      <c r="D151" s="826"/>
      <c r="E151" s="826"/>
      <c r="F151" s="826"/>
      <c r="G151" s="827"/>
      <c r="H151" s="827"/>
      <c r="I151" s="840"/>
      <c r="J151" s="840"/>
      <c r="K151" s="840"/>
      <c r="L151" s="840"/>
      <c r="M151" s="840"/>
      <c r="N151" s="840"/>
      <c r="O151" s="840"/>
      <c r="P151" s="840"/>
      <c r="Q151" s="839"/>
      <c r="R151" s="839"/>
      <c r="S151" s="839"/>
      <c r="T151" s="839"/>
      <c r="U151" s="839"/>
      <c r="V151" s="839"/>
      <c r="W151" s="827"/>
      <c r="X151" s="1341"/>
      <c r="Y151" s="1341"/>
      <c r="AE151" s="1322"/>
      <c r="AF151" s="1322"/>
      <c r="AG151" s="1204"/>
      <c r="AH151" s="1204"/>
      <c r="AI151" s="1204"/>
      <c r="AJ151" s="1204"/>
    </row>
    <row r="152" spans="1:36" ht="19.5" customHeight="1" x14ac:dyDescent="0.2">
      <c r="A152" s="826"/>
      <c r="B152" s="884" t="s">
        <v>537</v>
      </c>
      <c r="C152" s="896"/>
      <c r="D152" s="897"/>
      <c r="E152" s="965" t="s">
        <v>595</v>
      </c>
      <c r="F152" s="891"/>
      <c r="G152" s="827"/>
      <c r="H152" s="827"/>
      <c r="I152" s="840"/>
      <c r="J152" s="840"/>
      <c r="K152" s="840"/>
      <c r="L152" s="840"/>
      <c r="M152" s="840"/>
      <c r="N152" s="840"/>
      <c r="O152" s="840"/>
      <c r="P152" s="840"/>
      <c r="Q152" s="839"/>
      <c r="R152" s="839"/>
      <c r="S152" s="841" t="s">
        <v>590</v>
      </c>
      <c r="T152" s="839"/>
      <c r="U152" s="839"/>
      <c r="V152" s="842"/>
      <c r="W152" s="827"/>
      <c r="X152" s="1341"/>
      <c r="Y152" s="1341"/>
      <c r="AE152" s="1322"/>
      <c r="AF152" s="1322"/>
      <c r="AG152" s="1204"/>
      <c r="AH152" s="1204"/>
      <c r="AI152" s="1204"/>
      <c r="AJ152" s="1204"/>
    </row>
    <row r="153" spans="1:36" ht="19.5" customHeight="1" x14ac:dyDescent="0.2">
      <c r="A153" s="826"/>
      <c r="B153" s="898" t="s">
        <v>516</v>
      </c>
      <c r="C153" s="929">
        <f>L49</f>
        <v>3615.1434312222727</v>
      </c>
      <c r="D153" s="930" t="s">
        <v>535</v>
      </c>
      <c r="E153" s="1197">
        <v>0.25</v>
      </c>
      <c r="F153" s="930"/>
      <c r="G153" s="827"/>
      <c r="H153" s="827"/>
      <c r="I153" s="840"/>
      <c r="J153" s="840"/>
      <c r="K153" s="840"/>
      <c r="L153" s="840"/>
      <c r="M153" s="840"/>
      <c r="N153" s="840"/>
      <c r="O153" s="840"/>
      <c r="P153" s="840"/>
      <c r="Q153" s="839"/>
      <c r="R153" s="839"/>
      <c r="S153" s="841"/>
      <c r="T153" s="1477">
        <f>T9</f>
        <v>4.9483612815025779</v>
      </c>
      <c r="U153" s="1477"/>
      <c r="V153" s="845" t="s">
        <v>36</v>
      </c>
      <c r="W153" s="827"/>
      <c r="X153" s="1341"/>
      <c r="Y153" s="1341"/>
      <c r="AE153" s="1322"/>
      <c r="AF153" s="1322"/>
      <c r="AG153" s="1204"/>
      <c r="AH153" s="1204"/>
      <c r="AI153" s="1204"/>
      <c r="AJ153" s="1204"/>
    </row>
    <row r="154" spans="1:36" ht="19.5" customHeight="1" x14ac:dyDescent="0.2">
      <c r="A154" s="826"/>
      <c r="B154" s="899" t="s">
        <v>513</v>
      </c>
      <c r="C154" s="901">
        <f>L50</f>
        <v>1205.0478104074243</v>
      </c>
      <c r="D154" s="902" t="s">
        <v>535</v>
      </c>
      <c r="E154" s="1192">
        <v>0.5</v>
      </c>
      <c r="F154" s="902"/>
      <c r="G154" s="827"/>
      <c r="H154" s="827"/>
      <c r="I154" s="840"/>
      <c r="J154" s="840"/>
      <c r="K154" s="840"/>
      <c r="L154" s="840"/>
      <c r="M154" s="840"/>
      <c r="N154" s="840"/>
      <c r="O154" s="840"/>
      <c r="P154" s="840"/>
      <c r="Q154" s="839"/>
      <c r="R154" s="839"/>
      <c r="S154" s="841"/>
      <c r="T154" s="1471"/>
      <c r="U154" s="1471"/>
      <c r="V154" s="841"/>
      <c r="W154" s="827"/>
      <c r="X154" s="1341"/>
      <c r="Y154" s="1341"/>
      <c r="AE154" s="1322"/>
      <c r="AF154" s="1322"/>
      <c r="AG154" s="1204"/>
      <c r="AH154" s="1204"/>
      <c r="AI154" s="1204"/>
      <c r="AJ154" s="1204"/>
    </row>
    <row r="155" spans="1:36" ht="19.5" customHeight="1" x14ac:dyDescent="0.35">
      <c r="A155" s="826"/>
      <c r="B155" s="899" t="s">
        <v>210</v>
      </c>
      <c r="C155" s="903">
        <f>L52</f>
        <v>84.281810798385692</v>
      </c>
      <c r="D155" s="900" t="s">
        <v>534</v>
      </c>
      <c r="E155" s="1192">
        <v>0.5</v>
      </c>
      <c r="F155" s="902"/>
      <c r="G155" s="827"/>
      <c r="H155" s="827"/>
      <c r="I155" s="840"/>
      <c r="J155" s="840"/>
      <c r="K155" s="840"/>
      <c r="L155" s="840"/>
      <c r="M155" s="840"/>
      <c r="N155" s="843"/>
      <c r="O155" s="843"/>
      <c r="P155" s="839"/>
      <c r="Q155" s="839"/>
      <c r="R155" s="839"/>
      <c r="S155" s="846" t="s">
        <v>591</v>
      </c>
      <c r="T155" s="844"/>
      <c r="U155" s="844"/>
      <c r="V155" s="845"/>
      <c r="W155" s="827"/>
      <c r="X155" s="1341"/>
      <c r="Y155" s="1341"/>
      <c r="AE155" s="1322"/>
      <c r="AF155" s="1322"/>
      <c r="AG155" s="1204"/>
      <c r="AH155" s="1204"/>
      <c r="AI155" s="1204"/>
      <c r="AJ155" s="1204"/>
    </row>
    <row r="156" spans="1:36" ht="19.5" customHeight="1" x14ac:dyDescent="0.35">
      <c r="A156" s="826"/>
      <c r="B156" s="899" t="s">
        <v>841</v>
      </c>
      <c r="C156" s="904">
        <f>L53</f>
        <v>60.201293427418356</v>
      </c>
      <c r="D156" s="900" t="s">
        <v>534</v>
      </c>
      <c r="E156" s="1192">
        <v>0.5</v>
      </c>
      <c r="F156" s="902"/>
      <c r="G156" s="827"/>
      <c r="H156" s="827"/>
      <c r="I156" s="840"/>
      <c r="J156" s="840"/>
      <c r="K156" s="840"/>
      <c r="L156" s="840"/>
      <c r="M156" s="840"/>
      <c r="N156" s="843"/>
      <c r="O156" s="843"/>
      <c r="P156" s="844"/>
      <c r="Q156" s="844"/>
      <c r="R156" s="844"/>
      <c r="S156" s="845"/>
      <c r="T156" s="1030"/>
      <c r="U156" s="1030">
        <f>T11</f>
        <v>13</v>
      </c>
      <c r="V156" s="846" t="s">
        <v>132</v>
      </c>
      <c r="W156" s="827"/>
      <c r="X156" s="1341"/>
      <c r="Y156" s="1341"/>
      <c r="AE156" s="1322"/>
      <c r="AF156" s="1322"/>
      <c r="AG156" s="1204"/>
      <c r="AH156" s="1204"/>
      <c r="AI156" s="1204"/>
      <c r="AJ156" s="1204"/>
    </row>
    <row r="157" spans="1:36" ht="19.5" customHeight="1" x14ac:dyDescent="0.35">
      <c r="A157" s="826"/>
      <c r="B157" s="899" t="s">
        <v>630</v>
      </c>
      <c r="C157" s="904">
        <f>L54</f>
        <v>258.88089086578481</v>
      </c>
      <c r="D157" s="900" t="s">
        <v>534</v>
      </c>
      <c r="E157" s="1192">
        <v>0.5</v>
      </c>
      <c r="F157" s="902"/>
      <c r="G157" s="827"/>
      <c r="H157" s="827"/>
      <c r="I157" s="840"/>
      <c r="J157" s="840"/>
      <c r="K157" s="840"/>
      <c r="L157" s="840"/>
      <c r="M157" s="840"/>
      <c r="N157" s="843"/>
      <c r="O157" s="843"/>
      <c r="P157" s="844"/>
      <c r="Q157" s="844"/>
      <c r="R157" s="844"/>
      <c r="S157" s="845"/>
      <c r="T157" s="1030"/>
      <c r="U157" s="1030"/>
      <c r="V157" s="846"/>
      <c r="W157" s="827"/>
      <c r="X157" s="1341"/>
      <c r="Y157" s="1341"/>
      <c r="AE157" s="1322"/>
      <c r="AF157" s="1322"/>
      <c r="AG157" s="1204"/>
      <c r="AH157" s="1204"/>
      <c r="AI157" s="1204"/>
      <c r="AJ157" s="1204"/>
    </row>
    <row r="158" spans="1:36" ht="19.5" customHeight="1" x14ac:dyDescent="0.35">
      <c r="A158" s="826"/>
      <c r="B158" s="899" t="s">
        <v>199</v>
      </c>
      <c r="C158" s="904">
        <f>L55</f>
        <v>72.241552112902028</v>
      </c>
      <c r="D158" s="900" t="s">
        <v>534</v>
      </c>
      <c r="E158" s="1242">
        <v>1</v>
      </c>
      <c r="F158" s="902" t="s">
        <v>850</v>
      </c>
      <c r="G158" s="827"/>
      <c r="H158" s="827"/>
      <c r="I158" s="840"/>
      <c r="J158" s="840"/>
      <c r="K158" s="840"/>
      <c r="L158" s="840"/>
      <c r="M158" s="840"/>
      <c r="N158" s="843"/>
      <c r="O158" s="843"/>
      <c r="P158" s="844"/>
      <c r="Q158" s="844"/>
      <c r="R158" s="844"/>
      <c r="S158" s="846" t="s">
        <v>1002</v>
      </c>
      <c r="T158" s="839"/>
      <c r="U158" s="839"/>
      <c r="V158" s="842"/>
      <c r="W158" s="827"/>
      <c r="X158" s="1341"/>
      <c r="AE158" s="1322"/>
      <c r="AF158" s="1322"/>
      <c r="AG158" s="1204"/>
      <c r="AH158" s="1204"/>
      <c r="AI158" s="1204"/>
      <c r="AJ158" s="1204"/>
    </row>
    <row r="159" spans="1:36" ht="19.5" thickBot="1" x14ac:dyDescent="0.25">
      <c r="A159" s="826"/>
      <c r="B159" s="905" t="s">
        <v>640</v>
      </c>
      <c r="C159" s="906">
        <f>L56</f>
        <v>24.080517370967339</v>
      </c>
      <c r="D159" s="907" t="s">
        <v>534</v>
      </c>
      <c r="E159" s="1198">
        <v>0.5</v>
      </c>
      <c r="F159" s="928"/>
      <c r="G159" s="827"/>
      <c r="H159" s="827"/>
      <c r="I159" s="840"/>
      <c r="J159" s="840"/>
      <c r="K159" s="840"/>
      <c r="L159" s="840"/>
      <c r="M159" s="840"/>
      <c r="N159" s="843"/>
      <c r="O159" s="843"/>
      <c r="P159" s="844"/>
      <c r="Q159" s="844"/>
      <c r="R159" s="844"/>
      <c r="S159" s="1477">
        <f>T13</f>
        <v>3780.2074293099095</v>
      </c>
      <c r="T159" s="1477"/>
      <c r="U159" s="1477"/>
      <c r="V159" s="846" t="s">
        <v>297</v>
      </c>
      <c r="W159" s="827"/>
      <c r="X159" s="1341"/>
      <c r="AE159" s="1322"/>
      <c r="AF159" s="1322"/>
      <c r="AG159" s="1204"/>
      <c r="AH159" s="1204"/>
      <c r="AI159" s="1204"/>
      <c r="AJ159" s="1204"/>
    </row>
    <row r="160" spans="1:36" ht="19" x14ac:dyDescent="0.2">
      <c r="A160" s="826"/>
      <c r="B160" s="826"/>
      <c r="C160" s="826"/>
      <c r="D160" s="826"/>
      <c r="E160" s="826"/>
      <c r="F160" s="1064"/>
      <c r="G160" s="827"/>
      <c r="H160" s="827"/>
      <c r="I160" s="840"/>
      <c r="J160" s="840"/>
      <c r="K160" s="840"/>
      <c r="L160" s="840"/>
      <c r="M160" s="840"/>
      <c r="N160" s="843"/>
      <c r="O160" s="843"/>
      <c r="P160" s="839"/>
      <c r="Q160" s="839"/>
      <c r="R160" s="839"/>
      <c r="S160" s="841"/>
      <c r="T160" s="996"/>
      <c r="U160" s="996"/>
      <c r="V160" s="846"/>
      <c r="W160" s="827"/>
      <c r="X160" s="1341"/>
      <c r="AE160" s="1322"/>
      <c r="AF160" s="1322"/>
      <c r="AG160" s="1204"/>
      <c r="AH160" s="1204"/>
      <c r="AI160" s="1204"/>
      <c r="AJ160" s="1204"/>
    </row>
    <row r="161" spans="1:36" ht="21.5" thickBot="1" x14ac:dyDescent="0.25">
      <c r="A161" s="826"/>
      <c r="B161" s="824" t="s">
        <v>538</v>
      </c>
      <c r="C161" s="826"/>
      <c r="D161" s="826"/>
      <c r="E161" s="826"/>
      <c r="F161" s="826"/>
      <c r="G161" s="827"/>
      <c r="H161" s="827"/>
      <c r="I161" s="840"/>
      <c r="J161" s="840"/>
      <c r="K161" s="840"/>
      <c r="L161" s="840"/>
      <c r="M161" s="840"/>
      <c r="N161" s="843"/>
      <c r="O161" s="843"/>
      <c r="P161" s="844"/>
      <c r="Q161" s="844"/>
      <c r="R161" s="844"/>
      <c r="S161" s="846" t="s">
        <v>1201</v>
      </c>
      <c r="T161" s="844"/>
      <c r="U161" s="844"/>
      <c r="V161" s="845"/>
      <c r="W161" s="827"/>
      <c r="X161" s="1341"/>
      <c r="AE161" s="1322"/>
      <c r="AF161" s="1322"/>
      <c r="AG161" s="1204"/>
      <c r="AH161" s="1204"/>
      <c r="AI161" s="1204"/>
      <c r="AJ161" s="1204"/>
    </row>
    <row r="162" spans="1:36" ht="19" x14ac:dyDescent="0.2">
      <c r="A162" s="826"/>
      <c r="B162" s="884" t="s">
        <v>537</v>
      </c>
      <c r="C162" s="973"/>
      <c r="D162" s="974"/>
      <c r="E162" s="830" t="s">
        <v>626</v>
      </c>
      <c r="F162" s="831"/>
      <c r="G162" s="827"/>
      <c r="H162" s="827"/>
      <c r="I162" s="840"/>
      <c r="J162" s="840"/>
      <c r="K162" s="840"/>
      <c r="L162" s="840"/>
      <c r="M162" s="840"/>
      <c r="N162" s="843"/>
      <c r="O162" s="843"/>
      <c r="P162" s="844"/>
      <c r="Q162" s="844"/>
      <c r="R162" s="844"/>
      <c r="S162" s="845"/>
      <c r="T162" s="1471">
        <f>地域経済性計算シート!C554*100</f>
        <v>11.291100507000863</v>
      </c>
      <c r="U162" s="1471"/>
      <c r="V162" s="845" t="s">
        <v>36</v>
      </c>
      <c r="W162" s="827"/>
      <c r="X162" s="1341"/>
      <c r="AE162" s="1322"/>
      <c r="AF162" s="1322"/>
      <c r="AG162" s="1204"/>
      <c r="AH162" s="1204"/>
      <c r="AI162" s="1204"/>
      <c r="AJ162" s="1204"/>
    </row>
    <row r="163" spans="1:36" ht="20" x14ac:dyDescent="0.2">
      <c r="A163" s="826"/>
      <c r="B163" s="898" t="s">
        <v>596</v>
      </c>
      <c r="C163" s="929">
        <f>SUM(C153:C154)</f>
        <v>4820.1912416296973</v>
      </c>
      <c r="D163" s="930" t="s">
        <v>297</v>
      </c>
      <c r="E163" s="932"/>
      <c r="F163" s="972"/>
      <c r="G163" s="833"/>
      <c r="H163" s="833"/>
      <c r="I163" s="840"/>
      <c r="J163" s="840"/>
      <c r="K163" s="840"/>
      <c r="L163" s="840"/>
      <c r="M163" s="840"/>
      <c r="N163" s="843"/>
      <c r="O163" s="843"/>
      <c r="P163" s="844"/>
      <c r="Q163" s="844"/>
      <c r="R163" s="844"/>
      <c r="S163" s="845"/>
      <c r="T163" s="995"/>
      <c r="U163" s="995"/>
      <c r="V163" s="845"/>
      <c r="W163" s="827"/>
      <c r="X163" s="1341"/>
      <c r="AE163" s="1322"/>
      <c r="AF163" s="1322"/>
      <c r="AG163" s="1204"/>
      <c r="AH163" s="1204"/>
      <c r="AI163" s="1204"/>
      <c r="AJ163" s="1204"/>
    </row>
    <row r="164" spans="1:36" ht="20" x14ac:dyDescent="0.2">
      <c r="A164" s="826"/>
      <c r="B164" s="898" t="s">
        <v>539</v>
      </c>
      <c r="C164" s="929"/>
      <c r="D164" s="930"/>
      <c r="E164" s="1197">
        <v>0.5</v>
      </c>
      <c r="F164" s="902"/>
      <c r="G164" s="833"/>
      <c r="H164" s="833"/>
      <c r="I164" s="840"/>
      <c r="J164" s="840"/>
      <c r="K164" s="840"/>
      <c r="L164" s="840"/>
      <c r="M164" s="840"/>
      <c r="N164" s="843"/>
      <c r="O164" s="843"/>
      <c r="P164" s="844"/>
      <c r="Q164" s="844"/>
      <c r="R164" s="844"/>
      <c r="S164" s="846" t="s">
        <v>592</v>
      </c>
      <c r="T164" s="844"/>
      <c r="U164" s="844"/>
      <c r="V164" s="845"/>
      <c r="W164" s="827"/>
      <c r="X164" s="1341"/>
      <c r="Y164" s="1341"/>
      <c r="AE164" s="1322"/>
      <c r="AF164" s="1322"/>
      <c r="AG164" s="1204"/>
      <c r="AH164" s="1204"/>
      <c r="AI164" s="1204"/>
      <c r="AJ164" s="1204"/>
    </row>
    <row r="165" spans="1:36" ht="20.5" thickBot="1" x14ac:dyDescent="0.25">
      <c r="A165" s="826"/>
      <c r="B165" s="975" t="s">
        <v>540</v>
      </c>
      <c r="C165" s="976"/>
      <c r="D165" s="977"/>
      <c r="E165" s="1199">
        <v>0.5</v>
      </c>
      <c r="F165" s="931"/>
      <c r="G165" s="833"/>
      <c r="H165" s="833"/>
      <c r="I165" s="840"/>
      <c r="J165" s="840"/>
      <c r="K165" s="840"/>
      <c r="L165" s="840"/>
      <c r="M165" s="840"/>
      <c r="N165" s="843"/>
      <c r="O165" s="843"/>
      <c r="P165" s="844"/>
      <c r="Q165" s="844"/>
      <c r="R165" s="844"/>
      <c r="S165" s="845"/>
      <c r="T165" s="1030"/>
      <c r="U165" s="994">
        <f>地域経済性計算シート!C555</f>
        <v>8</v>
      </c>
      <c r="V165" s="846" t="s">
        <v>132</v>
      </c>
      <c r="W165" s="827"/>
      <c r="X165" s="1341"/>
      <c r="Y165" s="1341"/>
      <c r="AE165" s="1322"/>
      <c r="AF165" s="1322"/>
      <c r="AG165" s="1204"/>
      <c r="AH165" s="1204"/>
      <c r="AI165" s="1204"/>
      <c r="AJ165" s="1204"/>
    </row>
    <row r="166" spans="1:36" ht="20" x14ac:dyDescent="0.2">
      <c r="A166" s="833"/>
      <c r="B166" s="833"/>
      <c r="C166" s="833"/>
      <c r="D166" s="833"/>
      <c r="E166" s="833"/>
      <c r="F166" s="833"/>
      <c r="G166" s="833"/>
      <c r="H166" s="833"/>
      <c r="I166" s="840"/>
      <c r="J166" s="840"/>
      <c r="K166" s="840"/>
      <c r="L166" s="840"/>
      <c r="M166" s="840"/>
      <c r="N166" s="843"/>
      <c r="O166" s="843"/>
      <c r="P166" s="844"/>
      <c r="Q166" s="844"/>
      <c r="R166" s="844"/>
      <c r="S166" s="845"/>
      <c r="T166" s="995"/>
      <c r="U166" s="995"/>
      <c r="V166" s="846"/>
      <c r="W166" s="827"/>
      <c r="X166" s="1341"/>
      <c r="Y166" s="1341"/>
      <c r="AE166" s="1322"/>
      <c r="AF166" s="1322"/>
      <c r="AG166" s="1204"/>
      <c r="AH166" s="1204"/>
      <c r="AI166" s="1204"/>
      <c r="AJ166" s="1204"/>
    </row>
    <row r="167" spans="1:36" ht="20" x14ac:dyDescent="0.2">
      <c r="A167" s="826"/>
      <c r="B167" s="835"/>
      <c r="C167" s="885"/>
      <c r="D167" s="832"/>
      <c r="E167" s="886"/>
      <c r="F167" s="886"/>
      <c r="G167" s="827"/>
      <c r="H167" s="827"/>
      <c r="I167" s="827"/>
      <c r="J167" s="833"/>
      <c r="K167" s="833"/>
      <c r="L167" s="833"/>
      <c r="M167" s="833"/>
      <c r="N167" s="834"/>
      <c r="O167" s="834"/>
      <c r="P167" s="834"/>
      <c r="Q167" s="833"/>
      <c r="R167" s="833"/>
      <c r="S167" s="833"/>
      <c r="T167" s="833"/>
      <c r="U167" s="833"/>
      <c r="V167" s="833"/>
      <c r="W167" s="827"/>
      <c r="X167" s="1341"/>
      <c r="Y167" s="1341"/>
      <c r="AE167" s="1322"/>
      <c r="AF167" s="1322"/>
      <c r="AG167" s="1204"/>
      <c r="AH167" s="1204"/>
      <c r="AI167" s="1204"/>
      <c r="AJ167" s="1204"/>
    </row>
    <row r="168" spans="1:36" ht="16" customHeight="1" x14ac:dyDescent="0.2">
      <c r="A168" s="926"/>
      <c r="B168" s="873"/>
      <c r="C168" s="887"/>
      <c r="D168" s="888"/>
      <c r="E168" s="919"/>
      <c r="F168" s="919"/>
      <c r="G168" s="927"/>
      <c r="H168" s="927"/>
      <c r="I168" s="927"/>
      <c r="J168" s="922"/>
      <c r="K168" s="922"/>
      <c r="L168" s="922"/>
      <c r="M168" s="922"/>
      <c r="N168" s="921"/>
      <c r="O168" s="921"/>
      <c r="P168" s="921"/>
      <c r="Q168" s="922"/>
      <c r="R168" s="922"/>
      <c r="S168" s="922"/>
      <c r="T168" s="922"/>
      <c r="U168" s="922"/>
      <c r="V168" s="922"/>
      <c r="W168" s="927"/>
      <c r="X168" s="1341"/>
      <c r="Y168" s="1341"/>
      <c r="AE168" s="1322"/>
      <c r="AF168" s="1322"/>
      <c r="AG168" s="1204"/>
      <c r="AH168" s="1204"/>
      <c r="AI168" s="1204"/>
      <c r="AJ168" s="1204"/>
    </row>
    <row r="169" spans="1:36" ht="20" x14ac:dyDescent="0.2">
      <c r="A169" s="920"/>
      <c r="B169" s="921"/>
      <c r="C169" s="921"/>
      <c r="D169" s="921"/>
      <c r="E169" s="921"/>
      <c r="F169" s="921"/>
      <c r="G169" s="922"/>
      <c r="H169" s="922"/>
      <c r="I169" s="922"/>
      <c r="J169" s="923"/>
      <c r="K169" s="923"/>
      <c r="L169" s="922"/>
      <c r="M169" s="922"/>
      <c r="N169" s="922"/>
      <c r="O169" s="922"/>
      <c r="P169" s="922"/>
      <c r="Q169" s="922"/>
      <c r="R169" s="922"/>
      <c r="S169" s="922"/>
      <c r="T169" s="922"/>
      <c r="U169" s="922"/>
      <c r="V169" s="922"/>
      <c r="W169" s="924"/>
      <c r="X169" s="1341"/>
      <c r="Y169" s="1341"/>
    </row>
    <row r="170" spans="1:36" ht="20" x14ac:dyDescent="0.2">
      <c r="A170" s="920"/>
      <c r="B170" s="921"/>
      <c r="C170" s="921"/>
      <c r="D170" s="921"/>
      <c r="E170" s="921"/>
      <c r="F170" s="921"/>
      <c r="G170" s="922"/>
      <c r="H170" s="922"/>
      <c r="I170" s="922"/>
      <c r="J170" s="923"/>
      <c r="K170" s="923"/>
      <c r="L170" s="922"/>
      <c r="M170" s="922"/>
      <c r="N170" s="922"/>
      <c r="O170" s="922"/>
      <c r="P170" s="922"/>
      <c r="Q170" s="922"/>
      <c r="R170" s="922"/>
      <c r="S170" s="922"/>
      <c r="T170" s="922"/>
      <c r="U170" s="922"/>
      <c r="V170" s="922"/>
      <c r="W170" s="924"/>
      <c r="X170" s="1341"/>
      <c r="Y170" s="1341"/>
    </row>
    <row r="171" spans="1:36" ht="30" customHeight="1" x14ac:dyDescent="0.2">
      <c r="A171" s="623"/>
      <c r="B171" s="1117" t="s">
        <v>891</v>
      </c>
      <c r="C171" s="620"/>
      <c r="D171" s="621"/>
      <c r="E171" s="620"/>
      <c r="F171" s="621"/>
      <c r="G171" s="622"/>
      <c r="H171" s="622"/>
      <c r="I171" s="622"/>
      <c r="J171" s="622"/>
      <c r="K171" s="622"/>
      <c r="L171" s="622"/>
      <c r="M171" s="622"/>
      <c r="N171" s="622"/>
      <c r="O171" s="622"/>
      <c r="P171" s="623"/>
      <c r="Q171" s="623"/>
      <c r="R171" s="623"/>
      <c r="S171" s="623"/>
      <c r="T171" s="623"/>
      <c r="U171" s="623"/>
      <c r="V171" s="623"/>
      <c r="W171" s="623"/>
      <c r="X171" s="1341"/>
      <c r="Y171" s="1341"/>
      <c r="AE171" s="1322"/>
      <c r="AF171" s="1322"/>
      <c r="AG171" s="1204"/>
      <c r="AH171" s="1204"/>
      <c r="AI171" s="1204"/>
      <c r="AJ171" s="1204"/>
    </row>
    <row r="172" spans="1:36" ht="20.5" thickBot="1" x14ac:dyDescent="0.25">
      <c r="A172" s="826"/>
      <c r="B172" s="835"/>
      <c r="C172" s="885"/>
      <c r="D172" s="832"/>
      <c r="E172" s="886"/>
      <c r="F172" s="886"/>
      <c r="G172" s="827"/>
      <c r="H172" s="827"/>
      <c r="I172" s="827"/>
      <c r="J172" s="833"/>
      <c r="K172" s="833"/>
      <c r="L172" s="833"/>
      <c r="M172" s="833"/>
      <c r="N172" s="834"/>
      <c r="O172" s="834"/>
      <c r="P172" s="834"/>
      <c r="Q172" s="833"/>
      <c r="R172" s="833"/>
      <c r="S172" s="833"/>
      <c r="T172" s="833"/>
      <c r="U172" s="833"/>
      <c r="V172" s="833"/>
      <c r="W172" s="827"/>
      <c r="X172" s="1341"/>
      <c r="Y172" s="1341"/>
      <c r="AE172" s="1322"/>
      <c r="AF172" s="1322"/>
      <c r="AG172" s="1204"/>
      <c r="AH172" s="1204"/>
      <c r="AI172" s="1204"/>
      <c r="AJ172" s="1204"/>
    </row>
    <row r="173" spans="1:36" ht="21" x14ac:dyDescent="0.2">
      <c r="A173" s="826"/>
      <c r="B173" s="963" t="s">
        <v>599</v>
      </c>
      <c r="C173" s="945"/>
      <c r="D173" s="946"/>
      <c r="E173" s="947"/>
      <c r="F173" s="947"/>
      <c r="G173" s="962"/>
      <c r="H173" s="962"/>
      <c r="I173" s="962"/>
      <c r="J173" s="948"/>
      <c r="K173" s="948"/>
      <c r="L173" s="948"/>
      <c r="M173" s="948"/>
      <c r="N173" s="948"/>
      <c r="O173" s="948"/>
      <c r="P173" s="948"/>
      <c r="Q173" s="948"/>
      <c r="R173" s="948"/>
      <c r="S173" s="948"/>
      <c r="T173" s="948"/>
      <c r="U173" s="948"/>
      <c r="V173" s="949"/>
      <c r="W173" s="827"/>
      <c r="X173" s="1341"/>
      <c r="Y173" s="1341"/>
      <c r="AE173" s="1322"/>
      <c r="AF173" s="1322"/>
      <c r="AG173" s="1204"/>
      <c r="AH173" s="1204"/>
      <c r="AI173" s="1204"/>
      <c r="AJ173" s="1204"/>
    </row>
    <row r="174" spans="1:36" ht="20" x14ac:dyDescent="0.2">
      <c r="A174" s="826"/>
      <c r="B174" s="964" t="s">
        <v>601</v>
      </c>
      <c r="C174" s="887"/>
      <c r="D174" s="888"/>
      <c r="E174" s="919"/>
      <c r="F174" s="919"/>
      <c r="G174" s="923" t="s">
        <v>600</v>
      </c>
      <c r="H174" s="923"/>
      <c r="I174" s="923"/>
      <c r="J174" s="922"/>
      <c r="K174" s="922"/>
      <c r="L174" s="922"/>
      <c r="M174" s="922"/>
      <c r="N174" s="922"/>
      <c r="O174" s="922"/>
      <c r="P174" s="922"/>
      <c r="Q174" s="922"/>
      <c r="R174" s="922"/>
      <c r="S174" s="922"/>
      <c r="T174" s="922"/>
      <c r="U174" s="922"/>
      <c r="V174" s="951"/>
      <c r="W174" s="827"/>
      <c r="X174" s="1341"/>
      <c r="Y174" s="1341"/>
      <c r="AE174" s="1322"/>
      <c r="AF174" s="1322"/>
      <c r="AG174" s="1204"/>
      <c r="AH174" s="1204"/>
      <c r="AI174" s="1204"/>
      <c r="AJ174" s="1204"/>
    </row>
    <row r="175" spans="1:36" ht="20" x14ac:dyDescent="0.2">
      <c r="A175" s="826"/>
      <c r="B175" s="950"/>
      <c r="C175" s="887"/>
      <c r="D175" s="888"/>
      <c r="E175" s="919"/>
      <c r="F175" s="919"/>
      <c r="G175" s="927"/>
      <c r="H175" s="927"/>
      <c r="I175" s="927"/>
      <c r="J175" s="922"/>
      <c r="K175" s="922"/>
      <c r="L175" s="922"/>
      <c r="M175" s="922"/>
      <c r="N175" s="922"/>
      <c r="O175" s="922"/>
      <c r="P175" s="922"/>
      <c r="Q175" s="922"/>
      <c r="R175" s="922"/>
      <c r="S175" s="922"/>
      <c r="T175" s="922"/>
      <c r="U175" s="922"/>
      <c r="V175" s="951"/>
      <c r="W175" s="827"/>
      <c r="X175" s="1341"/>
      <c r="Y175" s="1341"/>
      <c r="AE175" s="1322"/>
      <c r="AF175" s="1322"/>
      <c r="AG175" s="1204"/>
      <c r="AH175" s="1204"/>
      <c r="AI175" s="1204"/>
      <c r="AJ175" s="1204"/>
    </row>
    <row r="176" spans="1:36" ht="20" x14ac:dyDescent="0.2">
      <c r="A176" s="826"/>
      <c r="B176" s="950"/>
      <c r="C176" s="887"/>
      <c r="D176" s="888"/>
      <c r="E176" s="919"/>
      <c r="F176" s="919"/>
      <c r="G176" s="927"/>
      <c r="H176" s="927"/>
      <c r="I176" s="927"/>
      <c r="J176" s="922"/>
      <c r="K176" s="922"/>
      <c r="L176" s="922"/>
      <c r="M176" s="922"/>
      <c r="N176" s="922"/>
      <c r="O176" s="922"/>
      <c r="P176" s="922"/>
      <c r="Q176" s="922"/>
      <c r="R176" s="922"/>
      <c r="S176" s="922"/>
      <c r="T176" s="922"/>
      <c r="U176" s="922"/>
      <c r="V176" s="951"/>
      <c r="W176" s="827"/>
      <c r="X176" s="1341"/>
      <c r="Y176" s="1341"/>
      <c r="AE176" s="1322"/>
      <c r="AF176" s="1322"/>
      <c r="AG176" s="1204"/>
      <c r="AH176" s="1204"/>
      <c r="AI176" s="1204"/>
      <c r="AJ176" s="1204"/>
    </row>
    <row r="177" spans="1:36" ht="20" x14ac:dyDescent="0.2">
      <c r="A177" s="826"/>
      <c r="B177" s="950"/>
      <c r="C177" s="887"/>
      <c r="D177" s="888"/>
      <c r="E177" s="919"/>
      <c r="F177" s="919"/>
      <c r="G177" s="927"/>
      <c r="H177" s="927"/>
      <c r="I177" s="927"/>
      <c r="J177" s="922"/>
      <c r="K177" s="922"/>
      <c r="L177" s="922"/>
      <c r="M177" s="922"/>
      <c r="N177" s="922"/>
      <c r="O177" s="922"/>
      <c r="P177" s="922"/>
      <c r="Q177" s="922"/>
      <c r="R177" s="922"/>
      <c r="S177" s="922"/>
      <c r="T177" s="922"/>
      <c r="U177" s="922"/>
      <c r="V177" s="951"/>
      <c r="W177" s="827"/>
      <c r="X177" s="1341"/>
      <c r="Y177" s="1341"/>
      <c r="AE177" s="1322"/>
      <c r="AF177" s="1322"/>
      <c r="AG177" s="1204"/>
      <c r="AH177" s="1204"/>
      <c r="AI177" s="1204"/>
      <c r="AJ177" s="1204"/>
    </row>
    <row r="178" spans="1:36" ht="20" x14ac:dyDescent="0.2">
      <c r="A178" s="826"/>
      <c r="B178" s="950"/>
      <c r="C178" s="887"/>
      <c r="D178" s="888"/>
      <c r="E178" s="919"/>
      <c r="F178" s="919"/>
      <c r="G178" s="927"/>
      <c r="H178" s="927"/>
      <c r="I178" s="927"/>
      <c r="J178" s="922"/>
      <c r="K178" s="922"/>
      <c r="L178" s="922"/>
      <c r="M178" s="922"/>
      <c r="N178" s="922"/>
      <c r="O178" s="922"/>
      <c r="P178" s="922"/>
      <c r="Q178" s="922"/>
      <c r="R178" s="922"/>
      <c r="S178" s="922"/>
      <c r="T178" s="922"/>
      <c r="U178" s="922"/>
      <c r="V178" s="951"/>
      <c r="W178" s="827"/>
      <c r="X178" s="1341"/>
      <c r="Y178" s="1341"/>
      <c r="AE178" s="1322"/>
      <c r="AF178" s="1322"/>
      <c r="AG178" s="1204"/>
      <c r="AH178" s="1204"/>
      <c r="AI178" s="1204"/>
      <c r="AJ178" s="1204"/>
    </row>
    <row r="179" spans="1:36" ht="20" x14ac:dyDescent="0.2">
      <c r="A179" s="826"/>
      <c r="B179" s="950"/>
      <c r="C179" s="887"/>
      <c r="D179" s="888"/>
      <c r="E179" s="919"/>
      <c r="F179" s="919"/>
      <c r="G179" s="927"/>
      <c r="H179" s="927"/>
      <c r="I179" s="927"/>
      <c r="J179" s="922"/>
      <c r="K179" s="922"/>
      <c r="L179" s="922"/>
      <c r="M179" s="922"/>
      <c r="N179" s="922"/>
      <c r="O179" s="922"/>
      <c r="P179" s="922"/>
      <c r="Q179" s="922"/>
      <c r="R179" s="922"/>
      <c r="S179" s="922"/>
      <c r="T179" s="922"/>
      <c r="U179" s="922"/>
      <c r="V179" s="951"/>
      <c r="W179" s="827"/>
      <c r="X179" s="1341"/>
      <c r="Y179" s="1341"/>
      <c r="AE179" s="1322"/>
      <c r="AF179" s="1322"/>
      <c r="AG179" s="1204"/>
      <c r="AH179" s="1204"/>
      <c r="AI179" s="1204"/>
      <c r="AJ179" s="1204"/>
    </row>
    <row r="180" spans="1:36" ht="20" x14ac:dyDescent="0.2">
      <c r="A180" s="826"/>
      <c r="B180" s="950"/>
      <c r="C180" s="887"/>
      <c r="D180" s="888"/>
      <c r="E180" s="919"/>
      <c r="F180" s="919"/>
      <c r="G180" s="927"/>
      <c r="H180" s="927"/>
      <c r="I180" s="927"/>
      <c r="J180" s="922"/>
      <c r="K180" s="922"/>
      <c r="L180" s="922"/>
      <c r="M180" s="922"/>
      <c r="N180" s="922"/>
      <c r="O180" s="922"/>
      <c r="P180" s="922"/>
      <c r="Q180" s="922"/>
      <c r="R180" s="922"/>
      <c r="S180" s="922"/>
      <c r="T180" s="922"/>
      <c r="U180" s="922"/>
      <c r="V180" s="951"/>
      <c r="W180" s="827"/>
      <c r="X180" s="1341"/>
      <c r="Y180" s="1341"/>
      <c r="AE180" s="1322"/>
      <c r="AF180" s="1322"/>
      <c r="AG180" s="1204"/>
      <c r="AH180" s="1204"/>
      <c r="AI180" s="1204"/>
      <c r="AJ180" s="1204"/>
    </row>
    <row r="181" spans="1:36" ht="20" x14ac:dyDescent="0.2">
      <c r="A181" s="826"/>
      <c r="B181" s="950"/>
      <c r="C181" s="887"/>
      <c r="D181" s="888"/>
      <c r="E181" s="919"/>
      <c r="F181" s="919"/>
      <c r="G181" s="927"/>
      <c r="H181" s="927"/>
      <c r="I181" s="927"/>
      <c r="J181" s="922"/>
      <c r="K181" s="922"/>
      <c r="L181" s="922"/>
      <c r="M181" s="922"/>
      <c r="N181" s="922"/>
      <c r="O181" s="922"/>
      <c r="P181" s="922"/>
      <c r="Q181" s="922"/>
      <c r="R181" s="922"/>
      <c r="S181" s="922"/>
      <c r="T181" s="922"/>
      <c r="U181" s="922"/>
      <c r="V181" s="951"/>
      <c r="W181" s="827"/>
      <c r="X181" s="1341"/>
      <c r="Y181" s="1341"/>
      <c r="AE181" s="1322"/>
      <c r="AF181" s="1322"/>
      <c r="AG181" s="1204"/>
      <c r="AH181" s="1204"/>
      <c r="AI181" s="1204"/>
      <c r="AJ181" s="1204"/>
    </row>
    <row r="182" spans="1:36" ht="20" x14ac:dyDescent="0.2">
      <c r="A182" s="826"/>
      <c r="B182" s="950"/>
      <c r="C182" s="887"/>
      <c r="D182" s="888"/>
      <c r="E182" s="919"/>
      <c r="F182" s="919"/>
      <c r="G182" s="927"/>
      <c r="H182" s="927"/>
      <c r="I182" s="927"/>
      <c r="J182" s="922"/>
      <c r="K182" s="922"/>
      <c r="L182" s="922"/>
      <c r="M182" s="922"/>
      <c r="N182" s="922"/>
      <c r="O182" s="922"/>
      <c r="P182" s="922"/>
      <c r="Q182" s="922"/>
      <c r="R182" s="922"/>
      <c r="S182" s="922"/>
      <c r="T182" s="922"/>
      <c r="U182" s="922"/>
      <c r="V182" s="951"/>
      <c r="W182" s="827"/>
      <c r="X182" s="1341"/>
      <c r="Y182" s="1341"/>
      <c r="AE182" s="1322"/>
      <c r="AF182" s="1322"/>
      <c r="AG182" s="1204"/>
      <c r="AH182" s="1204"/>
      <c r="AI182" s="1204"/>
      <c r="AJ182" s="1204"/>
    </row>
    <row r="183" spans="1:36" ht="20" x14ac:dyDescent="0.2">
      <c r="A183" s="826"/>
      <c r="B183" s="950"/>
      <c r="C183" s="887"/>
      <c r="D183" s="888"/>
      <c r="E183" s="919"/>
      <c r="F183" s="919"/>
      <c r="G183" s="927"/>
      <c r="H183" s="927"/>
      <c r="I183" s="927"/>
      <c r="J183" s="922"/>
      <c r="K183" s="922"/>
      <c r="L183" s="922"/>
      <c r="M183" s="922"/>
      <c r="N183" s="922"/>
      <c r="O183" s="922"/>
      <c r="P183" s="922"/>
      <c r="Q183" s="922"/>
      <c r="R183" s="922"/>
      <c r="S183" s="922"/>
      <c r="T183" s="922"/>
      <c r="U183" s="922"/>
      <c r="V183" s="951"/>
      <c r="W183" s="827"/>
      <c r="X183" s="1341"/>
      <c r="Y183" s="1341"/>
      <c r="AE183" s="1322"/>
      <c r="AF183" s="1322"/>
      <c r="AG183" s="1204"/>
      <c r="AH183" s="1204"/>
      <c r="AI183" s="1204"/>
      <c r="AJ183" s="1204"/>
    </row>
    <row r="184" spans="1:36" ht="20" x14ac:dyDescent="0.2">
      <c r="A184" s="826"/>
      <c r="B184" s="950"/>
      <c r="C184" s="887"/>
      <c r="D184" s="888"/>
      <c r="E184" s="919"/>
      <c r="F184" s="919"/>
      <c r="G184" s="927"/>
      <c r="H184" s="927"/>
      <c r="I184" s="927"/>
      <c r="J184" s="922"/>
      <c r="K184" s="922"/>
      <c r="L184" s="922"/>
      <c r="M184" s="922"/>
      <c r="N184" s="922"/>
      <c r="O184" s="922"/>
      <c r="P184" s="922"/>
      <c r="Q184" s="922"/>
      <c r="R184" s="922"/>
      <c r="S184" s="922"/>
      <c r="T184" s="922"/>
      <c r="U184" s="922"/>
      <c r="V184" s="951"/>
      <c r="W184" s="827"/>
      <c r="X184" s="1341"/>
      <c r="Y184" s="1341"/>
      <c r="AE184" s="1322"/>
      <c r="AF184" s="1322"/>
      <c r="AG184" s="1204"/>
      <c r="AH184" s="1204"/>
      <c r="AI184" s="1204"/>
      <c r="AJ184" s="1204"/>
    </row>
    <row r="185" spans="1:36" ht="20" x14ac:dyDescent="0.2">
      <c r="A185" s="826"/>
      <c r="B185" s="950"/>
      <c r="C185" s="887"/>
      <c r="D185" s="888"/>
      <c r="E185" s="919"/>
      <c r="F185" s="919"/>
      <c r="G185" s="927"/>
      <c r="H185" s="927"/>
      <c r="I185" s="927"/>
      <c r="J185" s="922"/>
      <c r="K185" s="922"/>
      <c r="L185" s="922"/>
      <c r="M185" s="922"/>
      <c r="N185" s="922"/>
      <c r="O185" s="922"/>
      <c r="P185" s="922"/>
      <c r="Q185" s="922"/>
      <c r="R185" s="922"/>
      <c r="S185" s="922"/>
      <c r="T185" s="922"/>
      <c r="U185" s="922"/>
      <c r="V185" s="951"/>
      <c r="W185" s="827"/>
      <c r="X185" s="1341"/>
      <c r="Y185" s="1341"/>
      <c r="AE185" s="1322"/>
      <c r="AF185" s="1322"/>
      <c r="AG185" s="1204"/>
      <c r="AH185" s="1204"/>
      <c r="AI185" s="1204"/>
      <c r="AJ185" s="1204"/>
    </row>
    <row r="186" spans="1:36" ht="20" x14ac:dyDescent="0.2">
      <c r="A186" s="826"/>
      <c r="B186" s="950"/>
      <c r="C186" s="887"/>
      <c r="D186" s="888"/>
      <c r="E186" s="919"/>
      <c r="F186" s="919"/>
      <c r="G186" s="927"/>
      <c r="H186" s="927"/>
      <c r="I186" s="927"/>
      <c r="J186" s="922"/>
      <c r="K186" s="922"/>
      <c r="L186" s="922"/>
      <c r="M186" s="922"/>
      <c r="N186" s="922"/>
      <c r="O186" s="922"/>
      <c r="P186" s="922"/>
      <c r="Q186" s="922"/>
      <c r="R186" s="922"/>
      <c r="S186" s="922"/>
      <c r="T186" s="922"/>
      <c r="U186" s="922"/>
      <c r="V186" s="951"/>
      <c r="W186" s="827"/>
      <c r="X186" s="1341"/>
      <c r="Y186" s="1341"/>
      <c r="AE186" s="1322"/>
      <c r="AF186" s="1322"/>
      <c r="AG186" s="1204"/>
      <c r="AH186" s="1204"/>
      <c r="AI186" s="1204"/>
      <c r="AJ186" s="1204"/>
    </row>
    <row r="187" spans="1:36" ht="20" x14ac:dyDescent="0.2">
      <c r="A187" s="826"/>
      <c r="B187" s="950"/>
      <c r="C187" s="887"/>
      <c r="D187" s="888"/>
      <c r="E187" s="919"/>
      <c r="F187" s="919"/>
      <c r="G187" s="927"/>
      <c r="H187" s="927"/>
      <c r="I187" s="927"/>
      <c r="J187" s="922"/>
      <c r="K187" s="922"/>
      <c r="L187" s="922"/>
      <c r="M187" s="922"/>
      <c r="N187" s="922"/>
      <c r="O187" s="922"/>
      <c r="P187" s="922"/>
      <c r="Q187" s="922"/>
      <c r="R187" s="922"/>
      <c r="S187" s="922"/>
      <c r="T187" s="922"/>
      <c r="U187" s="922"/>
      <c r="V187" s="951"/>
      <c r="W187" s="827"/>
      <c r="X187" s="1341"/>
      <c r="Y187" s="1341"/>
      <c r="AE187" s="1322"/>
      <c r="AF187" s="1322"/>
      <c r="AG187" s="1204"/>
      <c r="AH187" s="1204"/>
      <c r="AI187" s="1204"/>
      <c r="AJ187" s="1204"/>
    </row>
    <row r="188" spans="1:36" ht="20" x14ac:dyDescent="0.2">
      <c r="A188" s="826"/>
      <c r="B188" s="950"/>
      <c r="C188" s="887"/>
      <c r="D188" s="888"/>
      <c r="E188" s="919"/>
      <c r="F188" s="919"/>
      <c r="G188" s="927"/>
      <c r="H188" s="927"/>
      <c r="I188" s="927"/>
      <c r="J188" s="922"/>
      <c r="K188" s="922"/>
      <c r="L188" s="922"/>
      <c r="M188" s="922"/>
      <c r="N188" s="922"/>
      <c r="O188" s="922"/>
      <c r="P188" s="922"/>
      <c r="Q188" s="922"/>
      <c r="R188" s="922"/>
      <c r="S188" s="922"/>
      <c r="T188" s="922"/>
      <c r="U188" s="922"/>
      <c r="V188" s="951"/>
      <c r="W188" s="827"/>
      <c r="X188" s="1341"/>
      <c r="Y188" s="1341"/>
      <c r="AE188" s="1322"/>
      <c r="AF188" s="1322"/>
      <c r="AG188" s="1204"/>
      <c r="AH188" s="1204"/>
      <c r="AI188" s="1204"/>
      <c r="AJ188" s="1204"/>
    </row>
    <row r="189" spans="1:36" ht="20" x14ac:dyDescent="0.2">
      <c r="A189" s="826"/>
      <c r="B189" s="950"/>
      <c r="C189" s="887"/>
      <c r="D189" s="888"/>
      <c r="E189" s="919"/>
      <c r="F189" s="919"/>
      <c r="G189" s="927"/>
      <c r="H189" s="927"/>
      <c r="I189" s="927"/>
      <c r="J189" s="922"/>
      <c r="K189" s="922"/>
      <c r="L189" s="922"/>
      <c r="M189" s="922"/>
      <c r="N189" s="922"/>
      <c r="O189" s="922"/>
      <c r="P189" s="922"/>
      <c r="Q189" s="922"/>
      <c r="R189" s="922"/>
      <c r="S189" s="922"/>
      <c r="T189" s="922"/>
      <c r="U189" s="922"/>
      <c r="V189" s="951"/>
      <c r="W189" s="827"/>
      <c r="X189" s="1341"/>
      <c r="Y189" s="1341"/>
      <c r="AE189" s="1322"/>
      <c r="AF189" s="1322"/>
      <c r="AG189" s="1204"/>
      <c r="AH189" s="1204"/>
      <c r="AI189" s="1204"/>
      <c r="AJ189" s="1204"/>
    </row>
    <row r="190" spans="1:36" ht="20" x14ac:dyDescent="0.2">
      <c r="A190" s="826"/>
      <c r="B190" s="950"/>
      <c r="C190" s="887"/>
      <c r="D190" s="888"/>
      <c r="E190" s="919"/>
      <c r="F190" s="919"/>
      <c r="G190" s="927"/>
      <c r="H190" s="927"/>
      <c r="I190" s="927"/>
      <c r="J190" s="922"/>
      <c r="K190" s="922"/>
      <c r="L190" s="922"/>
      <c r="M190" s="922"/>
      <c r="N190" s="922"/>
      <c r="O190" s="922"/>
      <c r="P190" s="922"/>
      <c r="Q190" s="922"/>
      <c r="R190" s="922"/>
      <c r="S190" s="922"/>
      <c r="T190" s="922"/>
      <c r="U190" s="922"/>
      <c r="V190" s="951"/>
      <c r="W190" s="827"/>
      <c r="X190" s="1341"/>
      <c r="Y190" s="1341"/>
      <c r="AE190" s="1322"/>
      <c r="AF190" s="1322"/>
      <c r="AG190" s="1204"/>
      <c r="AH190" s="1204"/>
      <c r="AI190" s="1204"/>
      <c r="AJ190" s="1204"/>
    </row>
    <row r="191" spans="1:36" ht="20" x14ac:dyDescent="0.2">
      <c r="A191" s="826"/>
      <c r="B191" s="950" t="s">
        <v>973</v>
      </c>
      <c r="C191" s="887"/>
      <c r="D191" s="888"/>
      <c r="E191" s="919"/>
      <c r="F191" s="919"/>
      <c r="G191" s="927"/>
      <c r="H191" s="927"/>
      <c r="I191" s="927"/>
      <c r="J191" s="922"/>
      <c r="K191" s="922"/>
      <c r="L191" s="922"/>
      <c r="M191" s="922"/>
      <c r="N191" s="922"/>
      <c r="O191" s="922"/>
      <c r="P191" s="922"/>
      <c r="Q191" s="922"/>
      <c r="R191" s="922"/>
      <c r="S191" s="922"/>
      <c r="T191" s="922"/>
      <c r="U191" s="922"/>
      <c r="V191" s="951"/>
      <c r="W191" s="827"/>
      <c r="X191" s="1341"/>
      <c r="Y191" s="1341"/>
      <c r="AE191" s="1322"/>
      <c r="AF191" s="1322"/>
      <c r="AG191" s="1204"/>
      <c r="AH191" s="1204"/>
      <c r="AI191" s="1204"/>
      <c r="AJ191" s="1204"/>
    </row>
    <row r="192" spans="1:36" ht="20" x14ac:dyDescent="0.2">
      <c r="A192" s="826"/>
      <c r="B192" s="950"/>
      <c r="C192" s="887"/>
      <c r="D192" s="888"/>
      <c r="E192" s="919"/>
      <c r="F192" s="919"/>
      <c r="G192" s="927"/>
      <c r="H192" s="927"/>
      <c r="I192" s="927"/>
      <c r="J192" s="922"/>
      <c r="K192" s="922"/>
      <c r="L192" s="922"/>
      <c r="M192" s="922"/>
      <c r="N192" s="922"/>
      <c r="O192" s="922"/>
      <c r="P192" s="922"/>
      <c r="Q192" s="922"/>
      <c r="R192" s="922"/>
      <c r="S192" s="922"/>
      <c r="T192" s="922"/>
      <c r="U192" s="922"/>
      <c r="V192" s="951"/>
      <c r="W192" s="827"/>
      <c r="X192" s="1341"/>
      <c r="Y192" s="1341"/>
      <c r="AE192" s="1322"/>
      <c r="AF192" s="1322"/>
      <c r="AG192" s="1204"/>
      <c r="AH192" s="1204"/>
      <c r="AI192" s="1204"/>
      <c r="AJ192" s="1204"/>
    </row>
    <row r="193" spans="1:36" ht="20" x14ac:dyDescent="0.2">
      <c r="A193" s="826"/>
      <c r="B193" s="950"/>
      <c r="C193" s="887"/>
      <c r="D193" s="888"/>
      <c r="E193" s="919"/>
      <c r="F193" s="919"/>
      <c r="G193" s="927"/>
      <c r="H193" s="927"/>
      <c r="I193" s="927"/>
      <c r="J193" s="922"/>
      <c r="K193" s="922"/>
      <c r="L193" s="922"/>
      <c r="M193" s="922"/>
      <c r="N193" s="922"/>
      <c r="O193" s="922"/>
      <c r="P193" s="922"/>
      <c r="Q193" s="922"/>
      <c r="R193" s="922"/>
      <c r="S193" s="922"/>
      <c r="T193" s="922"/>
      <c r="U193" s="922"/>
      <c r="V193" s="951"/>
      <c r="W193" s="827"/>
      <c r="X193" s="1341"/>
      <c r="Y193" s="1341"/>
      <c r="AE193" s="1322"/>
      <c r="AF193" s="1322"/>
      <c r="AG193" s="1204"/>
      <c r="AH193" s="1204"/>
      <c r="AI193" s="1204"/>
      <c r="AJ193" s="1204"/>
    </row>
    <row r="194" spans="1:36" ht="20" x14ac:dyDescent="0.2">
      <c r="A194" s="826"/>
      <c r="B194" s="950"/>
      <c r="C194" s="887"/>
      <c r="D194" s="888"/>
      <c r="E194" s="919"/>
      <c r="F194" s="919"/>
      <c r="G194" s="927"/>
      <c r="H194" s="927"/>
      <c r="I194" s="927"/>
      <c r="J194" s="922"/>
      <c r="K194" s="922"/>
      <c r="L194" s="922"/>
      <c r="M194" s="922"/>
      <c r="N194" s="922"/>
      <c r="O194" s="922"/>
      <c r="P194" s="922"/>
      <c r="Q194" s="922"/>
      <c r="R194" s="922"/>
      <c r="S194" s="922"/>
      <c r="T194" s="922"/>
      <c r="U194" s="922"/>
      <c r="V194" s="951"/>
      <c r="W194" s="827"/>
      <c r="X194" s="1341"/>
      <c r="Y194" s="1341"/>
      <c r="AE194" s="1322"/>
      <c r="AF194" s="1322"/>
      <c r="AG194" s="1204"/>
      <c r="AH194" s="1204"/>
      <c r="AI194" s="1204"/>
      <c r="AJ194" s="1204"/>
    </row>
    <row r="195" spans="1:36" ht="20" x14ac:dyDescent="0.2">
      <c r="A195" s="826"/>
      <c r="B195" s="950"/>
      <c r="C195" s="887"/>
      <c r="D195" s="888"/>
      <c r="E195" s="919"/>
      <c r="F195" s="919"/>
      <c r="G195" s="927"/>
      <c r="H195" s="927"/>
      <c r="I195" s="927"/>
      <c r="J195" s="922"/>
      <c r="K195" s="922"/>
      <c r="L195" s="922"/>
      <c r="M195" s="922"/>
      <c r="N195" s="922"/>
      <c r="O195" s="922"/>
      <c r="P195" s="922"/>
      <c r="Q195" s="922"/>
      <c r="R195" s="922"/>
      <c r="S195" s="922"/>
      <c r="T195" s="922"/>
      <c r="U195" s="922"/>
      <c r="V195" s="951"/>
      <c r="W195" s="827"/>
      <c r="X195" s="1341"/>
      <c r="Y195" s="1341"/>
      <c r="AE195" s="1322"/>
      <c r="AF195" s="1322"/>
      <c r="AG195" s="1204"/>
      <c r="AH195" s="1204"/>
      <c r="AI195" s="1204"/>
      <c r="AJ195" s="1204"/>
    </row>
    <row r="196" spans="1:36" ht="20" x14ac:dyDescent="0.2">
      <c r="A196" s="826"/>
      <c r="B196" s="950"/>
      <c r="C196" s="887"/>
      <c r="D196" s="888"/>
      <c r="E196" s="919"/>
      <c r="F196" s="919"/>
      <c r="G196" s="927"/>
      <c r="H196" s="927"/>
      <c r="I196" s="927"/>
      <c r="J196" s="922"/>
      <c r="K196" s="922"/>
      <c r="L196" s="922"/>
      <c r="M196" s="922"/>
      <c r="N196" s="922"/>
      <c r="O196" s="922"/>
      <c r="P196" s="922"/>
      <c r="Q196" s="922"/>
      <c r="R196" s="922"/>
      <c r="S196" s="922"/>
      <c r="T196" s="922"/>
      <c r="U196" s="922"/>
      <c r="V196" s="951"/>
      <c r="W196" s="827"/>
      <c r="X196" s="1341"/>
      <c r="Y196" s="1341"/>
      <c r="AE196" s="1322"/>
      <c r="AF196" s="1322"/>
      <c r="AG196" s="1204"/>
      <c r="AH196" s="1204"/>
      <c r="AI196" s="1204"/>
      <c r="AJ196" s="1204"/>
    </row>
    <row r="197" spans="1:36" ht="20.5" thickBot="1" x14ac:dyDescent="0.25">
      <c r="A197" s="826"/>
      <c r="B197" s="950"/>
      <c r="C197" s="887"/>
      <c r="D197" s="888"/>
      <c r="E197" s="919"/>
      <c r="F197" s="919"/>
      <c r="G197" s="927"/>
      <c r="H197" s="927"/>
      <c r="I197" s="927"/>
      <c r="J197" s="922"/>
      <c r="K197" s="922"/>
      <c r="L197" s="922"/>
      <c r="M197" s="922"/>
      <c r="N197" s="922"/>
      <c r="O197" s="922"/>
      <c r="P197" s="922"/>
      <c r="Q197" s="922"/>
      <c r="R197" s="922"/>
      <c r="S197" s="922"/>
      <c r="T197" s="922"/>
      <c r="U197" s="922"/>
      <c r="V197" s="951"/>
      <c r="W197" s="827"/>
      <c r="X197" s="1341"/>
      <c r="AE197" s="1322"/>
      <c r="AF197" s="1322"/>
      <c r="AG197" s="1204"/>
      <c r="AH197" s="1204"/>
      <c r="AI197" s="1204"/>
      <c r="AJ197" s="1204"/>
    </row>
    <row r="198" spans="1:36" ht="20" x14ac:dyDescent="0.2">
      <c r="A198" s="826"/>
      <c r="B198" s="874" t="s">
        <v>502</v>
      </c>
      <c r="C198" s="875" t="s">
        <v>300</v>
      </c>
      <c r="D198" s="876" t="s">
        <v>301</v>
      </c>
      <c r="E198" s="919"/>
      <c r="F198" s="919"/>
      <c r="G198" s="927"/>
      <c r="H198" s="927"/>
      <c r="I198" s="927"/>
      <c r="J198" s="922"/>
      <c r="K198" s="922"/>
      <c r="L198" s="922"/>
      <c r="M198" s="922"/>
      <c r="N198" s="922"/>
      <c r="O198" s="922"/>
      <c r="P198" s="922"/>
      <c r="Q198" s="922"/>
      <c r="R198" s="922"/>
      <c r="S198" s="922"/>
      <c r="T198" s="922"/>
      <c r="U198" s="922"/>
      <c r="V198" s="951"/>
      <c r="W198" s="827"/>
      <c r="X198" s="1341"/>
      <c r="AE198" s="1322"/>
      <c r="AF198" s="1322"/>
      <c r="AG198" s="1204"/>
      <c r="AH198" s="1204"/>
      <c r="AI198" s="1204"/>
      <c r="AJ198" s="1204"/>
    </row>
    <row r="199" spans="1:36" ht="20" x14ac:dyDescent="0.2">
      <c r="A199" s="826"/>
      <c r="B199" s="908" t="s">
        <v>541</v>
      </c>
      <c r="C199" s="909"/>
      <c r="D199" s="910"/>
      <c r="E199" s="919"/>
      <c r="F199" s="919"/>
      <c r="G199" s="927"/>
      <c r="H199" s="927"/>
      <c r="I199" s="927"/>
      <c r="J199" s="922"/>
      <c r="K199" s="922"/>
      <c r="L199" s="922"/>
      <c r="M199" s="922"/>
      <c r="N199" s="922"/>
      <c r="O199" s="922"/>
      <c r="P199" s="922"/>
      <c r="Q199" s="922"/>
      <c r="R199" s="922"/>
      <c r="S199" s="922"/>
      <c r="T199" s="922"/>
      <c r="U199" s="922"/>
      <c r="V199" s="951"/>
      <c r="W199" s="827"/>
      <c r="X199" s="1341"/>
      <c r="AE199" s="1322"/>
      <c r="AF199" s="1322"/>
      <c r="AG199" s="1204"/>
      <c r="AH199" s="1204"/>
      <c r="AI199" s="1204"/>
      <c r="AJ199" s="1204"/>
    </row>
    <row r="200" spans="1:36" ht="20" x14ac:dyDescent="0.2">
      <c r="A200" s="826"/>
      <c r="B200" s="911"/>
      <c r="C200" s="912">
        <f>地域経済性計算シート!AI544</f>
        <v>-465.86128777719165</v>
      </c>
      <c r="D200" s="913">
        <f>地域経済性計算シート!AJ544</f>
        <v>1419.4398649746454</v>
      </c>
      <c r="E200" s="919"/>
      <c r="F200" s="919"/>
      <c r="G200" s="927"/>
      <c r="H200" s="927"/>
      <c r="I200" s="927"/>
      <c r="J200" s="922"/>
      <c r="K200" s="922"/>
      <c r="L200" s="922"/>
      <c r="M200" s="922"/>
      <c r="N200" s="922"/>
      <c r="O200" s="922"/>
      <c r="P200" s="922"/>
      <c r="Q200" s="922"/>
      <c r="R200" s="922"/>
      <c r="S200" s="922"/>
      <c r="T200" s="922"/>
      <c r="U200" s="922"/>
      <c r="V200" s="951"/>
      <c r="W200" s="827"/>
      <c r="X200" s="1341"/>
      <c r="AE200" s="1322"/>
      <c r="AF200" s="1322"/>
      <c r="AG200" s="1204"/>
      <c r="AH200" s="1204"/>
      <c r="AI200" s="1204"/>
      <c r="AJ200" s="1204"/>
    </row>
    <row r="201" spans="1:36" ht="21" x14ac:dyDescent="0.25">
      <c r="A201" s="826"/>
      <c r="B201" s="908" t="s">
        <v>542</v>
      </c>
      <c r="C201" s="909"/>
      <c r="D201" s="910"/>
      <c r="E201" s="919"/>
      <c r="F201" s="919"/>
      <c r="G201" s="836" t="s">
        <v>610</v>
      </c>
      <c r="H201" s="836"/>
      <c r="I201" s="836"/>
      <c r="J201" s="836"/>
      <c r="K201" s="837"/>
      <c r="L201" s="838"/>
      <c r="M201" s="837"/>
      <c r="N201" s="838"/>
      <c r="O201" s="839"/>
      <c r="P201" s="839"/>
      <c r="Q201" s="839"/>
      <c r="R201" s="839"/>
      <c r="S201" s="839"/>
      <c r="T201" s="839"/>
      <c r="U201" s="839"/>
      <c r="V201" s="952"/>
      <c r="W201" s="827"/>
      <c r="X201" s="1341"/>
      <c r="Y201" s="1341" t="s">
        <v>614</v>
      </c>
      <c r="Z201" s="1354">
        <f>T5*E148*1000/1000000*20</f>
        <v>488961.86625000002</v>
      </c>
      <c r="AB201" s="1324"/>
      <c r="AC201" s="1223"/>
      <c r="AD201" s="1223"/>
      <c r="AE201" s="1204"/>
      <c r="AF201" s="1204"/>
      <c r="AG201" s="1204"/>
      <c r="AH201" s="1204"/>
      <c r="AI201" s="1204"/>
      <c r="AJ201" s="1204"/>
    </row>
    <row r="202" spans="1:36" ht="17.5" x14ac:dyDescent="0.2">
      <c r="A202" s="826"/>
      <c r="B202" s="914"/>
      <c r="C202" s="912">
        <f>地域経済性計算シート!AI531/1000000</f>
        <v>66.533804045784834</v>
      </c>
      <c r="D202" s="913">
        <f>地域経済性計算シート!AJ531/1000000</f>
        <v>66.533804045784834</v>
      </c>
      <c r="E202" s="919"/>
      <c r="F202" s="919"/>
      <c r="G202" s="844"/>
      <c r="H202" s="844"/>
      <c r="I202" s="844"/>
      <c r="J202" s="844"/>
      <c r="K202" s="844"/>
      <c r="L202" s="844"/>
      <c r="M202" s="844"/>
      <c r="N202" s="844"/>
      <c r="O202" s="844"/>
      <c r="P202" s="844"/>
      <c r="Q202" s="839"/>
      <c r="R202" s="839"/>
      <c r="S202" s="839"/>
      <c r="T202" s="839"/>
      <c r="U202" s="839"/>
      <c r="V202" s="952"/>
      <c r="W202" s="827"/>
      <c r="X202" s="1341"/>
      <c r="Y202" s="1341" t="s">
        <v>615</v>
      </c>
      <c r="Z202" s="1355">
        <f>T7*1000*E149/1000000*20</f>
        <v>104479.03125</v>
      </c>
      <c r="AB202" s="1324"/>
      <c r="AC202" s="1223"/>
      <c r="AD202" s="1223"/>
      <c r="AE202" s="1204"/>
      <c r="AF202" s="1204"/>
      <c r="AG202" s="1204"/>
      <c r="AH202" s="1204"/>
      <c r="AI202" s="1204"/>
      <c r="AJ202" s="1204"/>
    </row>
    <row r="203" spans="1:36" ht="17.5" x14ac:dyDescent="0.2">
      <c r="A203" s="826"/>
      <c r="B203" s="908" t="s">
        <v>543</v>
      </c>
      <c r="C203" s="909"/>
      <c r="D203" s="910"/>
      <c r="E203" s="919"/>
      <c r="F203" s="919"/>
      <c r="G203" s="844"/>
      <c r="H203" s="844"/>
      <c r="I203" s="844"/>
      <c r="J203" s="844"/>
      <c r="K203" s="844"/>
      <c r="L203" s="844"/>
      <c r="M203" s="844"/>
      <c r="N203" s="844"/>
      <c r="O203" s="844"/>
      <c r="P203" s="844"/>
      <c r="Q203" s="839"/>
      <c r="R203" s="839"/>
      <c r="S203" s="841"/>
      <c r="T203" s="839"/>
      <c r="U203" s="839"/>
      <c r="V203" s="953"/>
      <c r="W203" s="827"/>
      <c r="X203" s="1341"/>
      <c r="Y203" s="1341" t="s">
        <v>974</v>
      </c>
      <c r="Z203" s="1355">
        <f>SUMPRODUCT(E58:E63,E141:E146)*C51/1000000*20</f>
        <v>9900</v>
      </c>
      <c r="AB203" s="1324"/>
      <c r="AC203" s="1223"/>
      <c r="AD203" s="1223"/>
      <c r="AE203" s="1204"/>
      <c r="AF203" s="1204"/>
      <c r="AG203" s="1204"/>
      <c r="AH203" s="1204"/>
      <c r="AI203" s="1204"/>
      <c r="AJ203" s="1204"/>
    </row>
    <row r="204" spans="1:36" ht="19" x14ac:dyDescent="0.2">
      <c r="A204" s="826"/>
      <c r="B204" s="914" t="s">
        <v>970</v>
      </c>
      <c r="C204" s="912">
        <f>地域経済性計算シート!AI532/1000000</f>
        <v>97.235048092159985</v>
      </c>
      <c r="D204" s="913">
        <f>地域経済性計算シート!AJ532/1000000</f>
        <v>194.47009618431991</v>
      </c>
      <c r="E204" s="919"/>
      <c r="F204" s="919"/>
      <c r="G204" s="844"/>
      <c r="H204" s="844"/>
      <c r="I204" s="844"/>
      <c r="J204" s="844"/>
      <c r="K204" s="844"/>
      <c r="L204" s="844"/>
      <c r="M204" s="844"/>
      <c r="N204" s="844"/>
      <c r="O204" s="844"/>
      <c r="P204" s="844"/>
      <c r="Q204" s="839"/>
      <c r="R204" s="839"/>
      <c r="S204" s="841"/>
      <c r="T204" s="1471"/>
      <c r="U204" s="1471"/>
      <c r="V204" s="953"/>
      <c r="W204" s="827"/>
      <c r="X204" s="1341"/>
      <c r="Y204" s="1341" t="s">
        <v>613</v>
      </c>
      <c r="Z204" s="1356">
        <f>(C85-D85)*20</f>
        <v>2838.8797299492944</v>
      </c>
      <c r="AB204" s="1324"/>
      <c r="AC204" s="1223"/>
      <c r="AD204" s="1223"/>
      <c r="AE204" s="1204"/>
      <c r="AF204" s="1204"/>
      <c r="AG204" s="1204"/>
      <c r="AH204" s="1204"/>
      <c r="AI204" s="1204"/>
      <c r="AJ204" s="1204"/>
    </row>
    <row r="205" spans="1:36" ht="19" x14ac:dyDescent="0.2">
      <c r="A205" s="826"/>
      <c r="B205" s="908" t="s">
        <v>605</v>
      </c>
      <c r="C205" s="909"/>
      <c r="D205" s="910"/>
      <c r="E205" s="919"/>
      <c r="F205" s="919"/>
      <c r="G205" s="844"/>
      <c r="H205" s="844"/>
      <c r="I205" s="844"/>
      <c r="J205" s="844"/>
      <c r="K205" s="844"/>
      <c r="L205" s="844"/>
      <c r="M205" s="844"/>
      <c r="N205" s="844"/>
      <c r="O205" s="844"/>
      <c r="P205" s="844"/>
      <c r="Q205" s="839"/>
      <c r="R205" s="839"/>
      <c r="S205" s="841"/>
      <c r="T205" s="1471"/>
      <c r="U205" s="1471"/>
      <c r="V205" s="954"/>
      <c r="W205" s="827"/>
      <c r="X205" s="1341"/>
      <c r="Y205" s="1362" t="s">
        <v>1013</v>
      </c>
      <c r="Z205" s="1356">
        <f>D200</f>
        <v>1419.4398649746454</v>
      </c>
      <c r="AB205" s="1324"/>
      <c r="AC205" s="1223"/>
      <c r="AD205" s="1223"/>
      <c r="AE205" s="1204"/>
      <c r="AF205" s="1204"/>
      <c r="AG205" s="1204"/>
      <c r="AH205" s="1204"/>
      <c r="AI205" s="1204"/>
      <c r="AJ205" s="1204"/>
    </row>
    <row r="206" spans="1:36" ht="17.5" x14ac:dyDescent="0.2">
      <c r="A206" s="826"/>
      <c r="B206" s="915" t="s">
        <v>544</v>
      </c>
      <c r="C206" s="912">
        <f>地域経済性計算シート!AI527/1000000</f>
        <v>443.90945001358034</v>
      </c>
      <c r="D206" s="913">
        <f>地域経済性計算シート!AJ527/1000000</f>
        <v>887.81890002716068</v>
      </c>
      <c r="E206" s="919"/>
      <c r="F206" s="919"/>
      <c r="G206" s="844"/>
      <c r="H206" s="844"/>
      <c r="I206" s="844"/>
      <c r="J206" s="844"/>
      <c r="K206" s="844"/>
      <c r="L206" s="844"/>
      <c r="M206" s="844"/>
      <c r="N206" s="955"/>
      <c r="O206" s="955"/>
      <c r="P206" s="839"/>
      <c r="Q206" s="839"/>
      <c r="R206" s="839"/>
      <c r="S206" s="841"/>
      <c r="T206" s="839"/>
      <c r="U206" s="839"/>
      <c r="V206" s="954"/>
      <c r="W206" s="827"/>
      <c r="X206" s="1341"/>
      <c r="Y206" s="1362" t="s">
        <v>1014</v>
      </c>
      <c r="Z206" s="1356">
        <f>D202</f>
        <v>66.533804045784834</v>
      </c>
      <c r="AB206" s="1324"/>
      <c r="AC206" s="1223"/>
      <c r="AD206" s="1223"/>
      <c r="AE206" s="1204"/>
      <c r="AF206" s="1204"/>
      <c r="AG206" s="1204"/>
      <c r="AH206" s="1204"/>
      <c r="AI206" s="1204"/>
      <c r="AJ206" s="1204"/>
    </row>
    <row r="207" spans="1:36" ht="17.5" x14ac:dyDescent="0.2">
      <c r="A207" s="826"/>
      <c r="B207" s="915" t="s">
        <v>545</v>
      </c>
      <c r="C207" s="912">
        <f>地域経済性計算シート!AI529/1000000</f>
        <v>515.37857012279449</v>
      </c>
      <c r="D207" s="913">
        <f>(地域経済性計算シート!AJ529)/1000000</f>
        <v>862.2121331028693</v>
      </c>
      <c r="E207" s="919"/>
      <c r="F207" s="919"/>
      <c r="G207" s="844"/>
      <c r="H207" s="844"/>
      <c r="I207" s="844"/>
      <c r="J207" s="844"/>
      <c r="K207" s="844"/>
      <c r="L207" s="844"/>
      <c r="M207" s="844"/>
      <c r="N207" s="955"/>
      <c r="O207" s="955"/>
      <c r="P207" s="844"/>
      <c r="Q207" s="844"/>
      <c r="R207" s="844"/>
      <c r="S207" s="845"/>
      <c r="T207" s="1472"/>
      <c r="U207" s="1472"/>
      <c r="V207" s="956"/>
      <c r="W207" s="827"/>
      <c r="X207" s="1341"/>
      <c r="Y207" s="1362" t="s">
        <v>1015</v>
      </c>
      <c r="Z207" s="1356">
        <f>D204</f>
        <v>194.47009618431991</v>
      </c>
      <c r="AB207" s="1324"/>
      <c r="AC207" s="1223"/>
      <c r="AD207" s="1223"/>
      <c r="AE207" s="1204"/>
      <c r="AF207" s="1204"/>
      <c r="AG207" s="1204"/>
      <c r="AH207" s="1204"/>
      <c r="AI207" s="1204"/>
      <c r="AJ207" s="1204"/>
    </row>
    <row r="208" spans="1:36" ht="17.5" x14ac:dyDescent="0.2">
      <c r="A208" s="826"/>
      <c r="B208" s="915" t="s">
        <v>69</v>
      </c>
      <c r="C208" s="912">
        <f>C206+C207</f>
        <v>959.28802013637483</v>
      </c>
      <c r="D208" s="913">
        <f>D206+D207</f>
        <v>1750.03103313003</v>
      </c>
      <c r="E208" s="919"/>
      <c r="F208" s="919"/>
      <c r="G208" s="844"/>
      <c r="H208" s="844"/>
      <c r="I208" s="844"/>
      <c r="J208" s="844"/>
      <c r="K208" s="844"/>
      <c r="L208" s="844"/>
      <c r="M208" s="844"/>
      <c r="N208" s="955"/>
      <c r="O208" s="955"/>
      <c r="P208" s="844"/>
      <c r="Q208" s="844"/>
      <c r="R208" s="844"/>
      <c r="S208" s="845"/>
      <c r="T208" s="1472"/>
      <c r="U208" s="1472"/>
      <c r="V208" s="956"/>
      <c r="W208" s="827"/>
      <c r="X208" s="1341"/>
      <c r="Y208" s="1362" t="s">
        <v>1016</v>
      </c>
      <c r="Z208" s="1356">
        <f>D208</f>
        <v>1750.03103313003</v>
      </c>
      <c r="AB208" s="1324"/>
      <c r="AC208" s="1223"/>
      <c r="AD208" s="1223"/>
      <c r="AE208" s="1204"/>
      <c r="AF208" s="1204"/>
      <c r="AG208" s="1204"/>
      <c r="AH208" s="1204"/>
      <c r="AI208" s="1204"/>
      <c r="AJ208" s="1204"/>
    </row>
    <row r="209" spans="1:36" ht="17.5" x14ac:dyDescent="0.2">
      <c r="A209" s="826"/>
      <c r="B209" s="908" t="s">
        <v>604</v>
      </c>
      <c r="C209" s="909"/>
      <c r="D209" s="910"/>
      <c r="E209" s="919"/>
      <c r="F209" s="919"/>
      <c r="G209" s="844"/>
      <c r="H209" s="844"/>
      <c r="I209" s="844"/>
      <c r="J209" s="844"/>
      <c r="K209" s="844"/>
      <c r="L209" s="844"/>
      <c r="M209" s="844"/>
      <c r="N209" s="955"/>
      <c r="O209" s="955"/>
      <c r="P209" s="844"/>
      <c r="Q209" s="844"/>
      <c r="R209" s="844"/>
      <c r="S209" s="846"/>
      <c r="T209" s="844"/>
      <c r="U209" s="844"/>
      <c r="V209" s="956"/>
      <c r="W209" s="827"/>
      <c r="X209" s="1341"/>
      <c r="Y209" s="1363" t="s">
        <v>604</v>
      </c>
      <c r="Z209" s="1356">
        <f>D212</f>
        <v>1769.1724959497744</v>
      </c>
      <c r="AB209" s="1324"/>
      <c r="AC209" s="1223"/>
      <c r="AD209" s="1223"/>
      <c r="AE209" s="1204"/>
      <c r="AF209" s="1204"/>
      <c r="AG209" s="1204"/>
      <c r="AH209" s="1204"/>
      <c r="AI209" s="1204"/>
      <c r="AJ209" s="1204"/>
    </row>
    <row r="210" spans="1:36" ht="19.5" customHeight="1" x14ac:dyDescent="0.2">
      <c r="A210" s="826"/>
      <c r="B210" s="914" t="s">
        <v>263</v>
      </c>
      <c r="C210" s="912">
        <f>地域経済性計算シート!AI533/1000000</f>
        <v>425.44724003746035</v>
      </c>
      <c r="D210" s="913">
        <f>地域経済性計算シート!AJ533/1000000</f>
        <v>857.94772963127832</v>
      </c>
      <c r="E210" s="919"/>
      <c r="F210" s="919"/>
      <c r="G210" s="844"/>
      <c r="H210" s="844"/>
      <c r="I210" s="844"/>
      <c r="J210" s="844"/>
      <c r="K210" s="844"/>
      <c r="L210" s="844"/>
      <c r="M210" s="844"/>
      <c r="N210" s="955"/>
      <c r="O210" s="955"/>
      <c r="P210" s="844"/>
      <c r="Q210" s="844"/>
      <c r="R210" s="844"/>
      <c r="S210" s="845"/>
      <c r="T210" s="1473"/>
      <c r="U210" s="1473"/>
      <c r="V210" s="957"/>
      <c r="W210" s="827"/>
      <c r="X210" s="1341"/>
      <c r="Y210" s="1362" t="s">
        <v>1017</v>
      </c>
      <c r="Z210" s="1356">
        <f>D214</f>
        <v>0</v>
      </c>
      <c r="AB210" s="1324"/>
      <c r="AC210" s="1223"/>
      <c r="AD210" s="1223"/>
      <c r="AE210" s="1204"/>
      <c r="AF210" s="1204"/>
      <c r="AG210" s="1204"/>
      <c r="AH210" s="1204"/>
      <c r="AI210" s="1204"/>
      <c r="AJ210" s="1204"/>
    </row>
    <row r="211" spans="1:36" ht="19.5" customHeight="1" x14ac:dyDescent="0.2">
      <c r="A211" s="826"/>
      <c r="B211" s="914" t="s">
        <v>255</v>
      </c>
      <c r="C211" s="912">
        <f>地域経済性計算シート!AI534/1000000</f>
        <v>626.2974839845283</v>
      </c>
      <c r="D211" s="913">
        <f>地域経済性計算シート!AJ534/1000000</f>
        <v>911.22476631849611</v>
      </c>
      <c r="E211" s="919"/>
      <c r="F211" s="919"/>
      <c r="G211" s="844"/>
      <c r="H211" s="844"/>
      <c r="I211" s="844"/>
      <c r="J211" s="844"/>
      <c r="K211" s="844"/>
      <c r="L211" s="844"/>
      <c r="M211" s="844"/>
      <c r="N211" s="955"/>
      <c r="O211" s="955"/>
      <c r="P211" s="839"/>
      <c r="Q211" s="839"/>
      <c r="R211" s="839"/>
      <c r="S211" s="846"/>
      <c r="T211" s="844"/>
      <c r="U211" s="844"/>
      <c r="V211" s="956"/>
      <c r="W211" s="827"/>
      <c r="X211" s="1341"/>
      <c r="Y211" s="1357" t="s">
        <v>852</v>
      </c>
      <c r="Z211" s="1356">
        <f>D216</f>
        <v>0</v>
      </c>
      <c r="AB211" s="1324"/>
      <c r="AC211" s="1223"/>
      <c r="AD211" s="1223"/>
      <c r="AE211" s="1204"/>
      <c r="AF211" s="1204"/>
      <c r="AG211" s="1204"/>
      <c r="AH211" s="1204"/>
      <c r="AI211" s="1204"/>
      <c r="AJ211" s="1204"/>
    </row>
    <row r="212" spans="1:36" ht="19.5" customHeight="1" x14ac:dyDescent="0.2">
      <c r="A212" s="826"/>
      <c r="B212" s="914" t="s">
        <v>609</v>
      </c>
      <c r="C212" s="912">
        <f>C211+C210</f>
        <v>1051.7447240219885</v>
      </c>
      <c r="D212" s="913">
        <f>D211+D210</f>
        <v>1769.1724959497744</v>
      </c>
      <c r="E212" s="919"/>
      <c r="F212" s="919"/>
      <c r="G212" s="844"/>
      <c r="H212" s="844"/>
      <c r="I212" s="844"/>
      <c r="J212" s="844"/>
      <c r="K212" s="844"/>
      <c r="L212" s="844"/>
      <c r="M212" s="844"/>
      <c r="N212" s="955"/>
      <c r="O212" s="955"/>
      <c r="P212" s="839"/>
      <c r="Q212" s="839"/>
      <c r="R212" s="839"/>
      <c r="S212" s="846"/>
      <c r="T212" s="844"/>
      <c r="U212" s="844"/>
      <c r="V212" s="956"/>
      <c r="W212" s="827"/>
      <c r="X212" s="1341"/>
      <c r="Y212" s="1357" t="s">
        <v>1018</v>
      </c>
      <c r="Z212" s="1356">
        <f>D220</f>
        <v>0</v>
      </c>
      <c r="AB212" s="1324"/>
      <c r="AC212" s="1223"/>
      <c r="AD212" s="1223"/>
      <c r="AE212" s="1204"/>
      <c r="AF212" s="1204"/>
      <c r="AG212" s="1204"/>
      <c r="AH212" s="1204"/>
      <c r="AI212" s="1204"/>
      <c r="AJ212" s="1204"/>
    </row>
    <row r="213" spans="1:36" ht="17.5" x14ac:dyDescent="0.2">
      <c r="A213" s="826"/>
      <c r="B213" s="908" t="s">
        <v>603</v>
      </c>
      <c r="C213" s="909"/>
      <c r="D213" s="910"/>
      <c r="E213" s="919"/>
      <c r="F213" s="919"/>
      <c r="G213" s="844"/>
      <c r="H213" s="844"/>
      <c r="I213" s="844"/>
      <c r="J213" s="844"/>
      <c r="K213" s="844"/>
      <c r="L213" s="844"/>
      <c r="M213" s="844"/>
      <c r="N213" s="955"/>
      <c r="O213" s="955"/>
      <c r="P213" s="844"/>
      <c r="Q213" s="844"/>
      <c r="R213" s="844"/>
      <c r="S213" s="845"/>
      <c r="T213" s="1474"/>
      <c r="U213" s="1474"/>
      <c r="V213" s="956"/>
      <c r="W213" s="827"/>
      <c r="X213" s="1341"/>
      <c r="AB213" s="1324"/>
      <c r="AC213" s="1223"/>
      <c r="AD213" s="1223"/>
      <c r="AE213" s="1204"/>
      <c r="AF213" s="1204"/>
      <c r="AG213" s="1204"/>
      <c r="AH213" s="1204"/>
      <c r="AI213" s="1204"/>
      <c r="AJ213" s="1204"/>
    </row>
    <row r="214" spans="1:36" ht="17.5" x14ac:dyDescent="0.2">
      <c r="A214" s="826"/>
      <c r="B214" s="933"/>
      <c r="C214" s="934">
        <f>地域経済性計算シート!AI549</f>
        <v>0</v>
      </c>
      <c r="D214" s="935">
        <f>地域経済性計算シート!AJ549</f>
        <v>0</v>
      </c>
      <c r="E214" s="919"/>
      <c r="F214" s="919"/>
      <c r="G214" s="844"/>
      <c r="H214" s="844"/>
      <c r="I214" s="844"/>
      <c r="J214" s="844"/>
      <c r="K214" s="844"/>
      <c r="L214" s="844"/>
      <c r="M214" s="844"/>
      <c r="N214" s="955"/>
      <c r="O214" s="955"/>
      <c r="P214" s="844"/>
      <c r="Q214" s="844"/>
      <c r="R214" s="844"/>
      <c r="S214" s="845"/>
      <c r="T214" s="1474"/>
      <c r="U214" s="1474"/>
      <c r="V214" s="956"/>
      <c r="W214" s="827"/>
      <c r="X214" s="1341"/>
      <c r="AB214" s="1324"/>
      <c r="AC214" s="1223"/>
      <c r="AD214" s="1223"/>
      <c r="AE214" s="1204"/>
      <c r="AF214" s="1204"/>
      <c r="AG214" s="1204"/>
      <c r="AH214" s="1204"/>
      <c r="AI214" s="1204"/>
      <c r="AJ214" s="1204"/>
    </row>
    <row r="215" spans="1:36" ht="17.5" x14ac:dyDescent="0.2">
      <c r="A215" s="826"/>
      <c r="B215" s="908" t="s">
        <v>849</v>
      </c>
      <c r="C215" s="909"/>
      <c r="D215" s="910"/>
      <c r="E215" s="919"/>
      <c r="F215" s="919"/>
      <c r="G215" s="844"/>
      <c r="H215" s="844"/>
      <c r="I215" s="844"/>
      <c r="J215" s="844"/>
      <c r="K215" s="844"/>
      <c r="L215" s="844"/>
      <c r="M215" s="844"/>
      <c r="N215" s="955"/>
      <c r="O215" s="955"/>
      <c r="P215" s="844"/>
      <c r="Q215" s="844"/>
      <c r="R215" s="844"/>
      <c r="S215" s="845"/>
      <c r="T215" s="1474"/>
      <c r="U215" s="1474"/>
      <c r="V215" s="957"/>
      <c r="W215" s="827"/>
      <c r="X215" s="1341"/>
      <c r="AB215" s="1324"/>
      <c r="AC215" s="1223"/>
      <c r="AD215" s="1223"/>
      <c r="AE215" s="1204"/>
      <c r="AF215" s="1204"/>
      <c r="AG215" s="1204"/>
      <c r="AH215" s="1204"/>
      <c r="AI215" s="1204"/>
      <c r="AJ215" s="1204"/>
    </row>
    <row r="216" spans="1:36" ht="17.5" x14ac:dyDescent="0.2">
      <c r="A216" s="826"/>
      <c r="B216" s="933"/>
      <c r="C216" s="934">
        <f>SUMPRODUCT($Y$140:$Y$145,$E$58:$E$63)*$C$51*10/1000000</f>
        <v>0</v>
      </c>
      <c r="D216" s="935">
        <f>SUMPRODUCT($Y$140:$Y$145,$E$58:$E$63)*$C$51*20/1000000</f>
        <v>0</v>
      </c>
      <c r="E216" s="919"/>
      <c r="F216" s="919"/>
      <c r="G216" s="844"/>
      <c r="H216" s="844"/>
      <c r="I216" s="844"/>
      <c r="J216" s="844"/>
      <c r="K216" s="844"/>
      <c r="L216" s="844"/>
      <c r="M216" s="844"/>
      <c r="N216" s="955"/>
      <c r="O216" s="955"/>
      <c r="P216" s="844"/>
      <c r="Q216" s="844"/>
      <c r="R216" s="844"/>
      <c r="S216" s="845"/>
      <c r="T216" s="844"/>
      <c r="U216" s="844"/>
      <c r="V216" s="956"/>
      <c r="W216" s="827"/>
      <c r="X216" s="1341"/>
      <c r="AB216" s="1324"/>
      <c r="AC216" s="1223"/>
      <c r="AD216" s="1223"/>
      <c r="AE216" s="1204"/>
      <c r="AF216" s="1204"/>
      <c r="AG216" s="1204"/>
      <c r="AH216" s="1204"/>
      <c r="AI216" s="1204"/>
      <c r="AJ216" s="1204"/>
    </row>
    <row r="217" spans="1:36" ht="17.5" x14ac:dyDescent="0.2">
      <c r="A217" s="826"/>
      <c r="B217" s="936" t="s">
        <v>602</v>
      </c>
      <c r="C217" s="937"/>
      <c r="D217" s="938"/>
      <c r="E217" s="919"/>
      <c r="F217" s="919"/>
      <c r="G217" s="844"/>
      <c r="H217" s="844"/>
      <c r="I217" s="844"/>
      <c r="J217" s="844"/>
      <c r="K217" s="844"/>
      <c r="L217" s="844"/>
      <c r="M217" s="844"/>
      <c r="N217" s="955"/>
      <c r="O217" s="955"/>
      <c r="P217" s="844"/>
      <c r="Q217" s="844"/>
      <c r="R217" s="844"/>
      <c r="S217" s="845"/>
      <c r="T217" s="844"/>
      <c r="U217" s="844"/>
      <c r="V217" s="956"/>
      <c r="W217" s="827"/>
      <c r="X217" s="1341"/>
      <c r="AB217" s="1324"/>
      <c r="AC217" s="1223"/>
      <c r="AD217" s="1223"/>
      <c r="AE217" s="1204"/>
      <c r="AF217" s="1204"/>
      <c r="AG217" s="1204"/>
      <c r="AH217" s="1204"/>
      <c r="AI217" s="1204"/>
      <c r="AJ217" s="1204"/>
    </row>
    <row r="218" spans="1:36" ht="17.5" x14ac:dyDescent="0.2">
      <c r="A218" s="826"/>
      <c r="B218" s="939" t="s">
        <v>302</v>
      </c>
      <c r="C218" s="934">
        <f>($E$148-$C$148)*計算シート!$E$20*10/1000000</f>
        <v>0</v>
      </c>
      <c r="D218" s="935">
        <f>($E$148-$C$148)*計算シート!$E$20*20/1000000</f>
        <v>0</v>
      </c>
      <c r="E218" s="944"/>
      <c r="F218" s="944"/>
      <c r="G218" s="844"/>
      <c r="H218" s="844"/>
      <c r="I218" s="844"/>
      <c r="J218" s="844"/>
      <c r="K218" s="844"/>
      <c r="L218" s="844"/>
      <c r="M218" s="844"/>
      <c r="N218" s="955"/>
      <c r="O218" s="955"/>
      <c r="P218" s="844"/>
      <c r="Q218" s="844"/>
      <c r="R218" s="844"/>
      <c r="S218" s="845"/>
      <c r="T218" s="844"/>
      <c r="U218" s="844"/>
      <c r="V218" s="956"/>
      <c r="W218" s="827"/>
      <c r="X218" s="1341"/>
      <c r="AB218" s="1324"/>
      <c r="AC218" s="1223"/>
      <c r="AD218" s="1223"/>
      <c r="AE218" s="1204"/>
      <c r="AF218" s="1204"/>
      <c r="AG218" s="1204"/>
      <c r="AH218" s="1204"/>
      <c r="AI218" s="1204"/>
      <c r="AJ218" s="1204"/>
    </row>
    <row r="219" spans="1:36" ht="20" x14ac:dyDescent="0.2">
      <c r="A219" s="826"/>
      <c r="B219" s="939" t="s">
        <v>303</v>
      </c>
      <c r="C219" s="934">
        <f>($E149-$C149)*計算シート!$E25*10/1000000</f>
        <v>0</v>
      </c>
      <c r="D219" s="935">
        <f>($E149-$C149)*計算シート!$E25*20/1000000</f>
        <v>0</v>
      </c>
      <c r="E219" s="919"/>
      <c r="F219" s="919"/>
      <c r="G219" s="844"/>
      <c r="H219" s="844"/>
      <c r="I219" s="844"/>
      <c r="J219" s="844"/>
      <c r="K219" s="844"/>
      <c r="L219" s="844"/>
      <c r="M219" s="844"/>
      <c r="N219" s="955"/>
      <c r="O219" s="955"/>
      <c r="P219" s="844"/>
      <c r="Q219" s="844"/>
      <c r="R219" s="844"/>
      <c r="S219" s="844"/>
      <c r="T219" s="1470"/>
      <c r="U219" s="1470"/>
      <c r="V219" s="957"/>
      <c r="W219" s="827"/>
      <c r="X219" s="1341"/>
      <c r="AB219" s="1324"/>
      <c r="AC219" s="1223"/>
      <c r="AD219" s="1223"/>
      <c r="AE219" s="1204"/>
      <c r="AF219" s="1204"/>
      <c r="AG219" s="1204"/>
      <c r="AH219" s="1204"/>
      <c r="AI219" s="1204"/>
      <c r="AJ219" s="1204"/>
    </row>
    <row r="220" spans="1:36" ht="18" thickBot="1" x14ac:dyDescent="0.25">
      <c r="A220" s="826"/>
      <c r="B220" s="916" t="s">
        <v>69</v>
      </c>
      <c r="C220" s="917">
        <f>C218+C219</f>
        <v>0</v>
      </c>
      <c r="D220" s="918">
        <f>D218+D219</f>
        <v>0</v>
      </c>
      <c r="E220" s="958"/>
      <c r="F220" s="958"/>
      <c r="G220" s="959"/>
      <c r="H220" s="959"/>
      <c r="I220" s="959"/>
      <c r="J220" s="959"/>
      <c r="K220" s="959"/>
      <c r="L220" s="959"/>
      <c r="M220" s="959"/>
      <c r="N220" s="960"/>
      <c r="O220" s="960"/>
      <c r="P220" s="959"/>
      <c r="Q220" s="959"/>
      <c r="R220" s="959"/>
      <c r="S220" s="959"/>
      <c r="T220" s="959"/>
      <c r="U220" s="959"/>
      <c r="V220" s="961"/>
      <c r="W220" s="827"/>
      <c r="X220" s="1341"/>
      <c r="Y220" s="1341"/>
      <c r="AE220" s="1322"/>
      <c r="AF220" s="1322"/>
      <c r="AG220" s="1204"/>
      <c r="AH220" s="1204"/>
      <c r="AI220" s="1204"/>
      <c r="AJ220" s="1204"/>
    </row>
    <row r="221" spans="1:36" ht="20" x14ac:dyDescent="0.2">
      <c r="A221" s="826"/>
      <c r="B221" s="943"/>
      <c r="C221" s="943"/>
      <c r="D221" s="943"/>
      <c r="E221" s="943"/>
      <c r="F221" s="886"/>
      <c r="G221" s="827"/>
      <c r="H221" s="827"/>
      <c r="I221" s="827"/>
      <c r="J221" s="833"/>
      <c r="K221" s="833"/>
      <c r="L221" s="833"/>
      <c r="M221" s="833"/>
      <c r="N221" s="834"/>
      <c r="O221" s="834"/>
      <c r="P221" s="834"/>
      <c r="Q221" s="833"/>
      <c r="R221" s="833"/>
      <c r="S221" s="833"/>
      <c r="T221" s="833"/>
      <c r="U221" s="833"/>
      <c r="V221" s="833"/>
      <c r="W221" s="827"/>
      <c r="X221" s="1341"/>
      <c r="Y221" s="1341"/>
      <c r="AE221" s="1322"/>
      <c r="AF221" s="1322"/>
      <c r="AG221" s="1204"/>
      <c r="AH221" s="1204"/>
      <c r="AI221" s="1204"/>
      <c r="AJ221" s="1204"/>
    </row>
    <row r="222" spans="1:36" ht="21" x14ac:dyDescent="0.2">
      <c r="A222" s="826"/>
      <c r="B222" s="824" t="s">
        <v>939</v>
      </c>
      <c r="C222" s="943"/>
      <c r="D222" s="943"/>
      <c r="E222" s="943"/>
      <c r="F222" s="886"/>
      <c r="G222" s="827"/>
      <c r="H222" s="827"/>
      <c r="I222" s="827"/>
      <c r="J222" s="833"/>
      <c r="K222" s="833"/>
      <c r="L222" s="833"/>
      <c r="M222" s="833"/>
      <c r="N222" s="834"/>
      <c r="O222" s="834"/>
      <c r="P222" s="834"/>
      <c r="Q222" s="833"/>
      <c r="R222" s="833"/>
      <c r="S222" s="833"/>
      <c r="T222" s="833"/>
      <c r="U222" s="833"/>
      <c r="V222" s="833"/>
      <c r="W222" s="827"/>
      <c r="X222" s="1341"/>
      <c r="Y222" s="1341"/>
      <c r="AE222" s="1322"/>
      <c r="AF222" s="1322"/>
      <c r="AG222" s="1204"/>
      <c r="AH222" s="1204"/>
      <c r="AI222" s="1204"/>
      <c r="AJ222" s="1204"/>
    </row>
    <row r="223" spans="1:36" ht="20" x14ac:dyDescent="0.2">
      <c r="A223" s="826"/>
      <c r="B223" s="943"/>
      <c r="C223" s="943"/>
      <c r="D223" s="943"/>
      <c r="E223" s="943"/>
      <c r="F223" s="886"/>
      <c r="G223" s="827"/>
      <c r="H223" s="827"/>
      <c r="I223" s="827"/>
      <c r="J223" s="833"/>
      <c r="K223" s="865" t="s">
        <v>628</v>
      </c>
      <c r="L223" s="866"/>
      <c r="M223" s="866"/>
      <c r="N223" s="866"/>
      <c r="O223" s="866"/>
      <c r="P223" s="866"/>
      <c r="Q223" s="866"/>
      <c r="R223" s="866"/>
      <c r="S223" s="866"/>
      <c r="T223" s="866"/>
      <c r="U223" s="866"/>
      <c r="V223" s="867"/>
      <c r="W223" s="827"/>
      <c r="AE223" s="1322"/>
      <c r="AF223" s="1322"/>
      <c r="AG223" s="1204"/>
      <c r="AH223" s="1204"/>
      <c r="AI223" s="1204"/>
      <c r="AJ223" s="1204"/>
    </row>
    <row r="224" spans="1:36" ht="20" x14ac:dyDescent="0.2">
      <c r="A224" s="826"/>
      <c r="B224" s="835"/>
      <c r="C224" s="885"/>
      <c r="D224" s="832"/>
      <c r="E224" s="886"/>
      <c r="F224" s="886"/>
      <c r="G224" s="827"/>
      <c r="H224" s="827"/>
      <c r="I224" s="827"/>
      <c r="J224" s="833"/>
      <c r="K224" s="868" t="s">
        <v>1006</v>
      </c>
      <c r="L224" s="864"/>
      <c r="M224" s="864"/>
      <c r="N224" s="864"/>
      <c r="O224" s="864"/>
      <c r="P224" s="864"/>
      <c r="Q224" s="864"/>
      <c r="R224" s="864"/>
      <c r="S224" s="864"/>
      <c r="T224" s="864"/>
      <c r="U224" s="864"/>
      <c r="V224" s="869"/>
      <c r="W224" s="827"/>
      <c r="AE224" s="1322"/>
      <c r="AF224" s="1322"/>
      <c r="AG224" s="1204"/>
      <c r="AH224" s="1204"/>
      <c r="AI224" s="1204"/>
      <c r="AJ224" s="1204"/>
    </row>
    <row r="225" spans="1:36" ht="20" x14ac:dyDescent="0.2">
      <c r="A225" s="826"/>
      <c r="B225" s="835"/>
      <c r="C225" s="885"/>
      <c r="D225" s="832"/>
      <c r="E225" s="886"/>
      <c r="F225" s="886"/>
      <c r="G225" s="827"/>
      <c r="H225" s="827"/>
      <c r="I225" s="827"/>
      <c r="J225" s="833"/>
      <c r="K225" s="1066" t="s">
        <v>1005</v>
      </c>
      <c r="L225" s="1339"/>
      <c r="M225" s="1339"/>
      <c r="N225" s="1339"/>
      <c r="O225" s="1339"/>
      <c r="P225" s="1339"/>
      <c r="Q225" s="1339"/>
      <c r="R225" s="1339"/>
      <c r="S225" s="1339"/>
      <c r="T225" s="1339"/>
      <c r="U225" s="1339"/>
      <c r="V225" s="1361"/>
      <c r="W225" s="827"/>
      <c r="AE225" s="1322"/>
      <c r="AF225" s="1322"/>
      <c r="AG225" s="1204"/>
      <c r="AH225" s="1204"/>
      <c r="AI225" s="1204"/>
      <c r="AJ225" s="1204"/>
    </row>
    <row r="226" spans="1:36" ht="20" x14ac:dyDescent="0.2">
      <c r="A226" s="826"/>
      <c r="B226" s="835"/>
      <c r="C226" s="885"/>
      <c r="D226" s="832"/>
      <c r="E226" s="886"/>
      <c r="F226" s="886"/>
      <c r="G226" s="827"/>
      <c r="H226" s="827"/>
      <c r="I226" s="827"/>
      <c r="J226" s="833"/>
      <c r="K226" s="868" t="s">
        <v>1052</v>
      </c>
      <c r="L226" s="864"/>
      <c r="M226" s="864"/>
      <c r="N226" s="864"/>
      <c r="O226" s="864"/>
      <c r="P226" s="864"/>
      <c r="Q226" s="864"/>
      <c r="R226" s="864"/>
      <c r="S226" s="864"/>
      <c r="T226" s="864"/>
      <c r="U226" s="864"/>
      <c r="V226" s="869"/>
      <c r="W226" s="827"/>
      <c r="AE226" s="1322"/>
      <c r="AF226" s="1322"/>
      <c r="AG226" s="1204"/>
      <c r="AH226" s="1204"/>
      <c r="AI226" s="1204"/>
      <c r="AJ226" s="1204"/>
    </row>
    <row r="227" spans="1:36" ht="20" x14ac:dyDescent="0.2">
      <c r="A227" s="826"/>
      <c r="B227" s="835"/>
      <c r="C227" s="885"/>
      <c r="D227" s="832"/>
      <c r="E227" s="886"/>
      <c r="F227" s="886"/>
      <c r="G227" s="827"/>
      <c r="H227" s="827"/>
      <c r="I227" s="827"/>
      <c r="J227" s="833"/>
      <c r="K227" s="868" t="s">
        <v>1053</v>
      </c>
      <c r="L227" s="864"/>
      <c r="M227" s="864"/>
      <c r="N227" s="864"/>
      <c r="O227" s="864"/>
      <c r="P227" s="864"/>
      <c r="Q227" s="864"/>
      <c r="R227" s="864"/>
      <c r="S227" s="864"/>
      <c r="T227" s="864"/>
      <c r="U227" s="864"/>
      <c r="V227" s="869"/>
      <c r="W227" s="827"/>
      <c r="AE227" s="1322"/>
      <c r="AF227" s="1322"/>
      <c r="AG227" s="1204"/>
      <c r="AH227" s="1204"/>
      <c r="AI227" s="1204"/>
      <c r="AJ227" s="1204"/>
    </row>
    <row r="228" spans="1:36" ht="20" x14ac:dyDescent="0.2">
      <c r="A228" s="826"/>
      <c r="B228" s="835"/>
      <c r="C228" s="885"/>
      <c r="D228" s="832"/>
      <c r="E228" s="886"/>
      <c r="F228" s="886"/>
      <c r="G228" s="827"/>
      <c r="H228" s="827"/>
      <c r="I228" s="827"/>
      <c r="J228" s="833"/>
      <c r="K228" s="1358" t="s">
        <v>1066</v>
      </c>
      <c r="L228" s="1359"/>
      <c r="M228" s="1359"/>
      <c r="N228" s="1359"/>
      <c r="O228" s="1359"/>
      <c r="P228" s="1359"/>
      <c r="Q228" s="1359"/>
      <c r="R228" s="1359"/>
      <c r="S228" s="1359"/>
      <c r="T228" s="1359"/>
      <c r="U228" s="1359"/>
      <c r="V228" s="1360"/>
      <c r="W228" s="827"/>
      <c r="AE228" s="1322"/>
      <c r="AF228" s="1322"/>
      <c r="AG228" s="1204"/>
      <c r="AH228" s="1204"/>
      <c r="AI228" s="1204"/>
      <c r="AJ228" s="1204"/>
    </row>
    <row r="229" spans="1:36" ht="20" x14ac:dyDescent="0.2">
      <c r="A229" s="826"/>
      <c r="B229" s="835"/>
      <c r="C229" s="885"/>
      <c r="D229" s="832"/>
      <c r="E229" s="886"/>
      <c r="F229" s="886"/>
      <c r="G229" s="827"/>
      <c r="H229" s="827"/>
      <c r="I229" s="827"/>
      <c r="J229" s="833"/>
      <c r="K229" s="868" t="s">
        <v>1054</v>
      </c>
      <c r="L229" s="864"/>
      <c r="M229" s="864"/>
      <c r="N229" s="864"/>
      <c r="O229" s="864"/>
      <c r="P229" s="864"/>
      <c r="Q229" s="864"/>
      <c r="R229" s="864"/>
      <c r="S229" s="864"/>
      <c r="T229" s="864"/>
      <c r="U229" s="864"/>
      <c r="V229" s="869"/>
      <c r="W229" s="827"/>
      <c r="AE229" s="1322"/>
      <c r="AF229" s="1322"/>
      <c r="AG229" s="1204"/>
      <c r="AH229" s="1204"/>
      <c r="AI229" s="1204"/>
      <c r="AJ229" s="1204"/>
    </row>
    <row r="230" spans="1:36" ht="20" x14ac:dyDescent="0.2">
      <c r="A230" s="826"/>
      <c r="B230" s="835"/>
      <c r="C230" s="885"/>
      <c r="D230" s="832"/>
      <c r="E230" s="886"/>
      <c r="F230" s="886"/>
      <c r="G230" s="827"/>
      <c r="H230" s="827"/>
      <c r="I230" s="827"/>
      <c r="J230" s="833"/>
      <c r="K230" s="868" t="s">
        <v>1007</v>
      </c>
      <c r="L230" s="864"/>
      <c r="M230" s="864"/>
      <c r="N230" s="864"/>
      <c r="O230" s="864"/>
      <c r="P230" s="864"/>
      <c r="Q230" s="864"/>
      <c r="R230" s="864"/>
      <c r="S230" s="864"/>
      <c r="T230" s="864"/>
      <c r="U230" s="864"/>
      <c r="V230" s="869"/>
      <c r="W230" s="827"/>
      <c r="AE230" s="1322"/>
      <c r="AF230" s="1322"/>
      <c r="AG230" s="1204"/>
      <c r="AH230" s="1204"/>
      <c r="AI230" s="1204"/>
      <c r="AJ230" s="1204"/>
    </row>
    <row r="231" spans="1:36" ht="20" x14ac:dyDescent="0.2">
      <c r="A231" s="826"/>
      <c r="B231" s="835"/>
      <c r="C231" s="885"/>
      <c r="D231" s="832"/>
      <c r="E231" s="886"/>
      <c r="F231" s="886"/>
      <c r="G231" s="827"/>
      <c r="H231" s="827"/>
      <c r="I231" s="827"/>
      <c r="J231" s="833"/>
      <c r="K231" s="1358" t="s">
        <v>1055</v>
      </c>
      <c r="L231" s="1359"/>
      <c r="M231" s="1359"/>
      <c r="N231" s="1359"/>
      <c r="O231" s="1359"/>
      <c r="P231" s="1359"/>
      <c r="Q231" s="1359"/>
      <c r="R231" s="1359"/>
      <c r="S231" s="1359"/>
      <c r="T231" s="1359"/>
      <c r="U231" s="1359"/>
      <c r="V231" s="1360"/>
      <c r="W231" s="827"/>
      <c r="AE231" s="1322"/>
      <c r="AF231" s="1322"/>
      <c r="AG231" s="1204"/>
      <c r="AH231" s="1204"/>
      <c r="AI231" s="1204"/>
      <c r="AJ231" s="1204"/>
    </row>
    <row r="232" spans="1:36" ht="20" x14ac:dyDescent="0.2">
      <c r="A232" s="826"/>
      <c r="B232" s="835"/>
      <c r="C232" s="885"/>
      <c r="D232" s="832"/>
      <c r="E232" s="886"/>
      <c r="F232" s="886"/>
      <c r="G232" s="827"/>
      <c r="H232" s="827"/>
      <c r="I232" s="827"/>
      <c r="J232" s="833"/>
      <c r="K232" s="868" t="s">
        <v>1056</v>
      </c>
      <c r="L232" s="864"/>
      <c r="M232" s="864"/>
      <c r="N232" s="864"/>
      <c r="O232" s="864"/>
      <c r="P232" s="864"/>
      <c r="Q232" s="864"/>
      <c r="R232" s="864"/>
      <c r="S232" s="864"/>
      <c r="T232" s="864"/>
      <c r="U232" s="864"/>
      <c r="V232" s="869"/>
      <c r="W232" s="827"/>
      <c r="AE232" s="1322"/>
      <c r="AF232" s="1322"/>
      <c r="AG232" s="1204"/>
      <c r="AH232" s="1204"/>
      <c r="AI232" s="1204"/>
      <c r="AJ232" s="1204"/>
    </row>
    <row r="233" spans="1:36" ht="20" x14ac:dyDescent="0.2">
      <c r="A233" s="826"/>
      <c r="B233" s="835"/>
      <c r="C233" s="885"/>
      <c r="D233" s="832"/>
      <c r="E233" s="886"/>
      <c r="F233" s="886"/>
      <c r="G233" s="827"/>
      <c r="H233" s="827"/>
      <c r="I233" s="827"/>
      <c r="J233" s="833"/>
      <c r="K233" s="868" t="s">
        <v>1008</v>
      </c>
      <c r="L233" s="864"/>
      <c r="M233" s="864"/>
      <c r="N233" s="864"/>
      <c r="O233" s="864"/>
      <c r="P233" s="864"/>
      <c r="Q233" s="864"/>
      <c r="R233" s="864"/>
      <c r="S233" s="864"/>
      <c r="T233" s="864"/>
      <c r="U233" s="864"/>
      <c r="V233" s="869"/>
      <c r="W233" s="827"/>
      <c r="AE233" s="1322"/>
      <c r="AF233" s="1322"/>
      <c r="AG233" s="1204"/>
      <c r="AH233" s="1204"/>
      <c r="AI233" s="1204"/>
      <c r="AJ233" s="1204"/>
    </row>
    <row r="234" spans="1:36" ht="20" x14ac:dyDescent="0.2">
      <c r="A234" s="826"/>
      <c r="B234" s="835"/>
      <c r="C234" s="885"/>
      <c r="D234" s="832"/>
      <c r="E234" s="886"/>
      <c r="F234" s="886"/>
      <c r="G234" s="827"/>
      <c r="H234" s="827"/>
      <c r="I234" s="827"/>
      <c r="J234" s="833"/>
      <c r="K234" s="868" t="s">
        <v>1067</v>
      </c>
      <c r="L234" s="864"/>
      <c r="M234" s="864"/>
      <c r="N234" s="864"/>
      <c r="O234" s="864"/>
      <c r="P234" s="864"/>
      <c r="Q234" s="864"/>
      <c r="R234" s="864"/>
      <c r="S234" s="864"/>
      <c r="T234" s="864"/>
      <c r="U234" s="864"/>
      <c r="V234" s="869"/>
      <c r="W234" s="827"/>
      <c r="AE234" s="1322"/>
      <c r="AF234" s="1322"/>
      <c r="AG234" s="1204"/>
      <c r="AH234" s="1204"/>
      <c r="AI234" s="1204"/>
      <c r="AJ234" s="1204"/>
    </row>
    <row r="235" spans="1:36" ht="20" x14ac:dyDescent="0.2">
      <c r="A235" s="826"/>
      <c r="B235" s="835"/>
      <c r="C235" s="885"/>
      <c r="D235" s="832"/>
      <c r="E235" s="886"/>
      <c r="F235" s="886"/>
      <c r="G235" s="827"/>
      <c r="H235" s="827"/>
      <c r="I235" s="827"/>
      <c r="J235" s="833"/>
      <c r="K235" s="868" t="s">
        <v>1057</v>
      </c>
      <c r="L235" s="864"/>
      <c r="M235" s="864"/>
      <c r="N235" s="864"/>
      <c r="O235" s="864"/>
      <c r="P235" s="864"/>
      <c r="Q235" s="864"/>
      <c r="R235" s="864"/>
      <c r="S235" s="864"/>
      <c r="T235" s="864"/>
      <c r="U235" s="864"/>
      <c r="V235" s="869"/>
      <c r="W235" s="827"/>
      <c r="AE235" s="1322"/>
      <c r="AF235" s="1322"/>
      <c r="AG235" s="1204"/>
      <c r="AH235" s="1204"/>
      <c r="AI235" s="1204"/>
      <c r="AJ235" s="1204"/>
    </row>
    <row r="236" spans="1:36" ht="20" x14ac:dyDescent="0.2">
      <c r="A236" s="826"/>
      <c r="B236" s="835"/>
      <c r="C236" s="885"/>
      <c r="D236" s="832"/>
      <c r="E236" s="886"/>
      <c r="F236" s="886"/>
      <c r="G236" s="827"/>
      <c r="H236" s="827"/>
      <c r="I236" s="827"/>
      <c r="J236" s="833"/>
      <c r="K236" s="868" t="s">
        <v>1009</v>
      </c>
      <c r="L236" s="864"/>
      <c r="M236" s="864"/>
      <c r="N236" s="864"/>
      <c r="O236" s="864"/>
      <c r="P236" s="864"/>
      <c r="Q236" s="864"/>
      <c r="R236" s="864"/>
      <c r="S236" s="864"/>
      <c r="T236" s="864"/>
      <c r="U236" s="864"/>
      <c r="V236" s="869"/>
      <c r="W236" s="827"/>
      <c r="AE236" s="1322"/>
      <c r="AF236" s="1322"/>
      <c r="AG236" s="1204"/>
      <c r="AH236" s="1204"/>
      <c r="AI236" s="1204"/>
      <c r="AJ236" s="1204"/>
    </row>
    <row r="237" spans="1:36" ht="20" x14ac:dyDescent="0.2">
      <c r="A237" s="826"/>
      <c r="B237" s="835"/>
      <c r="C237" s="885"/>
      <c r="D237" s="832"/>
      <c r="E237" s="886"/>
      <c r="F237" s="886"/>
      <c r="G237" s="827"/>
      <c r="H237" s="827"/>
      <c r="I237" s="827"/>
      <c r="J237" s="833"/>
      <c r="K237" s="868" t="s">
        <v>1068</v>
      </c>
      <c r="L237" s="864"/>
      <c r="M237" s="864"/>
      <c r="N237" s="864"/>
      <c r="O237" s="864"/>
      <c r="P237" s="864"/>
      <c r="Q237" s="864"/>
      <c r="R237" s="864"/>
      <c r="S237" s="864"/>
      <c r="T237" s="864"/>
      <c r="U237" s="864"/>
      <c r="V237" s="869"/>
      <c r="W237" s="827"/>
      <c r="AE237" s="1322"/>
      <c r="AF237" s="1322"/>
      <c r="AG237" s="1204"/>
      <c r="AH237" s="1204"/>
      <c r="AI237" s="1204"/>
      <c r="AJ237" s="1204"/>
    </row>
    <row r="238" spans="1:36" ht="21" x14ac:dyDescent="0.2">
      <c r="A238" s="826"/>
      <c r="B238" s="824" t="s">
        <v>606</v>
      </c>
      <c r="C238" s="885"/>
      <c r="D238" s="832"/>
      <c r="E238" s="886"/>
      <c r="F238" s="886"/>
      <c r="G238" s="827"/>
      <c r="H238" s="827"/>
      <c r="I238" s="827"/>
      <c r="J238" s="833"/>
      <c r="K238" s="868" t="s">
        <v>1058</v>
      </c>
      <c r="L238" s="864"/>
      <c r="M238" s="864"/>
      <c r="N238" s="864"/>
      <c r="O238" s="864"/>
      <c r="P238" s="864"/>
      <c r="Q238" s="864"/>
      <c r="R238" s="864"/>
      <c r="S238" s="864"/>
      <c r="T238" s="864"/>
      <c r="U238" s="864"/>
      <c r="V238" s="869"/>
      <c r="W238" s="827"/>
      <c r="AE238" s="1322"/>
      <c r="AF238" s="1322"/>
      <c r="AG238" s="1204"/>
      <c r="AH238" s="1204"/>
      <c r="AI238" s="1204"/>
      <c r="AJ238" s="1204"/>
    </row>
    <row r="239" spans="1:36" ht="20" x14ac:dyDescent="0.2">
      <c r="A239" s="826"/>
      <c r="B239" s="835"/>
      <c r="C239" s="885"/>
      <c r="D239" s="832"/>
      <c r="E239" s="886"/>
      <c r="F239" s="886"/>
      <c r="G239" s="827"/>
      <c r="H239" s="827"/>
      <c r="I239" s="827"/>
      <c r="J239" s="833"/>
      <c r="K239" s="868" t="s">
        <v>1010</v>
      </c>
      <c r="L239" s="864"/>
      <c r="M239" s="864"/>
      <c r="N239" s="864"/>
      <c r="O239" s="864"/>
      <c r="P239" s="864"/>
      <c r="Q239" s="864"/>
      <c r="R239" s="864"/>
      <c r="S239" s="864"/>
      <c r="T239" s="864"/>
      <c r="U239" s="864"/>
      <c r="V239" s="869"/>
      <c r="W239" s="827"/>
      <c r="AE239" s="1322"/>
      <c r="AF239" s="1322"/>
      <c r="AG239" s="1204"/>
      <c r="AH239" s="1204"/>
      <c r="AI239" s="1204"/>
      <c r="AJ239" s="1204"/>
    </row>
    <row r="240" spans="1:36" ht="21" x14ac:dyDescent="0.2">
      <c r="A240" s="826"/>
      <c r="B240" s="824"/>
      <c r="C240" s="885"/>
      <c r="D240" s="832"/>
      <c r="E240" s="886"/>
      <c r="F240" s="886"/>
      <c r="G240" s="827"/>
      <c r="H240" s="827"/>
      <c r="I240" s="827"/>
      <c r="J240" s="833"/>
      <c r="K240" s="868" t="s">
        <v>1218</v>
      </c>
      <c r="L240" s="864"/>
      <c r="M240" s="864"/>
      <c r="N240" s="864"/>
      <c r="O240" s="864"/>
      <c r="P240" s="864"/>
      <c r="Q240" s="864"/>
      <c r="R240" s="864"/>
      <c r="S240" s="864"/>
      <c r="T240" s="864"/>
      <c r="U240" s="864"/>
      <c r="V240" s="869"/>
      <c r="W240" s="827"/>
      <c r="AE240" s="1322"/>
      <c r="AF240" s="1322"/>
      <c r="AG240" s="1204"/>
      <c r="AH240" s="1204"/>
      <c r="AI240" s="1204"/>
      <c r="AJ240" s="1204"/>
    </row>
    <row r="241" spans="1:36" ht="20" x14ac:dyDescent="0.2">
      <c r="A241" s="826"/>
      <c r="B241" s="835"/>
      <c r="C241" s="885"/>
      <c r="D241" s="832"/>
      <c r="E241" s="886"/>
      <c r="F241" s="886"/>
      <c r="G241" s="827"/>
      <c r="H241" s="827"/>
      <c r="I241" s="827"/>
      <c r="J241" s="833"/>
      <c r="K241" s="868" t="s">
        <v>1011</v>
      </c>
      <c r="L241" s="864"/>
      <c r="M241" s="864"/>
      <c r="N241" s="864"/>
      <c r="O241" s="864"/>
      <c r="P241" s="864"/>
      <c r="Q241" s="864"/>
      <c r="R241" s="864"/>
      <c r="S241" s="864"/>
      <c r="T241" s="864"/>
      <c r="U241" s="864"/>
      <c r="V241" s="869"/>
      <c r="W241" s="827"/>
      <c r="AE241" s="1322"/>
      <c r="AF241" s="1322"/>
      <c r="AG241" s="1204"/>
      <c r="AH241" s="1204"/>
      <c r="AI241" s="1204"/>
      <c r="AJ241" s="1204"/>
    </row>
    <row r="242" spans="1:36" ht="20" x14ac:dyDescent="0.2">
      <c r="A242" s="826"/>
      <c r="B242" s="835"/>
      <c r="C242" s="885"/>
      <c r="D242" s="832"/>
      <c r="E242" s="886"/>
      <c r="F242" s="886"/>
      <c r="G242" s="827"/>
      <c r="H242" s="827"/>
      <c r="I242" s="827"/>
      <c r="J242" s="833"/>
      <c r="K242" s="868" t="s">
        <v>1070</v>
      </c>
      <c r="L242" s="864"/>
      <c r="M242" s="864"/>
      <c r="N242" s="864"/>
      <c r="O242" s="864"/>
      <c r="P242" s="864"/>
      <c r="Q242" s="864"/>
      <c r="R242" s="864"/>
      <c r="S242" s="864"/>
      <c r="T242" s="864"/>
      <c r="U242" s="864"/>
      <c r="V242" s="869"/>
      <c r="W242" s="827"/>
      <c r="AE242" s="1322"/>
      <c r="AF242" s="1322"/>
      <c r="AG242" s="1204"/>
      <c r="AH242" s="1204"/>
      <c r="AI242" s="1204"/>
      <c r="AJ242" s="1204"/>
    </row>
    <row r="243" spans="1:36" ht="20" x14ac:dyDescent="0.2">
      <c r="A243" s="826"/>
      <c r="B243" s="835"/>
      <c r="C243" s="885"/>
      <c r="D243" s="832"/>
      <c r="E243" s="886"/>
      <c r="F243" s="886"/>
      <c r="G243" s="827"/>
      <c r="H243" s="827"/>
      <c r="I243" s="827"/>
      <c r="J243" s="833"/>
      <c r="K243" s="868" t="s">
        <v>1059</v>
      </c>
      <c r="L243" s="864"/>
      <c r="M243" s="864"/>
      <c r="N243" s="864"/>
      <c r="O243" s="864"/>
      <c r="P243" s="864"/>
      <c r="Q243" s="864"/>
      <c r="R243" s="864"/>
      <c r="S243" s="864"/>
      <c r="T243" s="864"/>
      <c r="U243" s="864"/>
      <c r="V243" s="869"/>
      <c r="W243" s="827"/>
      <c r="AE243" s="1322"/>
      <c r="AF243" s="1322"/>
      <c r="AG243" s="1204"/>
      <c r="AH243" s="1204"/>
      <c r="AI243" s="1204"/>
      <c r="AJ243" s="1204"/>
    </row>
    <row r="244" spans="1:36" ht="20" x14ac:dyDescent="0.2">
      <c r="A244" s="826"/>
      <c r="B244" s="835"/>
      <c r="C244" s="885"/>
      <c r="D244" s="832"/>
      <c r="E244" s="886"/>
      <c r="F244" s="886"/>
      <c r="G244" s="827"/>
      <c r="H244" s="827"/>
      <c r="I244" s="827"/>
      <c r="J244" s="833"/>
      <c r="K244" s="868" t="s">
        <v>1060</v>
      </c>
      <c r="L244" s="864"/>
      <c r="M244" s="864"/>
      <c r="N244" s="864"/>
      <c r="O244" s="864"/>
      <c r="P244" s="864"/>
      <c r="Q244" s="864"/>
      <c r="R244" s="864"/>
      <c r="S244" s="864"/>
      <c r="T244" s="864"/>
      <c r="U244" s="864"/>
      <c r="V244" s="869"/>
      <c r="W244" s="827"/>
      <c r="AE244" s="1322"/>
      <c r="AF244" s="1322"/>
      <c r="AG244" s="1204"/>
      <c r="AH244" s="1204"/>
      <c r="AI244" s="1204"/>
      <c r="AJ244" s="1204"/>
    </row>
    <row r="245" spans="1:36" ht="20" x14ac:dyDescent="0.2">
      <c r="A245" s="826"/>
      <c r="B245" s="835"/>
      <c r="C245" s="885"/>
      <c r="D245" s="832"/>
      <c r="E245" s="886"/>
      <c r="F245" s="886"/>
      <c r="G245" s="827"/>
      <c r="H245" s="827"/>
      <c r="I245" s="827"/>
      <c r="J245" s="833"/>
      <c r="K245" s="868" t="s">
        <v>1012</v>
      </c>
      <c r="L245" s="864"/>
      <c r="M245" s="864"/>
      <c r="N245" s="864"/>
      <c r="O245" s="864"/>
      <c r="P245" s="864"/>
      <c r="Q245" s="864"/>
      <c r="R245" s="864"/>
      <c r="S245" s="864"/>
      <c r="T245" s="864"/>
      <c r="U245" s="864"/>
      <c r="V245" s="869"/>
      <c r="W245" s="827"/>
      <c r="AE245" s="1322"/>
      <c r="AF245" s="1322"/>
      <c r="AG245" s="1204"/>
      <c r="AH245" s="1204"/>
      <c r="AI245" s="1204"/>
      <c r="AJ245" s="1204"/>
    </row>
    <row r="246" spans="1:36" ht="20" x14ac:dyDescent="0.2">
      <c r="A246" s="826"/>
      <c r="B246" s="835"/>
      <c r="C246" s="885"/>
      <c r="D246" s="832"/>
      <c r="E246" s="886"/>
      <c r="F246" s="886"/>
      <c r="G246" s="827"/>
      <c r="H246" s="827"/>
      <c r="I246" s="827"/>
      <c r="J246" s="833"/>
      <c r="K246" s="868" t="s">
        <v>1069</v>
      </c>
      <c r="L246" s="864"/>
      <c r="M246" s="864"/>
      <c r="N246" s="864"/>
      <c r="O246" s="864"/>
      <c r="P246" s="864"/>
      <c r="Q246" s="864"/>
      <c r="R246" s="864"/>
      <c r="S246" s="864"/>
      <c r="T246" s="864"/>
      <c r="U246" s="864"/>
      <c r="V246" s="869"/>
      <c r="W246" s="827"/>
      <c r="AE246" s="1322"/>
      <c r="AF246" s="1322"/>
      <c r="AG246" s="1204"/>
      <c r="AH246" s="1204"/>
      <c r="AI246" s="1204"/>
      <c r="AJ246" s="1204"/>
    </row>
    <row r="247" spans="1:36" ht="20" x14ac:dyDescent="0.2">
      <c r="A247" s="826"/>
      <c r="B247" s="835"/>
      <c r="C247" s="885"/>
      <c r="D247" s="832"/>
      <c r="E247" s="886"/>
      <c r="F247" s="886"/>
      <c r="G247" s="827"/>
      <c r="H247" s="827"/>
      <c r="I247" s="827"/>
      <c r="J247" s="833"/>
      <c r="K247" s="868" t="s">
        <v>1061</v>
      </c>
      <c r="L247" s="864"/>
      <c r="M247" s="864"/>
      <c r="N247" s="864"/>
      <c r="O247" s="864"/>
      <c r="P247" s="864"/>
      <c r="Q247" s="864"/>
      <c r="R247" s="864"/>
      <c r="S247" s="864"/>
      <c r="T247" s="864"/>
      <c r="U247" s="864"/>
      <c r="V247" s="869"/>
      <c r="W247" s="827"/>
      <c r="AE247" s="1322"/>
      <c r="AF247" s="1322"/>
      <c r="AG247" s="1204"/>
      <c r="AH247" s="1204"/>
      <c r="AI247" s="1204"/>
      <c r="AJ247" s="1204"/>
    </row>
    <row r="248" spans="1:36" ht="20" x14ac:dyDescent="0.2">
      <c r="A248" s="826"/>
      <c r="B248" s="835"/>
      <c r="C248" s="885"/>
      <c r="D248" s="832"/>
      <c r="E248" s="886"/>
      <c r="F248" s="886"/>
      <c r="G248" s="827"/>
      <c r="H248" s="827"/>
      <c r="I248" s="827"/>
      <c r="J248" s="833"/>
      <c r="K248" s="868"/>
      <c r="L248" s="864"/>
      <c r="M248" s="864"/>
      <c r="N248" s="864"/>
      <c r="O248" s="864"/>
      <c r="P248" s="864"/>
      <c r="Q248" s="864"/>
      <c r="R248" s="864"/>
      <c r="S248" s="864"/>
      <c r="T248" s="864"/>
      <c r="U248" s="864"/>
      <c r="V248" s="869"/>
      <c r="W248" s="827"/>
      <c r="AE248" s="1322"/>
      <c r="AF248" s="1322"/>
      <c r="AG248" s="1204"/>
      <c r="AH248" s="1204"/>
      <c r="AI248" s="1204"/>
      <c r="AJ248" s="1204"/>
    </row>
    <row r="249" spans="1:36" ht="20" x14ac:dyDescent="0.2">
      <c r="A249" s="826"/>
      <c r="B249" s="835"/>
      <c r="C249" s="885"/>
      <c r="D249" s="832"/>
      <c r="E249" s="886"/>
      <c r="F249" s="886"/>
      <c r="G249" s="827"/>
      <c r="H249" s="827"/>
      <c r="I249" s="827"/>
      <c r="J249" s="833"/>
      <c r="K249" s="868" t="s">
        <v>1205</v>
      </c>
      <c r="L249" s="864"/>
      <c r="M249" s="864"/>
      <c r="N249" s="864"/>
      <c r="O249" s="864"/>
      <c r="P249" s="864"/>
      <c r="Q249" s="864"/>
      <c r="R249" s="864"/>
      <c r="S249" s="864"/>
      <c r="T249" s="864"/>
      <c r="U249" s="864"/>
      <c r="V249" s="869"/>
      <c r="W249" s="827"/>
      <c r="AE249" s="1322"/>
      <c r="AF249" s="1322"/>
      <c r="AG249" s="1204"/>
      <c r="AH249" s="1204"/>
      <c r="AI249" s="1204"/>
      <c r="AJ249" s="1204"/>
    </row>
    <row r="250" spans="1:36" ht="15.5" customHeight="1" x14ac:dyDescent="0.2">
      <c r="A250" s="826"/>
      <c r="B250" s="835"/>
      <c r="C250" s="885"/>
      <c r="D250" s="832"/>
      <c r="E250" s="886"/>
      <c r="F250" s="886"/>
      <c r="G250" s="827"/>
      <c r="H250" s="827"/>
      <c r="I250" s="827"/>
      <c r="J250" s="833"/>
      <c r="K250" s="868" t="s">
        <v>1206</v>
      </c>
      <c r="L250" s="864"/>
      <c r="M250" s="864"/>
      <c r="N250" s="864"/>
      <c r="O250" s="864"/>
      <c r="P250" s="864"/>
      <c r="Q250" s="864"/>
      <c r="R250" s="864"/>
      <c r="S250" s="864"/>
      <c r="T250" s="864"/>
      <c r="U250" s="864"/>
      <c r="V250" s="869"/>
      <c r="W250" s="833"/>
      <c r="AE250" s="1322"/>
      <c r="AF250" s="1322"/>
      <c r="AG250" s="1204"/>
      <c r="AH250" s="1204"/>
      <c r="AI250" s="1204"/>
      <c r="AJ250" s="1204"/>
    </row>
    <row r="251" spans="1:36" ht="15.5" customHeight="1" x14ac:dyDescent="0.2">
      <c r="A251" s="826"/>
      <c r="B251" s="835"/>
      <c r="C251" s="885"/>
      <c r="D251" s="832"/>
      <c r="E251" s="886"/>
      <c r="F251" s="886"/>
      <c r="G251" s="827"/>
      <c r="H251" s="827"/>
      <c r="I251" s="827"/>
      <c r="J251" s="833"/>
      <c r="K251" s="868" t="s">
        <v>1207</v>
      </c>
      <c r="L251" s="864"/>
      <c r="M251" s="864"/>
      <c r="N251" s="864"/>
      <c r="O251" s="864"/>
      <c r="P251" s="864"/>
      <c r="Q251" s="864"/>
      <c r="R251" s="864"/>
      <c r="S251" s="864"/>
      <c r="T251" s="864"/>
      <c r="U251" s="864"/>
      <c r="V251" s="869"/>
      <c r="W251" s="833"/>
      <c r="AE251" s="1322"/>
      <c r="AF251" s="1322"/>
      <c r="AG251" s="1204"/>
      <c r="AH251" s="1204"/>
      <c r="AI251" s="1204"/>
      <c r="AJ251" s="1204"/>
    </row>
    <row r="252" spans="1:36" ht="15.5" customHeight="1" x14ac:dyDescent="0.2">
      <c r="A252" s="826"/>
      <c r="B252" s="835"/>
      <c r="C252" s="885"/>
      <c r="D252" s="832"/>
      <c r="E252" s="886"/>
      <c r="F252" s="886"/>
      <c r="G252" s="827"/>
      <c r="H252" s="827"/>
      <c r="I252" s="827"/>
      <c r="J252" s="833"/>
      <c r="K252" s="868" t="s">
        <v>1208</v>
      </c>
      <c r="L252" s="864"/>
      <c r="M252" s="864"/>
      <c r="N252" s="864"/>
      <c r="O252" s="864"/>
      <c r="P252" s="864"/>
      <c r="Q252" s="864"/>
      <c r="R252" s="864"/>
      <c r="S252" s="864"/>
      <c r="T252" s="864"/>
      <c r="U252" s="864"/>
      <c r="V252" s="869"/>
      <c r="W252" s="833"/>
      <c r="AE252" s="1322"/>
      <c r="AF252" s="1322"/>
      <c r="AG252" s="1204"/>
      <c r="AH252" s="1204"/>
      <c r="AI252" s="1204"/>
      <c r="AJ252" s="1204"/>
    </row>
    <row r="253" spans="1:36" ht="15.5" customHeight="1" x14ac:dyDescent="0.2">
      <c r="A253" s="826"/>
      <c r="B253" s="835"/>
      <c r="C253" s="885"/>
      <c r="D253" s="832"/>
      <c r="E253" s="886"/>
      <c r="F253" s="886"/>
      <c r="G253" s="827"/>
      <c r="H253" s="827"/>
      <c r="I253" s="827"/>
      <c r="J253" s="833"/>
      <c r="K253" s="870"/>
      <c r="L253" s="871"/>
      <c r="M253" s="871"/>
      <c r="N253" s="871"/>
      <c r="O253" s="871"/>
      <c r="P253" s="871"/>
      <c r="Q253" s="871"/>
      <c r="R253" s="871"/>
      <c r="S253" s="871"/>
      <c r="T253" s="871"/>
      <c r="U253" s="871"/>
      <c r="V253" s="872"/>
      <c r="W253" s="833"/>
      <c r="AE253" s="1322"/>
      <c r="AF253" s="1322"/>
      <c r="AG253" s="1204"/>
      <c r="AH253" s="1204"/>
      <c r="AI253" s="1204"/>
      <c r="AJ253" s="1204"/>
    </row>
    <row r="254" spans="1:36" x14ac:dyDescent="0.2">
      <c r="A254" s="852"/>
      <c r="B254" s="852"/>
      <c r="C254" s="852"/>
      <c r="D254" s="852"/>
      <c r="E254" s="852"/>
      <c r="F254" s="852"/>
      <c r="G254" s="852"/>
      <c r="H254" s="852"/>
      <c r="I254" s="852"/>
      <c r="J254" s="852"/>
      <c r="K254" s="852"/>
      <c r="L254" s="852"/>
      <c r="M254" s="852"/>
      <c r="N254" s="819"/>
      <c r="O254" s="819"/>
      <c r="P254" s="819"/>
      <c r="Q254" s="819"/>
      <c r="R254" s="819"/>
      <c r="S254" s="819"/>
      <c r="T254" s="819"/>
      <c r="U254" s="819"/>
      <c r="V254" s="819"/>
      <c r="W254" s="819"/>
      <c r="AE254" s="1322"/>
      <c r="AF254" s="1322"/>
      <c r="AG254" s="1204"/>
      <c r="AH254" s="1204"/>
      <c r="AI254" s="1204"/>
      <c r="AJ254" s="1204"/>
    </row>
  </sheetData>
  <sheetProtection password="B437" sheet="1" objects="1" scenarios="1"/>
  <mergeCells count="22">
    <mergeCell ref="D3:E3"/>
    <mergeCell ref="T5:U5"/>
    <mergeCell ref="S159:U159"/>
    <mergeCell ref="T162:U162"/>
    <mergeCell ref="E18:F18"/>
    <mergeCell ref="E19:F19"/>
    <mergeCell ref="B32:D32"/>
    <mergeCell ref="B34:D34"/>
    <mergeCell ref="C20:D20"/>
    <mergeCell ref="T153:U153"/>
    <mergeCell ref="T154:U154"/>
    <mergeCell ref="T7:U7"/>
    <mergeCell ref="T9:U9"/>
    <mergeCell ref="T11:U11"/>
    <mergeCell ref="T13:U13"/>
    <mergeCell ref="T15:U15"/>
    <mergeCell ref="T219:U219"/>
    <mergeCell ref="T204:U204"/>
    <mergeCell ref="T205:U205"/>
    <mergeCell ref="T207:U208"/>
    <mergeCell ref="T210:U210"/>
    <mergeCell ref="T213:U215"/>
  </mergeCells>
  <phoneticPr fontId="5"/>
  <conditionalFormatting sqref="AI88:AI89">
    <cfRule type="colorScale" priority="29">
      <colorScale>
        <cfvo type="num" val="-1E-4"/>
        <cfvo type="num" val="0"/>
        <cfvo type="num" val="0.2"/>
        <color theme="5" tint="0.39997558519241921"/>
        <color theme="7" tint="0.79998168889431442"/>
        <color theme="8" tint="0.59999389629810485"/>
      </colorScale>
    </cfRule>
  </conditionalFormatting>
  <conditionalFormatting sqref="C104">
    <cfRule type="colorScale" priority="28">
      <colorScale>
        <cfvo type="num" val="-1E-4"/>
        <cfvo type="num" val="0"/>
        <cfvo type="num" val="0.2"/>
        <color theme="5" tint="0.39997558519241921"/>
        <color theme="7" tint="0.79998168889431442"/>
        <color theme="8" tint="0.59999389629810485"/>
      </colorScale>
    </cfRule>
  </conditionalFormatting>
  <conditionalFormatting sqref="C131">
    <cfRule type="colorScale" priority="16">
      <colorScale>
        <cfvo type="num" val="-1E-4"/>
        <cfvo type="num" val="0"/>
        <cfvo type="num" val="0.2"/>
        <color theme="5" tint="0.39997558519241921"/>
        <color theme="7" tint="0.79998168889431442"/>
        <color theme="8" tint="0.59999389629810485"/>
      </colorScale>
    </cfRule>
  </conditionalFormatting>
  <conditionalFormatting sqref="D131">
    <cfRule type="colorScale" priority="21">
      <colorScale>
        <cfvo type="num" val="-1E-4"/>
        <cfvo type="num" val="0"/>
        <cfvo type="num" val="0.2"/>
        <color theme="5" tint="0.39997558519241921"/>
        <color theme="7" tint="0.79998168889431442"/>
        <color theme="8" tint="0.59999389629810485"/>
      </colorScale>
    </cfRule>
  </conditionalFormatting>
  <conditionalFormatting sqref="D122:D126 D131">
    <cfRule type="colorScale" priority="25">
      <colorScale>
        <cfvo type="num" val="-1E-4"/>
        <cfvo type="num" val="0"/>
        <cfvo type="num" val="0.2"/>
        <color theme="5" tint="0.39997558519241921"/>
        <color theme="7" tint="0.79998168889431442"/>
        <color theme="8" tint="0.59999389629810485"/>
      </colorScale>
    </cfRule>
  </conditionalFormatting>
  <conditionalFormatting sqref="D127">
    <cfRule type="colorScale" priority="24">
      <colorScale>
        <cfvo type="num" val="-1E-4"/>
        <cfvo type="num" val="0"/>
        <cfvo type="num" val="0.2"/>
        <color theme="5" tint="0.39997558519241921"/>
        <color theme="7" tint="0.79998168889431442"/>
        <color theme="8" tint="0.59999389629810485"/>
      </colorScale>
    </cfRule>
  </conditionalFormatting>
  <conditionalFormatting sqref="D128:D130">
    <cfRule type="colorScale" priority="23">
      <colorScale>
        <cfvo type="num" val="-1E-4"/>
        <cfvo type="num" val="0"/>
        <cfvo type="num" val="0.2"/>
        <color theme="5" tint="0.39997558519241921"/>
        <color theme="7" tint="0.79998168889431442"/>
        <color theme="8" tint="0.59999389629810485"/>
      </colorScale>
    </cfRule>
  </conditionalFormatting>
  <conditionalFormatting sqref="D132">
    <cfRule type="colorScale" priority="22">
      <colorScale>
        <cfvo type="num" val="-1E-4"/>
        <cfvo type="num" val="0"/>
        <cfvo type="num" val="0.2"/>
        <color theme="5" tint="0.39997558519241921"/>
        <color theme="7" tint="0.79998168889431442"/>
        <color theme="8" tint="0.59999389629810485"/>
      </colorScale>
    </cfRule>
  </conditionalFormatting>
  <conditionalFormatting sqref="C132">
    <cfRule type="colorScale" priority="17">
      <colorScale>
        <cfvo type="num" val="-1E-4"/>
        <cfvo type="num" val="0"/>
        <cfvo type="num" val="0.2"/>
        <color theme="5" tint="0.39997558519241921"/>
        <color theme="7" tint="0.79998168889431442"/>
        <color theme="8" tint="0.59999389629810485"/>
      </colorScale>
    </cfRule>
  </conditionalFormatting>
  <conditionalFormatting sqref="C122:C126 C131">
    <cfRule type="colorScale" priority="20">
      <colorScale>
        <cfvo type="num" val="-1E-4"/>
        <cfvo type="num" val="0"/>
        <cfvo type="num" val="0.2"/>
        <color theme="5" tint="0.39997558519241921"/>
        <color theme="7" tint="0.79998168889431442"/>
        <color theme="8" tint="0.59999389629810485"/>
      </colorScale>
    </cfRule>
  </conditionalFormatting>
  <conditionalFormatting sqref="C127">
    <cfRule type="colorScale" priority="19">
      <colorScale>
        <cfvo type="num" val="-1E-4"/>
        <cfvo type="num" val="0"/>
        <cfvo type="num" val="0.2"/>
        <color theme="5" tint="0.39997558519241921"/>
        <color theme="7" tint="0.79998168889431442"/>
        <color theme="8" tint="0.59999389629810485"/>
      </colorScale>
    </cfRule>
  </conditionalFormatting>
  <conditionalFormatting sqref="C128:C130">
    <cfRule type="colorScale" priority="18">
      <colorScale>
        <cfvo type="num" val="-1E-4"/>
        <cfvo type="num" val="0"/>
        <cfvo type="num" val="0.2"/>
        <color theme="5" tint="0.39997558519241921"/>
        <color theme="7" tint="0.79998168889431442"/>
        <color theme="8" tint="0.59999389629810485"/>
      </colorScale>
    </cfRule>
  </conditionalFormatting>
  <conditionalFormatting sqref="Z130">
    <cfRule type="colorScale" priority="11">
      <colorScale>
        <cfvo type="num" val="-1E-4"/>
        <cfvo type="num" val="0"/>
        <cfvo type="num" val="0.2"/>
        <color theme="5" tint="0.39997558519241921"/>
        <color theme="7" tint="0.79998168889431442"/>
        <color theme="8" tint="0.59999389629810485"/>
      </colorScale>
    </cfRule>
  </conditionalFormatting>
  <conditionalFormatting sqref="Z121:Z125 Z130">
    <cfRule type="colorScale" priority="15">
      <colorScale>
        <cfvo type="num" val="-1E-4"/>
        <cfvo type="num" val="0"/>
        <cfvo type="num" val="0.2"/>
        <color theme="5" tint="0.39997558519241921"/>
        <color theme="7" tint="0.79998168889431442"/>
        <color theme="8" tint="0.59999389629810485"/>
      </colorScale>
    </cfRule>
  </conditionalFormatting>
  <conditionalFormatting sqref="Z126">
    <cfRule type="colorScale" priority="14">
      <colorScale>
        <cfvo type="num" val="-1E-4"/>
        <cfvo type="num" val="0"/>
        <cfvo type="num" val="0.2"/>
        <color theme="5" tint="0.39997558519241921"/>
        <color theme="7" tint="0.79998168889431442"/>
        <color theme="8" tint="0.59999389629810485"/>
      </colorScale>
    </cfRule>
  </conditionalFormatting>
  <conditionalFormatting sqref="Z127:Z129">
    <cfRule type="colorScale" priority="13">
      <colorScale>
        <cfvo type="num" val="-1E-4"/>
        <cfvo type="num" val="0"/>
        <cfvo type="num" val="0.2"/>
        <color theme="5" tint="0.39997558519241921"/>
        <color theme="7" tint="0.79998168889431442"/>
        <color theme="8" tint="0.59999389629810485"/>
      </colorScale>
    </cfRule>
  </conditionalFormatting>
  <conditionalFormatting sqref="Z131">
    <cfRule type="colorScale" priority="12">
      <colorScale>
        <cfvo type="num" val="-1E-4"/>
        <cfvo type="num" val="0"/>
        <cfvo type="num" val="0.2"/>
        <color theme="5" tint="0.39997558519241921"/>
        <color theme="7" tint="0.79998168889431442"/>
        <color theme="8" tint="0.59999389629810485"/>
      </colorScale>
    </cfRule>
  </conditionalFormatting>
  <conditionalFormatting sqref="AC130">
    <cfRule type="colorScale" priority="6">
      <colorScale>
        <cfvo type="num" val="-1E-4"/>
        <cfvo type="num" val="0"/>
        <cfvo type="num" val="0.2"/>
        <color theme="5" tint="0.39997558519241921"/>
        <color theme="7" tint="0.79998168889431442"/>
        <color theme="8" tint="0.59999389629810485"/>
      </colorScale>
    </cfRule>
  </conditionalFormatting>
  <conditionalFormatting sqref="AC121:AC125 AC130">
    <cfRule type="colorScale" priority="10">
      <colorScale>
        <cfvo type="num" val="-1E-4"/>
        <cfvo type="num" val="0"/>
        <cfvo type="num" val="0.2"/>
        <color theme="5" tint="0.39997558519241921"/>
        <color theme="7" tint="0.79998168889431442"/>
        <color theme="8" tint="0.59999389629810485"/>
      </colorScale>
    </cfRule>
  </conditionalFormatting>
  <conditionalFormatting sqref="AC126">
    <cfRule type="colorScale" priority="9">
      <colorScale>
        <cfvo type="num" val="-1E-4"/>
        <cfvo type="num" val="0"/>
        <cfvo type="num" val="0.2"/>
        <color theme="5" tint="0.39997558519241921"/>
        <color theme="7" tint="0.79998168889431442"/>
        <color theme="8" tint="0.59999389629810485"/>
      </colorScale>
    </cfRule>
  </conditionalFormatting>
  <conditionalFormatting sqref="AC127:AC129">
    <cfRule type="colorScale" priority="8">
      <colorScale>
        <cfvo type="num" val="-1E-4"/>
        <cfvo type="num" val="0"/>
        <cfvo type="num" val="0.2"/>
        <color theme="5" tint="0.39997558519241921"/>
        <color theme="7" tint="0.79998168889431442"/>
        <color theme="8" tint="0.59999389629810485"/>
      </colorScale>
    </cfRule>
  </conditionalFormatting>
  <conditionalFormatting sqref="AC131">
    <cfRule type="colorScale" priority="7">
      <colorScale>
        <cfvo type="num" val="-1E-4"/>
        <cfvo type="num" val="0"/>
        <cfvo type="num" val="0.2"/>
        <color theme="5" tint="0.39997558519241921"/>
        <color theme="7" tint="0.79998168889431442"/>
        <color theme="8" tint="0.59999389629810485"/>
      </colorScale>
    </cfRule>
  </conditionalFormatting>
  <conditionalFormatting sqref="B27 C18:D18 G18:H18 B41:H44 J40:V40">
    <cfRule type="expression" dxfId="6" priority="3">
      <formula>$D$3="温水ボイラー"</formula>
    </cfRule>
  </conditionalFormatting>
  <conditionalFormatting sqref="E47">
    <cfRule type="expression" dxfId="5" priority="2">
      <formula>$D$3="温水ボイラー"</formula>
    </cfRule>
  </conditionalFormatting>
  <dataValidations count="1">
    <dataValidation type="list" allowBlank="1" showInputMessage="1" showErrorMessage="1" sqref="F23 H23 D139 F139 F5 H5 D5 D23 F56 D56 H56">
      <formula1>#REF!</formula1>
    </dataValidation>
  </dataValidations>
  <pageMargins left="0.7" right="0.7" top="0.75" bottom="0.75" header="0.3" footer="0.3"/>
  <pageSetup paperSize="8" scale="40" fitToHeight="0" orientation="portrait" r:id="rId1"/>
  <headerFooter alignWithMargins="0"/>
  <rowBreaks count="1" manualBreakCount="1">
    <brk id="137" max="22" man="1"/>
  </rowBreaks>
  <drawing r:id="rId2"/>
  <extLst>
    <ext xmlns:x14="http://schemas.microsoft.com/office/spreadsheetml/2009/9/main" uri="{78C0D931-6437-407d-A8EE-F0AAD7539E65}">
      <x14:conditionalFormattings>
        <x14:conditionalFormatting xmlns:xm="http://schemas.microsoft.com/office/excel/2006/main">
          <x14:cfRule type="expression" priority="5" id="{AB3B0F96-9991-41CE-84E7-7F84D1394595}">
            <xm:f>$D$3=入門シート換算!$A$4</xm:f>
            <x14:dxf>
              <fill>
                <patternFill>
                  <bgColor theme="1" tint="0.34998626667073579"/>
                </patternFill>
              </fill>
            </x14:dxf>
          </x14:cfRule>
          <xm:sqref>B12:H12 D27:H29 D31:H31 B8:H10</xm:sqref>
        </x14:conditionalFormatting>
        <x14:conditionalFormatting xmlns:xm="http://schemas.microsoft.com/office/excel/2006/main">
          <x14:cfRule type="expression" priority="4" id="{AAF38B75-28ED-46E1-B69B-694F0EBF814F}">
            <xm:f>$D$3=入門シート換算!$A$4</xm:f>
            <x14:dxf>
              <fill>
                <patternFill>
                  <bgColor theme="1" tint="0.34998626667073579"/>
                </patternFill>
              </fill>
            </x14:dxf>
          </x14:cfRule>
          <xm:sqref>B63:F63 B59:F59 B60:D61 F60:F61 E60:E62</xm:sqref>
        </x14:conditionalFormatting>
        <x14:conditionalFormatting xmlns:xm="http://schemas.microsoft.com/office/excel/2006/main">
          <x14:cfRule type="expression" priority="1" id="{9CDEFFF5-5E32-43AE-A77A-0E701AD1B8B8}">
            <xm:f>$D$3=入門シート換算!$A$4</xm:f>
            <x14:dxf>
              <fill>
                <patternFill>
                  <bgColor theme="1" tint="0.34998626667073579"/>
                </patternFill>
              </fill>
            </x14:dxf>
          </x14:cfRule>
          <xm:sqref>G63:H63 H59:H61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入門シート換算!$A$3:$A$6</xm:f>
          </x14:formula1>
          <xm:sqref>D3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79998168889431442"/>
    <pageSetUpPr fitToPage="1"/>
  </sheetPr>
  <dimension ref="A1:D47"/>
  <sheetViews>
    <sheetView workbookViewId="0"/>
  </sheetViews>
  <sheetFormatPr defaultRowHeight="13" x14ac:dyDescent="0.2"/>
  <cols>
    <col min="1" max="1" width="49" customWidth="1"/>
    <col min="2" max="3" width="27.08984375" customWidth="1"/>
    <col min="4" max="4" width="141.90625" customWidth="1"/>
    <col min="6" max="6" width="10.453125" customWidth="1"/>
    <col min="7" max="7" width="37.08984375" customWidth="1"/>
  </cols>
  <sheetData>
    <row r="1" spans="1:4" x14ac:dyDescent="0.2">
      <c r="A1" t="s">
        <v>649</v>
      </c>
    </row>
    <row r="2" spans="1:4" x14ac:dyDescent="0.2">
      <c r="A2" s="1031" t="s">
        <v>650</v>
      </c>
      <c r="B2" s="1031" t="s">
        <v>651</v>
      </c>
      <c r="C2" s="1031" t="s">
        <v>652</v>
      </c>
      <c r="D2" s="1031" t="s">
        <v>869</v>
      </c>
    </row>
    <row r="3" spans="1:4" x14ac:dyDescent="0.2">
      <c r="A3" s="557" t="s">
        <v>209</v>
      </c>
      <c r="B3" s="1011">
        <v>0.14221302433479238</v>
      </c>
      <c r="C3" s="1011">
        <v>4.4369014024263048E-2</v>
      </c>
      <c r="D3" s="1185" t="s">
        <v>864</v>
      </c>
    </row>
    <row r="4" spans="1:4" x14ac:dyDescent="0.2">
      <c r="A4" s="557" t="s">
        <v>653</v>
      </c>
      <c r="B4" s="1011">
        <v>7.1283677647807367E-2</v>
      </c>
      <c r="C4" s="1011">
        <v>3.442425397352622E-2</v>
      </c>
      <c r="D4" s="1185" t="s">
        <v>885</v>
      </c>
    </row>
    <row r="5" spans="1:4" x14ac:dyDescent="0.2">
      <c r="A5" s="557" t="s">
        <v>654</v>
      </c>
      <c r="B5" s="1011">
        <v>0.14903496297069016</v>
      </c>
      <c r="C5" s="1011">
        <v>7.0383778886391454E-2</v>
      </c>
      <c r="D5" s="1185" t="s">
        <v>923</v>
      </c>
    </row>
    <row r="6" spans="1:4" x14ac:dyDescent="0.2">
      <c r="A6" s="557" t="s">
        <v>655</v>
      </c>
      <c r="B6" s="1011">
        <v>0.13838102225927898</v>
      </c>
      <c r="C6" s="1011">
        <v>7.5913509722141975E-2</v>
      </c>
      <c r="D6" s="1185" t="s">
        <v>881</v>
      </c>
    </row>
    <row r="7" spans="1:4" x14ac:dyDescent="0.2">
      <c r="A7" s="557" t="s">
        <v>656</v>
      </c>
      <c r="B7" s="1011">
        <v>0.132075664954309</v>
      </c>
      <c r="C7" s="1011">
        <v>6.237098616273893E-2</v>
      </c>
      <c r="D7" s="1185" t="s">
        <v>884</v>
      </c>
    </row>
    <row r="8" spans="1:4" x14ac:dyDescent="0.2">
      <c r="A8" s="557" t="s">
        <v>862</v>
      </c>
      <c r="B8" s="1011">
        <v>0.17252476139591646</v>
      </c>
      <c r="C8" s="1011">
        <v>6.9791021722163962E-2</v>
      </c>
      <c r="D8" s="1185" t="s">
        <v>883</v>
      </c>
    </row>
    <row r="9" spans="1:4" x14ac:dyDescent="0.2">
      <c r="A9" s="557" t="s">
        <v>657</v>
      </c>
      <c r="B9" s="1011">
        <v>0.13465813162407547</v>
      </c>
      <c r="C9" s="1011">
        <v>6.1330365034472445E-3</v>
      </c>
      <c r="D9" s="1185" t="s">
        <v>882</v>
      </c>
    </row>
    <row r="10" spans="1:4" x14ac:dyDescent="0.2">
      <c r="A10" s="557" t="s">
        <v>213</v>
      </c>
      <c r="B10" s="1011">
        <v>0.1</v>
      </c>
      <c r="C10" s="1011">
        <v>0.1</v>
      </c>
      <c r="D10" s="1185" t="s">
        <v>886</v>
      </c>
    </row>
    <row r="11" spans="1:4" x14ac:dyDescent="0.2">
      <c r="A11" s="557" t="s">
        <v>658</v>
      </c>
      <c r="B11" s="1011">
        <v>0</v>
      </c>
      <c r="C11" s="1011">
        <v>0</v>
      </c>
      <c r="D11" s="1185"/>
    </row>
    <row r="12" spans="1:4" x14ac:dyDescent="0.2">
      <c r="A12" s="557" t="s">
        <v>659</v>
      </c>
      <c r="B12" s="1011">
        <v>0</v>
      </c>
      <c r="C12" s="1011">
        <v>0</v>
      </c>
      <c r="D12" s="1185"/>
    </row>
    <row r="13" spans="1:4" x14ac:dyDescent="0.2">
      <c r="A13" s="557" t="s">
        <v>660</v>
      </c>
      <c r="B13" s="1011">
        <v>0</v>
      </c>
      <c r="C13" s="1011">
        <v>0</v>
      </c>
      <c r="D13" s="1185"/>
    </row>
    <row r="14" spans="1:4" x14ac:dyDescent="0.2">
      <c r="A14" s="557" t="s">
        <v>661</v>
      </c>
      <c r="B14" s="1011">
        <v>0</v>
      </c>
      <c r="C14" s="1011">
        <v>0</v>
      </c>
      <c r="D14" s="1185"/>
    </row>
    <row r="15" spans="1:4" x14ac:dyDescent="0.2">
      <c r="A15" s="557" t="s">
        <v>662</v>
      </c>
      <c r="B15" s="1011">
        <v>0</v>
      </c>
      <c r="C15" s="1011">
        <v>0</v>
      </c>
      <c r="D15" s="1011"/>
    </row>
    <row r="16" spans="1:4" x14ac:dyDescent="0.2">
      <c r="A16" s="557" t="s">
        <v>663</v>
      </c>
      <c r="B16" s="1011">
        <v>0</v>
      </c>
      <c r="C16" s="1011">
        <v>0</v>
      </c>
      <c r="D16" s="1011"/>
    </row>
    <row r="17" spans="1:4" x14ac:dyDescent="0.2">
      <c r="A17" s="1031" t="s">
        <v>664</v>
      </c>
      <c r="B17" s="1031" t="s">
        <v>651</v>
      </c>
      <c r="C17" s="1031" t="s">
        <v>652</v>
      </c>
      <c r="D17" s="1031"/>
    </row>
    <row r="18" spans="1:4" x14ac:dyDescent="0.2">
      <c r="A18" s="557" t="s">
        <v>229</v>
      </c>
      <c r="B18" s="1011">
        <v>0.16547260287152596</v>
      </c>
      <c r="C18" s="1011">
        <v>4.0577235530887608E-2</v>
      </c>
      <c r="D18" s="557" t="s">
        <v>229</v>
      </c>
    </row>
    <row r="19" spans="1:4" x14ac:dyDescent="0.2">
      <c r="A19" s="557" t="s">
        <v>665</v>
      </c>
      <c r="B19" s="1011">
        <v>0.10813308614487885</v>
      </c>
      <c r="C19" s="1011">
        <v>4.1608061114322949E-2</v>
      </c>
      <c r="D19" s="1011" t="s">
        <v>870</v>
      </c>
    </row>
    <row r="20" spans="1:4" x14ac:dyDescent="0.2">
      <c r="A20" s="557" t="s">
        <v>666</v>
      </c>
      <c r="B20" s="1011">
        <v>0.16300748186935951</v>
      </c>
      <c r="C20" s="1011">
        <v>3.0852238719835626E-2</v>
      </c>
      <c r="D20" s="1011" t="s">
        <v>871</v>
      </c>
    </row>
    <row r="21" spans="1:4" x14ac:dyDescent="0.2">
      <c r="A21" s="557" t="s">
        <v>667</v>
      </c>
      <c r="B21" s="1011">
        <v>0.12683589712703439</v>
      </c>
      <c r="C21" s="1011">
        <v>3.0041807341910372E-2</v>
      </c>
      <c r="D21" s="1011" t="s">
        <v>872</v>
      </c>
    </row>
    <row r="22" spans="1:4" x14ac:dyDescent="0.2">
      <c r="A22" s="557" t="s">
        <v>668</v>
      </c>
      <c r="B22" s="1011">
        <v>0.1106854732276378</v>
      </c>
      <c r="C22" s="1011">
        <v>2.4142481175397298E-2</v>
      </c>
      <c r="D22" s="1011" t="s">
        <v>873</v>
      </c>
    </row>
    <row r="23" spans="1:4" x14ac:dyDescent="0.2">
      <c r="A23" s="557" t="s">
        <v>669</v>
      </c>
      <c r="B23" s="1011">
        <v>0.1</v>
      </c>
      <c r="C23" s="1011">
        <v>0.1</v>
      </c>
      <c r="D23" s="1011" t="s">
        <v>874</v>
      </c>
    </row>
    <row r="24" spans="1:4" x14ac:dyDescent="0.2">
      <c r="A24" s="557" t="s">
        <v>670</v>
      </c>
      <c r="B24" s="1011">
        <v>0.1</v>
      </c>
      <c r="C24" s="1011">
        <v>0.1</v>
      </c>
      <c r="D24" s="1011"/>
    </row>
    <row r="25" spans="1:4" x14ac:dyDescent="0.2">
      <c r="A25" s="557" t="s">
        <v>671</v>
      </c>
      <c r="B25" s="1011">
        <v>0.1</v>
      </c>
      <c r="C25" s="1011">
        <v>0.1</v>
      </c>
      <c r="D25" s="1011"/>
    </row>
    <row r="26" spans="1:4" x14ac:dyDescent="0.2">
      <c r="A26" s="557" t="s">
        <v>672</v>
      </c>
      <c r="B26" s="1011">
        <v>0.1</v>
      </c>
      <c r="C26" s="1011">
        <v>0.1</v>
      </c>
      <c r="D26" s="1011"/>
    </row>
    <row r="27" spans="1:4" x14ac:dyDescent="0.2">
      <c r="A27" s="557" t="s">
        <v>673</v>
      </c>
      <c r="B27" s="1011">
        <v>0.1</v>
      </c>
      <c r="C27" s="1011">
        <v>0.1</v>
      </c>
      <c r="D27" s="1011"/>
    </row>
    <row r="28" spans="1:4" x14ac:dyDescent="0.2">
      <c r="A28" s="1031" t="s">
        <v>674</v>
      </c>
      <c r="B28" s="1031" t="s">
        <v>651</v>
      </c>
      <c r="C28" s="1031" t="s">
        <v>652</v>
      </c>
      <c r="D28" s="1031"/>
    </row>
    <row r="29" spans="1:4" x14ac:dyDescent="0.2">
      <c r="A29" s="557" t="s">
        <v>675</v>
      </c>
      <c r="B29" s="1011">
        <v>0.10209490259901956</v>
      </c>
      <c r="C29" s="1011">
        <v>9.5881559265928021E-2</v>
      </c>
      <c r="D29" s="1011" t="s">
        <v>875</v>
      </c>
    </row>
    <row r="30" spans="1:4" x14ac:dyDescent="0.2">
      <c r="A30" s="557" t="s">
        <v>676</v>
      </c>
      <c r="B30" s="1011">
        <v>1.6932063472964078E-2</v>
      </c>
      <c r="C30" s="1011">
        <v>9.028076765678926E-3</v>
      </c>
      <c r="D30" s="1011" t="s">
        <v>876</v>
      </c>
    </row>
    <row r="31" spans="1:4" x14ac:dyDescent="0.2">
      <c r="A31" s="557" t="s">
        <v>228</v>
      </c>
      <c r="B31" s="1011">
        <v>4.2050850117304694E-2</v>
      </c>
      <c r="C31" s="1011">
        <v>3.6704672213648766E-2</v>
      </c>
      <c r="D31" s="1011" t="s">
        <v>877</v>
      </c>
    </row>
    <row r="32" spans="1:4" x14ac:dyDescent="0.2">
      <c r="A32" s="557" t="s">
        <v>677</v>
      </c>
      <c r="B32" s="1011">
        <v>6.2625321926289446E-2</v>
      </c>
      <c r="C32" s="1011">
        <v>5.7663647175902714E-2</v>
      </c>
      <c r="D32" s="1011" t="s">
        <v>878</v>
      </c>
    </row>
    <row r="33" spans="1:4" x14ac:dyDescent="0.2">
      <c r="A33" s="557" t="s">
        <v>678</v>
      </c>
      <c r="B33" s="1011">
        <v>0.16310515345804943</v>
      </c>
      <c r="C33" s="1011">
        <v>9.7194520251722677E-2</v>
      </c>
      <c r="D33" s="1011" t="s">
        <v>879</v>
      </c>
    </row>
    <row r="34" spans="1:4" x14ac:dyDescent="0.2">
      <c r="A34" s="557" t="s">
        <v>230</v>
      </c>
      <c r="B34" s="1011">
        <v>0.24610566616589147</v>
      </c>
      <c r="C34" s="1011">
        <v>5.9205847269164294E-2</v>
      </c>
      <c r="D34" s="1011" t="s">
        <v>889</v>
      </c>
    </row>
    <row r="35" spans="1:4" ht="12.65" customHeight="1" x14ac:dyDescent="0.2">
      <c r="A35" s="557" t="s">
        <v>213</v>
      </c>
      <c r="B35" s="1011">
        <v>0.30062818405673924</v>
      </c>
      <c r="C35" s="1011">
        <v>5.7538774117348222E-2</v>
      </c>
      <c r="D35" s="1011" t="s">
        <v>886</v>
      </c>
    </row>
    <row r="36" spans="1:4" ht="12.65" customHeight="1" x14ac:dyDescent="0.2">
      <c r="A36" s="557" t="s">
        <v>679</v>
      </c>
      <c r="B36" s="1011">
        <v>0.28908385946244552</v>
      </c>
      <c r="C36" s="1011">
        <v>6.2262249276792296E-2</v>
      </c>
      <c r="D36" s="1011" t="s">
        <v>858</v>
      </c>
    </row>
    <row r="37" spans="1:4" x14ac:dyDescent="0.2">
      <c r="A37" s="557" t="s">
        <v>231</v>
      </c>
      <c r="B37" s="1011">
        <v>0.1443158214326343</v>
      </c>
      <c r="C37" s="1011">
        <v>0.20150705552186263</v>
      </c>
      <c r="D37" s="1011" t="s">
        <v>887</v>
      </c>
    </row>
    <row r="38" spans="1:4" x14ac:dyDescent="0.2">
      <c r="A38" s="557" t="s">
        <v>680</v>
      </c>
      <c r="B38" s="1011">
        <v>7.0457715677651619E-2</v>
      </c>
      <c r="C38" s="1011">
        <v>7.2376048372559371E-2</v>
      </c>
      <c r="D38" s="1011" t="s">
        <v>888</v>
      </c>
    </row>
    <row r="39" spans="1:4" x14ac:dyDescent="0.2">
      <c r="A39" s="557" t="s">
        <v>681</v>
      </c>
      <c r="B39" s="1011">
        <v>0.11348852088709617</v>
      </c>
      <c r="C39" s="1011">
        <v>0.13025805009981886</v>
      </c>
      <c r="D39" s="1011" t="s">
        <v>880</v>
      </c>
    </row>
    <row r="40" spans="1:4" x14ac:dyDescent="0.2">
      <c r="A40" s="557" t="s">
        <v>682</v>
      </c>
      <c r="B40" s="293">
        <v>0</v>
      </c>
      <c r="C40" s="293">
        <v>0</v>
      </c>
      <c r="D40" s="293"/>
    </row>
    <row r="41" spans="1:4" x14ac:dyDescent="0.2">
      <c r="A41" s="557" t="s">
        <v>683</v>
      </c>
      <c r="B41" s="293">
        <v>0</v>
      </c>
      <c r="C41" s="293">
        <v>0</v>
      </c>
      <c r="D41" s="293"/>
    </row>
    <row r="42" spans="1:4" x14ac:dyDescent="0.2">
      <c r="A42" s="557" t="s">
        <v>684</v>
      </c>
      <c r="B42" s="293">
        <v>0</v>
      </c>
      <c r="C42" s="293">
        <v>0</v>
      </c>
      <c r="D42" s="293"/>
    </row>
    <row r="43" spans="1:4" x14ac:dyDescent="0.2">
      <c r="A43" s="557" t="s">
        <v>685</v>
      </c>
      <c r="B43" s="293">
        <v>0</v>
      </c>
      <c r="C43" s="293">
        <v>0</v>
      </c>
      <c r="D43" s="293"/>
    </row>
    <row r="44" spans="1:4" x14ac:dyDescent="0.2">
      <c r="A44" s="557" t="s">
        <v>686</v>
      </c>
      <c r="B44" s="293">
        <v>0</v>
      </c>
      <c r="C44" s="293">
        <v>0</v>
      </c>
      <c r="D44" s="293"/>
    </row>
    <row r="45" spans="1:4" x14ac:dyDescent="0.2">
      <c r="A45" s="557" t="s">
        <v>687</v>
      </c>
      <c r="B45" s="293">
        <v>0</v>
      </c>
      <c r="C45" s="293">
        <v>0</v>
      </c>
      <c r="D45" s="293"/>
    </row>
    <row r="46" spans="1:4" x14ac:dyDescent="0.2">
      <c r="A46" s="557" t="s">
        <v>688</v>
      </c>
      <c r="B46" s="293">
        <v>0</v>
      </c>
      <c r="C46" s="293">
        <v>0</v>
      </c>
      <c r="D46" s="293"/>
    </row>
    <row r="47" spans="1:4" x14ac:dyDescent="0.2">
      <c r="C47" s="1032" t="s">
        <v>689</v>
      </c>
    </row>
  </sheetData>
  <sheetProtection algorithmName="SHA-512" hashValue="aH2jyul+3PZEtVEXj7HVs4yyFaCU9MN8iV8ZiSsSw0Sva/cbxh5zZzevGYmA094+QXO2X87tI4kmzPQpoQdqlQ==" saltValue="5LntAHX9dvszmv1oEtBfqA==" spinCount="100000" sheet="1" objects="1" scenarios="1"/>
  <phoneticPr fontId="4"/>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5"/>
  <sheetViews>
    <sheetView workbookViewId="0"/>
  </sheetViews>
  <sheetFormatPr defaultRowHeight="13" x14ac:dyDescent="0.2"/>
  <cols>
    <col min="1" max="1" width="19.1796875" style="552" customWidth="1"/>
    <col min="2" max="2" width="74.08984375" style="552" customWidth="1"/>
    <col min="3" max="4" width="25.36328125" style="552" customWidth="1"/>
    <col min="5" max="16384" width="8.7265625" style="552"/>
  </cols>
  <sheetData>
    <row r="1" spans="1:4" x14ac:dyDescent="0.2">
      <c r="A1" t="s">
        <v>1076</v>
      </c>
      <c r="B1" t="s">
        <v>1073</v>
      </c>
      <c r="C1" t="s">
        <v>1078</v>
      </c>
      <c r="D1" t="s">
        <v>1079</v>
      </c>
    </row>
    <row r="2" spans="1:4" x14ac:dyDescent="0.2">
      <c r="A2" s="1393" t="s">
        <v>1077</v>
      </c>
      <c r="B2" t="s">
        <v>1074</v>
      </c>
      <c r="C2" t="s">
        <v>1075</v>
      </c>
      <c r="D2" t="s">
        <v>1080</v>
      </c>
    </row>
    <row r="3" spans="1:4" x14ac:dyDescent="0.2">
      <c r="A3" s="1393" t="s">
        <v>1081</v>
      </c>
      <c r="B3" t="s">
        <v>1082</v>
      </c>
      <c r="C3" t="s">
        <v>1075</v>
      </c>
      <c r="D3" t="s">
        <v>1083</v>
      </c>
    </row>
    <row r="4" spans="1:4" x14ac:dyDescent="0.2">
      <c r="A4" s="1393" t="s">
        <v>1081</v>
      </c>
      <c r="B4" t="s">
        <v>1085</v>
      </c>
      <c r="C4" t="s">
        <v>1086</v>
      </c>
      <c r="D4" t="s">
        <v>1087</v>
      </c>
    </row>
    <row r="5" spans="1:4" x14ac:dyDescent="0.2">
      <c r="A5" s="1469" t="s">
        <v>1212</v>
      </c>
      <c r="B5" s="552" t="s">
        <v>1213</v>
      </c>
    </row>
  </sheetData>
  <sheetProtection password="B437" sheet="1" objects="1" scenarios="1"/>
  <phoneticPr fontId="4"/>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50"/>
    <pageSetUpPr fitToPage="1"/>
  </sheetPr>
  <dimension ref="A1:O191"/>
  <sheetViews>
    <sheetView workbookViewId="0"/>
  </sheetViews>
  <sheetFormatPr defaultColWidth="8.90625" defaultRowHeight="14" x14ac:dyDescent="0.2"/>
  <cols>
    <col min="1" max="1" width="25.08984375" style="365" customWidth="1"/>
    <col min="2" max="2" width="38" style="365" customWidth="1"/>
    <col min="3" max="3" width="14.36328125" style="365" customWidth="1"/>
    <col min="4" max="4" width="15.7265625" style="365" customWidth="1"/>
    <col min="5" max="5" width="18.36328125" style="365" customWidth="1"/>
    <col min="6" max="6" width="10.26953125" style="365" customWidth="1"/>
    <col min="7" max="7" width="21.453125" style="365" customWidth="1"/>
    <col min="8" max="8" width="10.26953125" style="365" customWidth="1"/>
    <col min="9" max="9" width="21.453125" style="365" customWidth="1"/>
    <col min="10" max="10" width="10.26953125" style="365" customWidth="1"/>
    <col min="11" max="11" width="21.453125" style="365" customWidth="1"/>
    <col min="12" max="12" width="112.08984375" style="365" hidden="1" customWidth="1"/>
    <col min="13" max="16384" width="8.90625" style="365"/>
  </cols>
  <sheetData>
    <row r="1" spans="1:15" x14ac:dyDescent="0.2">
      <c r="A1" s="365" t="s">
        <v>503</v>
      </c>
    </row>
    <row r="2" spans="1:15" ht="28.5" thickBot="1" x14ac:dyDescent="0.25">
      <c r="E2" s="673" t="s">
        <v>488</v>
      </c>
      <c r="F2" s="803" t="s">
        <v>500</v>
      </c>
      <c r="G2" s="803"/>
      <c r="H2" s="726"/>
      <c r="I2" s="726"/>
      <c r="J2" s="726"/>
      <c r="K2" s="726"/>
    </row>
    <row r="3" spans="1:15" ht="15.5" x14ac:dyDescent="0.2">
      <c r="A3" s="362" t="s">
        <v>696</v>
      </c>
      <c r="B3" s="363"/>
      <c r="C3" s="363"/>
      <c r="D3" s="364"/>
      <c r="E3" s="767"/>
      <c r="F3" s="732"/>
      <c r="G3" s="733"/>
      <c r="H3" s="734"/>
      <c r="I3" s="733"/>
      <c r="J3" s="734"/>
      <c r="K3" s="735"/>
      <c r="L3" s="707" t="s">
        <v>193</v>
      </c>
      <c r="N3" s="1054" t="s">
        <v>163</v>
      </c>
      <c r="O3" s="1055"/>
    </row>
    <row r="4" spans="1:15" ht="29.15" customHeight="1" thickBot="1" x14ac:dyDescent="0.25">
      <c r="A4" s="1056" t="s">
        <v>696</v>
      </c>
      <c r="B4" s="1057"/>
      <c r="C4" s="1057"/>
      <c r="D4" s="368"/>
      <c r="E4" s="768" t="s">
        <v>164</v>
      </c>
      <c r="F4" s="1486" t="s">
        <v>697</v>
      </c>
      <c r="G4" s="1487"/>
      <c r="H4" s="1487"/>
      <c r="I4" s="1487"/>
      <c r="J4" s="1487"/>
      <c r="K4" s="1488"/>
      <c r="L4" s="369" t="s">
        <v>411</v>
      </c>
      <c r="N4" s="1058" t="s">
        <v>698</v>
      </c>
      <c r="O4" s="1055"/>
    </row>
    <row r="5" spans="1:15" ht="15.5" x14ac:dyDescent="0.2">
      <c r="A5" s="362" t="s">
        <v>179</v>
      </c>
      <c r="B5" s="363"/>
      <c r="C5" s="363"/>
      <c r="D5" s="364" t="s">
        <v>1</v>
      </c>
      <c r="E5" s="767" t="s">
        <v>357</v>
      </c>
      <c r="F5" s="732"/>
      <c r="G5" s="733"/>
      <c r="H5" s="734"/>
      <c r="I5" s="733"/>
      <c r="J5" s="734"/>
      <c r="K5" s="735"/>
      <c r="L5" s="707" t="s">
        <v>193</v>
      </c>
    </row>
    <row r="6" spans="1:15" ht="15.5" x14ac:dyDescent="0.2">
      <c r="A6" s="366" t="s">
        <v>122</v>
      </c>
      <c r="B6" s="367" t="s">
        <v>358</v>
      </c>
      <c r="C6" s="367"/>
      <c r="D6" s="368" t="s">
        <v>180</v>
      </c>
      <c r="E6" s="768">
        <f>入門編_計算シート!L40</f>
        <v>13191.796875</v>
      </c>
      <c r="F6" s="782"/>
      <c r="G6" s="727"/>
      <c r="H6" s="727"/>
      <c r="I6" s="727"/>
      <c r="J6" s="727"/>
      <c r="K6" s="740"/>
      <c r="L6" s="369" t="s">
        <v>411</v>
      </c>
    </row>
    <row r="7" spans="1:15" ht="15.5" x14ac:dyDescent="0.2">
      <c r="A7" s="366"/>
      <c r="B7" s="367" t="s">
        <v>359</v>
      </c>
      <c r="C7" s="367"/>
      <c r="D7" s="368" t="s">
        <v>950</v>
      </c>
      <c r="E7" s="768">
        <f>入門編_計算シート!L41*3.6</f>
        <v>94980.9375</v>
      </c>
      <c r="F7" s="783"/>
      <c r="G7" s="728"/>
      <c r="H7" s="728"/>
      <c r="I7" s="728"/>
      <c r="J7" s="728"/>
      <c r="K7" s="741"/>
      <c r="L7" s="369" t="s">
        <v>412</v>
      </c>
    </row>
    <row r="8" spans="1:15" ht="15.5" x14ac:dyDescent="0.2">
      <c r="A8" s="366" t="s">
        <v>185</v>
      </c>
      <c r="B8" s="367" t="s">
        <v>360</v>
      </c>
      <c r="C8" s="367"/>
      <c r="D8" s="368" t="s">
        <v>186</v>
      </c>
      <c r="E8" s="769">
        <f>入門編_計算シート!L44/100</f>
        <v>0.25</v>
      </c>
      <c r="F8" s="762"/>
      <c r="G8" s="729"/>
      <c r="H8" s="729"/>
      <c r="I8" s="729"/>
      <c r="J8" s="729"/>
      <c r="K8" s="742"/>
      <c r="L8" s="369" t="s">
        <v>407</v>
      </c>
    </row>
    <row r="9" spans="1:15" ht="15.5" x14ac:dyDescent="0.2">
      <c r="A9" s="366"/>
      <c r="B9" s="367" t="s">
        <v>361</v>
      </c>
      <c r="C9" s="367"/>
      <c r="D9" s="368" t="s">
        <v>36</v>
      </c>
      <c r="E9" s="769">
        <f>入門編_計算シート!L45/100</f>
        <v>0.5</v>
      </c>
      <c r="F9" s="762"/>
      <c r="G9" s="729"/>
      <c r="H9" s="729"/>
      <c r="I9" s="729"/>
      <c r="J9" s="729"/>
      <c r="K9" s="742"/>
      <c r="L9" s="369" t="s">
        <v>406</v>
      </c>
    </row>
    <row r="10" spans="1:15" ht="15.5" x14ac:dyDescent="0.2">
      <c r="A10" s="366" t="s">
        <v>405</v>
      </c>
      <c r="B10" s="367" t="s">
        <v>403</v>
      </c>
      <c r="C10" s="367"/>
      <c r="D10" s="368" t="s">
        <v>36</v>
      </c>
      <c r="E10" s="770">
        <f>1-入門編_計算シート!C43</f>
        <v>9.9999999999999978E-2</v>
      </c>
      <c r="F10" s="762"/>
      <c r="G10" s="729"/>
      <c r="H10" s="729"/>
      <c r="I10" s="729"/>
      <c r="J10" s="729"/>
      <c r="K10" s="742"/>
      <c r="L10" s="369" t="s">
        <v>401</v>
      </c>
    </row>
    <row r="11" spans="1:15" ht="15.5" x14ac:dyDescent="0.2">
      <c r="A11" s="366"/>
      <c r="B11" s="367" t="s">
        <v>404</v>
      </c>
      <c r="C11" s="367"/>
      <c r="D11" s="368" t="s">
        <v>36</v>
      </c>
      <c r="E11" s="770">
        <f>1-入門編_計算シート!C48*入門編_計算シート!AE121</f>
        <v>0.75</v>
      </c>
      <c r="F11" s="762"/>
      <c r="G11" s="729"/>
      <c r="H11" s="729"/>
      <c r="I11" s="729"/>
      <c r="J11" s="729"/>
      <c r="K11" s="742"/>
      <c r="L11" s="369" t="s">
        <v>402</v>
      </c>
    </row>
    <row r="12" spans="1:15" ht="15.5" x14ac:dyDescent="0.2">
      <c r="A12" s="370" t="s">
        <v>123</v>
      </c>
      <c r="B12" s="371" t="s">
        <v>362</v>
      </c>
      <c r="C12" s="371"/>
      <c r="D12" s="372" t="s">
        <v>196</v>
      </c>
      <c r="E12" s="771">
        <f>入門編_計算シート!C51</f>
        <v>330</v>
      </c>
      <c r="F12" s="763"/>
      <c r="G12" s="730"/>
      <c r="H12" s="730"/>
      <c r="I12" s="730"/>
      <c r="J12" s="730"/>
      <c r="K12" s="743"/>
      <c r="L12" s="607" t="s">
        <v>409</v>
      </c>
    </row>
    <row r="13" spans="1:15" ht="16" thickBot="1" x14ac:dyDescent="0.25">
      <c r="A13" s="370"/>
      <c r="B13" s="371" t="s">
        <v>363</v>
      </c>
      <c r="C13" s="371"/>
      <c r="D13" s="372" t="s">
        <v>408</v>
      </c>
      <c r="E13" s="771">
        <f>入門編_計算シート!C52</f>
        <v>24</v>
      </c>
      <c r="F13" s="784"/>
      <c r="G13" s="731"/>
      <c r="H13" s="731"/>
      <c r="I13" s="731"/>
      <c r="J13" s="731"/>
      <c r="K13" s="744"/>
      <c r="L13" s="373" t="s">
        <v>410</v>
      </c>
    </row>
    <row r="14" spans="1:15" ht="15.5" x14ac:dyDescent="0.2">
      <c r="A14" s="374" t="s">
        <v>181</v>
      </c>
      <c r="B14" s="375"/>
      <c r="C14" s="375"/>
      <c r="D14" s="376" t="s">
        <v>1</v>
      </c>
      <c r="E14" s="767" t="s">
        <v>357</v>
      </c>
      <c r="F14" s="785" t="s">
        <v>494</v>
      </c>
      <c r="G14" s="736"/>
      <c r="H14" s="737"/>
      <c r="I14" s="738"/>
      <c r="J14" s="737"/>
      <c r="K14" s="739"/>
      <c r="L14" s="707"/>
    </row>
    <row r="15" spans="1:15" ht="15.5" x14ac:dyDescent="0.2">
      <c r="A15" s="377" t="s">
        <v>3</v>
      </c>
      <c r="B15" s="378" t="s">
        <v>31</v>
      </c>
      <c r="C15" s="378"/>
      <c r="D15" s="379" t="s">
        <v>197</v>
      </c>
      <c r="E15" s="772">
        <f>入門編_計算シート!C44</f>
        <v>13</v>
      </c>
      <c r="F15" s="786">
        <f>入門編_計算シート!E148</f>
        <v>13</v>
      </c>
      <c r="G15" s="379" t="s">
        <v>197</v>
      </c>
      <c r="H15" s="727"/>
      <c r="I15" s="727"/>
      <c r="J15" s="727"/>
      <c r="K15" s="746"/>
      <c r="L15" s="708" t="s">
        <v>441</v>
      </c>
    </row>
    <row r="16" spans="1:15" ht="15.5" x14ac:dyDescent="0.2">
      <c r="A16" s="377" t="s">
        <v>4</v>
      </c>
      <c r="B16" s="378" t="s">
        <v>364</v>
      </c>
      <c r="C16" s="378"/>
      <c r="D16" s="379" t="s">
        <v>197</v>
      </c>
      <c r="E16" s="772">
        <f>入門編_計算シート!C49</f>
        <v>5</v>
      </c>
      <c r="F16" s="787">
        <f>入門編_計算シート!E149</f>
        <v>5</v>
      </c>
      <c r="G16" s="379" t="s">
        <v>197</v>
      </c>
      <c r="H16" s="728"/>
      <c r="I16" s="728"/>
      <c r="J16" s="728"/>
      <c r="K16" s="741"/>
      <c r="L16" s="708" t="s">
        <v>442</v>
      </c>
    </row>
    <row r="17" spans="1:12" ht="15.5" x14ac:dyDescent="0.2">
      <c r="A17" s="377" t="s">
        <v>413</v>
      </c>
      <c r="B17" s="378" t="s">
        <v>417</v>
      </c>
      <c r="C17" s="378"/>
      <c r="D17" s="379"/>
      <c r="E17" s="773"/>
      <c r="F17" s="814"/>
      <c r="G17" s="815"/>
      <c r="H17" s="729"/>
      <c r="I17" s="729"/>
      <c r="J17" s="729"/>
      <c r="K17" s="742"/>
      <c r="L17" s="709"/>
    </row>
    <row r="18" spans="1:12" ht="15.5" x14ac:dyDescent="0.2">
      <c r="A18" s="377" t="s">
        <v>519</v>
      </c>
      <c r="B18" s="609"/>
      <c r="C18" s="378" t="s">
        <v>161</v>
      </c>
      <c r="D18" s="610" t="s">
        <v>504</v>
      </c>
      <c r="E18" s="774"/>
      <c r="F18" s="804"/>
      <c r="G18" s="806" t="s">
        <v>421</v>
      </c>
      <c r="H18" s="729"/>
      <c r="I18" s="729"/>
      <c r="J18" s="729"/>
      <c r="K18" s="742"/>
      <c r="L18" s="708" t="s">
        <v>415</v>
      </c>
    </row>
    <row r="19" spans="1:12" ht="15.5" x14ac:dyDescent="0.2">
      <c r="A19" s="377"/>
      <c r="B19" s="378"/>
      <c r="C19" s="378" t="s">
        <v>162</v>
      </c>
      <c r="D19" s="611" t="s">
        <v>505</v>
      </c>
      <c r="E19" s="774"/>
      <c r="F19" s="804"/>
      <c r="G19" s="806" t="s">
        <v>420</v>
      </c>
      <c r="H19" s="729"/>
      <c r="I19" s="729"/>
      <c r="J19" s="729"/>
      <c r="K19" s="742"/>
      <c r="L19" s="708" t="s">
        <v>416</v>
      </c>
    </row>
    <row r="20" spans="1:12" ht="15.5" x14ac:dyDescent="0.2">
      <c r="A20" s="377" t="s">
        <v>187</v>
      </c>
      <c r="B20" s="609"/>
      <c r="C20" s="378" t="s">
        <v>161</v>
      </c>
      <c r="D20" s="610" t="s">
        <v>421</v>
      </c>
      <c r="E20" s="774"/>
      <c r="F20" s="804"/>
      <c r="G20" s="806" t="s">
        <v>421</v>
      </c>
      <c r="H20" s="729"/>
      <c r="I20" s="729"/>
      <c r="J20" s="729"/>
      <c r="K20" s="742"/>
      <c r="L20" s="708" t="s">
        <v>415</v>
      </c>
    </row>
    <row r="21" spans="1:12" ht="15.5" x14ac:dyDescent="0.2">
      <c r="A21" s="377"/>
      <c r="B21" s="378"/>
      <c r="C21" s="378" t="s">
        <v>162</v>
      </c>
      <c r="D21" s="611" t="s">
        <v>420</v>
      </c>
      <c r="E21" s="774"/>
      <c r="F21" s="804"/>
      <c r="G21" s="806" t="s">
        <v>420</v>
      </c>
      <c r="H21" s="729"/>
      <c r="I21" s="729"/>
      <c r="J21" s="729"/>
      <c r="K21" s="742"/>
      <c r="L21" s="708" t="s">
        <v>416</v>
      </c>
    </row>
    <row r="22" spans="1:12" ht="15.5" x14ac:dyDescent="0.2">
      <c r="A22" s="377" t="s">
        <v>188</v>
      </c>
      <c r="B22" s="1001"/>
      <c r="C22" s="378" t="s">
        <v>161</v>
      </c>
      <c r="D22" s="610" t="s">
        <v>421</v>
      </c>
      <c r="E22" s="774"/>
      <c r="F22" s="804"/>
      <c r="G22" s="806" t="s">
        <v>421</v>
      </c>
      <c r="H22" s="729"/>
      <c r="I22" s="729"/>
      <c r="J22" s="729"/>
      <c r="K22" s="742"/>
      <c r="L22" s="708" t="s">
        <v>415</v>
      </c>
    </row>
    <row r="23" spans="1:12" ht="15.5" x14ac:dyDescent="0.2">
      <c r="A23" s="377"/>
      <c r="B23" s="378"/>
      <c r="C23" s="378" t="s">
        <v>162</v>
      </c>
      <c r="D23" s="611" t="s">
        <v>420</v>
      </c>
      <c r="E23" s="774"/>
      <c r="F23" s="804"/>
      <c r="G23" s="806" t="s">
        <v>420</v>
      </c>
      <c r="H23" s="729"/>
      <c r="I23" s="729"/>
      <c r="J23" s="729"/>
      <c r="K23" s="742"/>
      <c r="L23" s="708" t="s">
        <v>416</v>
      </c>
    </row>
    <row r="24" spans="1:12" ht="15.5" x14ac:dyDescent="0.2">
      <c r="A24" s="377" t="s">
        <v>418</v>
      </c>
      <c r="B24" s="1001"/>
      <c r="C24" s="378" t="s">
        <v>161</v>
      </c>
      <c r="D24" s="610" t="s">
        <v>421</v>
      </c>
      <c r="E24" s="774"/>
      <c r="F24" s="804"/>
      <c r="G24" s="806" t="s">
        <v>421</v>
      </c>
      <c r="H24" s="729"/>
      <c r="I24" s="729"/>
      <c r="J24" s="729"/>
      <c r="K24" s="742"/>
      <c r="L24" s="708" t="s">
        <v>415</v>
      </c>
    </row>
    <row r="25" spans="1:12" ht="15.5" x14ac:dyDescent="0.2">
      <c r="A25" s="377"/>
      <c r="B25" s="378">
        <v>0</v>
      </c>
      <c r="C25" s="378" t="s">
        <v>162</v>
      </c>
      <c r="D25" s="611" t="s">
        <v>420</v>
      </c>
      <c r="E25" s="774"/>
      <c r="F25" s="804"/>
      <c r="G25" s="806" t="s">
        <v>420</v>
      </c>
      <c r="H25" s="729"/>
      <c r="I25" s="729"/>
      <c r="J25" s="729"/>
      <c r="K25" s="742"/>
      <c r="L25" s="708" t="s">
        <v>416</v>
      </c>
    </row>
    <row r="26" spans="1:12" ht="15.5" x14ac:dyDescent="0.2">
      <c r="A26" s="377" t="s">
        <v>419</v>
      </c>
      <c r="B26" s="609"/>
      <c r="C26" s="378" t="s">
        <v>161</v>
      </c>
      <c r="D26" s="610" t="s">
        <v>421</v>
      </c>
      <c r="E26" s="774"/>
      <c r="F26" s="804"/>
      <c r="G26" s="806" t="s">
        <v>421</v>
      </c>
      <c r="H26" s="729"/>
      <c r="I26" s="729"/>
      <c r="J26" s="729"/>
      <c r="K26" s="742"/>
      <c r="L26" s="708" t="s">
        <v>415</v>
      </c>
    </row>
    <row r="27" spans="1:12" ht="16" thickBot="1" x14ac:dyDescent="0.25">
      <c r="A27" s="377"/>
      <c r="B27" s="1002"/>
      <c r="C27" s="378" t="s">
        <v>162</v>
      </c>
      <c r="D27" s="612" t="s">
        <v>420</v>
      </c>
      <c r="E27" s="774"/>
      <c r="F27" s="805"/>
      <c r="G27" s="807" t="s">
        <v>420</v>
      </c>
      <c r="H27" s="729"/>
      <c r="I27" s="729"/>
      <c r="J27" s="729"/>
      <c r="K27" s="742"/>
      <c r="L27" s="708" t="s">
        <v>416</v>
      </c>
    </row>
    <row r="28" spans="1:12" ht="16" thickBot="1" x14ac:dyDescent="0.25">
      <c r="A28" s="374" t="s">
        <v>182</v>
      </c>
      <c r="B28" s="375"/>
      <c r="C28" s="375"/>
      <c r="D28" s="376" t="s">
        <v>1</v>
      </c>
      <c r="E28" s="767" t="s">
        <v>366</v>
      </c>
      <c r="F28" s="788" t="s">
        <v>495</v>
      </c>
      <c r="G28" s="755"/>
      <c r="H28" s="754" t="s">
        <v>497</v>
      </c>
      <c r="I28" s="755"/>
      <c r="J28" s="754" t="s">
        <v>496</v>
      </c>
      <c r="K28" s="756"/>
      <c r="L28" s="707"/>
    </row>
    <row r="29" spans="1:12" ht="15.5" x14ac:dyDescent="0.2">
      <c r="A29" s="381" t="s">
        <v>183</v>
      </c>
      <c r="B29" s="608" t="str">
        <f>入門編_計算シート!B7</f>
        <v>森林未利用木材</v>
      </c>
      <c r="C29" s="378" t="s">
        <v>124</v>
      </c>
      <c r="D29" s="380" t="s">
        <v>6</v>
      </c>
      <c r="E29" s="816">
        <f>入門編_計算シート!G7</f>
        <v>12000</v>
      </c>
      <c r="F29" s="1076"/>
      <c r="G29" s="1077"/>
      <c r="H29" s="1078"/>
      <c r="I29" s="1079"/>
      <c r="J29" s="1078"/>
      <c r="K29" s="1080"/>
      <c r="L29" s="710" t="s">
        <v>430</v>
      </c>
    </row>
    <row r="30" spans="1:12" ht="15.5" x14ac:dyDescent="0.2">
      <c r="A30" s="381"/>
      <c r="B30" s="378"/>
      <c r="C30" s="378" t="s">
        <v>427</v>
      </c>
      <c r="D30" s="379" t="s">
        <v>158</v>
      </c>
      <c r="E30" s="821">
        <f>入門編_計算シート!E58/$E$13</f>
        <v>2.0833333333333335</v>
      </c>
      <c r="F30" s="762"/>
      <c r="G30" s="729"/>
      <c r="H30" s="729"/>
      <c r="I30" s="747"/>
      <c r="J30" s="729"/>
      <c r="K30" s="742"/>
      <c r="L30" s="711" t="s">
        <v>429</v>
      </c>
    </row>
    <row r="31" spans="1:12" ht="15.5" x14ac:dyDescent="0.2">
      <c r="A31" s="381"/>
      <c r="B31" s="378"/>
      <c r="C31" s="378" t="s">
        <v>125</v>
      </c>
      <c r="D31" s="382" t="s">
        <v>189</v>
      </c>
      <c r="E31" s="775"/>
      <c r="F31" s="762"/>
      <c r="G31" s="729"/>
      <c r="H31" s="729"/>
      <c r="I31" s="747"/>
      <c r="J31" s="729"/>
      <c r="K31" s="742"/>
      <c r="L31" s="712" t="s">
        <v>423</v>
      </c>
    </row>
    <row r="32" spans="1:12" ht="15.5" x14ac:dyDescent="0.2">
      <c r="A32" s="381"/>
      <c r="B32" s="378"/>
      <c r="C32" s="378" t="s">
        <v>2</v>
      </c>
      <c r="D32" s="379" t="s">
        <v>426</v>
      </c>
      <c r="E32" s="775"/>
      <c r="F32" s="762"/>
      <c r="G32" s="729"/>
      <c r="H32" s="729"/>
      <c r="I32" s="729"/>
      <c r="J32" s="729"/>
      <c r="K32" s="742"/>
      <c r="L32" s="713" t="s">
        <v>428</v>
      </c>
    </row>
    <row r="33" spans="1:12" ht="15.5" x14ac:dyDescent="0.2">
      <c r="A33" s="381" t="s">
        <v>190</v>
      </c>
      <c r="B33" s="609" t="str">
        <f>入門編_計算シート!B8</f>
        <v>製材端材</v>
      </c>
      <c r="C33" s="378" t="s">
        <v>124</v>
      </c>
      <c r="D33" s="380" t="s">
        <v>6</v>
      </c>
      <c r="E33" s="776">
        <f>入門編_計算シート!G8</f>
        <v>3000</v>
      </c>
      <c r="F33" s="1081"/>
      <c r="G33" s="1082"/>
      <c r="H33" s="1082"/>
      <c r="I33" s="1082"/>
      <c r="J33" s="1082"/>
      <c r="K33" s="1083"/>
      <c r="L33" s="710" t="s">
        <v>430</v>
      </c>
    </row>
    <row r="34" spans="1:12" ht="15.5" x14ac:dyDescent="0.2">
      <c r="A34" s="381"/>
      <c r="B34" s="378"/>
      <c r="C34" s="378" t="s">
        <v>427</v>
      </c>
      <c r="D34" s="379" t="s">
        <v>158</v>
      </c>
      <c r="E34" s="778">
        <f>入門編_計算シート!E59/$E$13</f>
        <v>0</v>
      </c>
      <c r="F34" s="762"/>
      <c r="G34" s="729"/>
      <c r="H34" s="729"/>
      <c r="I34" s="747"/>
      <c r="J34" s="729"/>
      <c r="K34" s="742"/>
      <c r="L34" s="711" t="s">
        <v>429</v>
      </c>
    </row>
    <row r="35" spans="1:12" ht="15.5" x14ac:dyDescent="0.2">
      <c r="A35" s="381"/>
      <c r="B35" s="378"/>
      <c r="C35" s="378" t="s">
        <v>125</v>
      </c>
      <c r="D35" s="382" t="s">
        <v>189</v>
      </c>
      <c r="E35" s="776"/>
      <c r="F35" s="762"/>
      <c r="G35" s="729"/>
      <c r="H35" s="729"/>
      <c r="I35" s="747"/>
      <c r="J35" s="729"/>
      <c r="K35" s="742"/>
      <c r="L35" s="712" t="s">
        <v>423</v>
      </c>
    </row>
    <row r="36" spans="1:12" ht="15.5" x14ac:dyDescent="0.2">
      <c r="A36" s="381"/>
      <c r="B36" s="378"/>
      <c r="C36" s="378" t="s">
        <v>2</v>
      </c>
      <c r="D36" s="379" t="s">
        <v>426</v>
      </c>
      <c r="E36" s="777"/>
      <c r="F36" s="762"/>
      <c r="G36" s="729"/>
      <c r="H36" s="729"/>
      <c r="I36" s="729"/>
      <c r="J36" s="729"/>
      <c r="K36" s="742"/>
      <c r="L36" s="713" t="s">
        <v>428</v>
      </c>
    </row>
    <row r="37" spans="1:12" ht="15.5" x14ac:dyDescent="0.2">
      <c r="A37" s="381" t="s">
        <v>191</v>
      </c>
      <c r="B37" s="609" t="str">
        <f>入門編_計算シート!B9</f>
        <v>建築廃材</v>
      </c>
      <c r="C37" s="378" t="s">
        <v>124</v>
      </c>
      <c r="D37" s="380" t="s">
        <v>6</v>
      </c>
      <c r="E37" s="776">
        <f>入門編_計算シート!G9</f>
        <v>3000</v>
      </c>
      <c r="F37" s="1081"/>
      <c r="G37" s="1082"/>
      <c r="H37" s="1082"/>
      <c r="I37" s="1082"/>
      <c r="J37" s="1082"/>
      <c r="K37" s="1083"/>
      <c r="L37" s="710" t="s">
        <v>430</v>
      </c>
    </row>
    <row r="38" spans="1:12" ht="15.5" x14ac:dyDescent="0.2">
      <c r="A38" s="381"/>
      <c r="B38" s="378"/>
      <c r="C38" s="378" t="s">
        <v>427</v>
      </c>
      <c r="D38" s="379" t="s">
        <v>158</v>
      </c>
      <c r="E38" s="778">
        <f>入門編_計算シート!E60/$E$13</f>
        <v>12.5</v>
      </c>
      <c r="F38" s="762"/>
      <c r="G38" s="729"/>
      <c r="H38" s="729"/>
      <c r="I38" s="747"/>
      <c r="J38" s="729"/>
      <c r="K38" s="742"/>
      <c r="L38" s="711" t="s">
        <v>429</v>
      </c>
    </row>
    <row r="39" spans="1:12" ht="15.5" x14ac:dyDescent="0.2">
      <c r="A39" s="381"/>
      <c r="B39" s="378"/>
      <c r="C39" s="378" t="s">
        <v>125</v>
      </c>
      <c r="D39" s="382" t="s">
        <v>189</v>
      </c>
      <c r="E39" s="776"/>
      <c r="F39" s="762"/>
      <c r="G39" s="729"/>
      <c r="H39" s="729"/>
      <c r="I39" s="747"/>
      <c r="J39" s="729"/>
      <c r="K39" s="742"/>
      <c r="L39" s="712" t="s">
        <v>423</v>
      </c>
    </row>
    <row r="40" spans="1:12" ht="15.5" x14ac:dyDescent="0.2">
      <c r="A40" s="381"/>
      <c r="B40" s="378"/>
      <c r="C40" s="378" t="s">
        <v>2</v>
      </c>
      <c r="D40" s="379" t="s">
        <v>426</v>
      </c>
      <c r="E40" s="777"/>
      <c r="F40" s="762"/>
      <c r="G40" s="729"/>
      <c r="H40" s="729"/>
      <c r="I40" s="729"/>
      <c r="J40" s="729"/>
      <c r="K40" s="742"/>
      <c r="L40" s="713" t="s">
        <v>428</v>
      </c>
    </row>
    <row r="41" spans="1:12" ht="15.5" x14ac:dyDescent="0.2">
      <c r="A41" s="381" t="s">
        <v>192</v>
      </c>
      <c r="B41" s="609" t="str">
        <f>入門編_計算シート!B10</f>
        <v>バーク</v>
      </c>
      <c r="C41" s="378" t="s">
        <v>124</v>
      </c>
      <c r="D41" s="380" t="s">
        <v>6</v>
      </c>
      <c r="E41" s="776">
        <f>入門編_計算シート!G10</f>
        <v>3000</v>
      </c>
      <c r="F41" s="1081"/>
      <c r="G41" s="1082"/>
      <c r="H41" s="1082"/>
      <c r="I41" s="1082"/>
      <c r="J41" s="1082"/>
      <c r="K41" s="1083"/>
      <c r="L41" s="710" t="s">
        <v>430</v>
      </c>
    </row>
    <row r="42" spans="1:12" ht="15.5" x14ac:dyDescent="0.2">
      <c r="A42" s="381"/>
      <c r="B42" s="378"/>
      <c r="C42" s="378" t="s">
        <v>427</v>
      </c>
      <c r="D42" s="379" t="s">
        <v>158</v>
      </c>
      <c r="E42" s="778">
        <f>入門編_計算シート!E61/$E$13</f>
        <v>0</v>
      </c>
      <c r="F42" s="762"/>
      <c r="G42" s="729"/>
      <c r="H42" s="729"/>
      <c r="I42" s="747"/>
      <c r="J42" s="729"/>
      <c r="K42" s="742"/>
      <c r="L42" s="711" t="s">
        <v>429</v>
      </c>
    </row>
    <row r="43" spans="1:12" ht="15.5" x14ac:dyDescent="0.2">
      <c r="A43" s="381"/>
      <c r="B43" s="378"/>
      <c r="C43" s="378" t="s">
        <v>125</v>
      </c>
      <c r="D43" s="382" t="s">
        <v>189</v>
      </c>
      <c r="E43" s="776"/>
      <c r="F43" s="762"/>
      <c r="G43" s="729"/>
      <c r="H43" s="729"/>
      <c r="I43" s="747"/>
      <c r="J43" s="729"/>
      <c r="K43" s="742"/>
      <c r="L43" s="712" t="s">
        <v>423</v>
      </c>
    </row>
    <row r="44" spans="1:12" ht="15.5" x14ac:dyDescent="0.2">
      <c r="A44" s="381"/>
      <c r="B44" s="378"/>
      <c r="C44" s="378" t="s">
        <v>2</v>
      </c>
      <c r="D44" s="379" t="s">
        <v>426</v>
      </c>
      <c r="E44" s="777"/>
      <c r="F44" s="762"/>
      <c r="G44" s="729"/>
      <c r="H44" s="729"/>
      <c r="I44" s="729"/>
      <c r="J44" s="729"/>
      <c r="K44" s="742"/>
      <c r="L44" s="713" t="s">
        <v>428</v>
      </c>
    </row>
    <row r="45" spans="1:12" ht="15.5" x14ac:dyDescent="0.2">
      <c r="A45" s="381" t="s">
        <v>128</v>
      </c>
      <c r="B45" s="609" t="str">
        <f>入門編_計算シート!B11</f>
        <v>ペレット</v>
      </c>
      <c r="C45" s="378" t="s">
        <v>124</v>
      </c>
      <c r="D45" s="380" t="s">
        <v>6</v>
      </c>
      <c r="E45" s="776">
        <f>入門編_計算シート!G11</f>
        <v>32000</v>
      </c>
      <c r="F45" s="1081"/>
      <c r="G45" s="1082"/>
      <c r="H45" s="1082"/>
      <c r="I45" s="1082"/>
      <c r="J45" s="1082"/>
      <c r="K45" s="1083"/>
      <c r="L45" s="710" t="s">
        <v>430</v>
      </c>
    </row>
    <row r="46" spans="1:12" ht="15.5" x14ac:dyDescent="0.2">
      <c r="A46" s="381"/>
      <c r="B46" s="378"/>
      <c r="C46" s="378" t="s">
        <v>427</v>
      </c>
      <c r="D46" s="379" t="s">
        <v>158</v>
      </c>
      <c r="E46" s="778">
        <f>入門編_計算シート!E62/$E$13</f>
        <v>0</v>
      </c>
      <c r="F46" s="762"/>
      <c r="G46" s="729"/>
      <c r="H46" s="729"/>
      <c r="I46" s="747"/>
      <c r="J46" s="729"/>
      <c r="K46" s="742"/>
      <c r="L46" s="711" t="s">
        <v>429</v>
      </c>
    </row>
    <row r="47" spans="1:12" ht="15.5" x14ac:dyDescent="0.2">
      <c r="A47" s="381"/>
      <c r="B47" s="378"/>
      <c r="C47" s="378" t="s">
        <v>125</v>
      </c>
      <c r="D47" s="382" t="s">
        <v>189</v>
      </c>
      <c r="E47" s="776"/>
      <c r="F47" s="762"/>
      <c r="G47" s="729"/>
      <c r="H47" s="729"/>
      <c r="I47" s="747"/>
      <c r="J47" s="729"/>
      <c r="K47" s="742"/>
      <c r="L47" s="712" t="s">
        <v>423</v>
      </c>
    </row>
    <row r="48" spans="1:12" ht="15.5" x14ac:dyDescent="0.2">
      <c r="A48" s="381"/>
      <c r="B48" s="378"/>
      <c r="C48" s="378" t="s">
        <v>2</v>
      </c>
      <c r="D48" s="379" t="s">
        <v>426</v>
      </c>
      <c r="E48" s="777"/>
      <c r="F48" s="762"/>
      <c r="G48" s="729"/>
      <c r="H48" s="729"/>
      <c r="I48" s="729"/>
      <c r="J48" s="729"/>
      <c r="K48" s="742"/>
      <c r="L48" s="713" t="s">
        <v>428</v>
      </c>
    </row>
    <row r="49" spans="1:12" ht="15.5" x14ac:dyDescent="0.2">
      <c r="A49" s="381" t="s">
        <v>424</v>
      </c>
      <c r="B49" s="609">
        <f>入門編_計算シート!B12</f>
        <v>0</v>
      </c>
      <c r="C49" s="378" t="s">
        <v>124</v>
      </c>
      <c r="D49" s="380" t="s">
        <v>6</v>
      </c>
      <c r="E49" s="776">
        <f>入門編_計算シート!G12</f>
        <v>0</v>
      </c>
      <c r="F49" s="1081"/>
      <c r="G49" s="1082"/>
      <c r="H49" s="1082"/>
      <c r="I49" s="1082"/>
      <c r="J49" s="1082"/>
      <c r="K49" s="1083"/>
      <c r="L49" s="710" t="s">
        <v>430</v>
      </c>
    </row>
    <row r="50" spans="1:12" ht="15.5" x14ac:dyDescent="0.2">
      <c r="A50" s="381"/>
      <c r="B50" s="378"/>
      <c r="C50" s="378" t="s">
        <v>427</v>
      </c>
      <c r="D50" s="379" t="s">
        <v>158</v>
      </c>
      <c r="E50" s="778">
        <f>入門編_計算シート!E63/$E$13</f>
        <v>0</v>
      </c>
      <c r="F50" s="762"/>
      <c r="G50" s="729"/>
      <c r="H50" s="729"/>
      <c r="I50" s="747"/>
      <c r="J50" s="729"/>
      <c r="K50" s="742"/>
      <c r="L50" s="711" t="s">
        <v>429</v>
      </c>
    </row>
    <row r="51" spans="1:12" ht="15.5" x14ac:dyDescent="0.2">
      <c r="A51" s="381"/>
      <c r="B51" s="378"/>
      <c r="C51" s="378" t="s">
        <v>125</v>
      </c>
      <c r="D51" s="382" t="s">
        <v>189</v>
      </c>
      <c r="E51" s="776"/>
      <c r="F51" s="762"/>
      <c r="G51" s="729"/>
      <c r="H51" s="729"/>
      <c r="I51" s="747"/>
      <c r="J51" s="729"/>
      <c r="K51" s="742"/>
      <c r="L51" s="712" t="s">
        <v>423</v>
      </c>
    </row>
    <row r="52" spans="1:12" ht="15.5" x14ac:dyDescent="0.2">
      <c r="A52" s="381"/>
      <c r="B52" s="378"/>
      <c r="C52" s="378" t="s">
        <v>2</v>
      </c>
      <c r="D52" s="379" t="s">
        <v>426</v>
      </c>
      <c r="E52" s="777"/>
      <c r="F52" s="762"/>
      <c r="G52" s="729"/>
      <c r="H52" s="729"/>
      <c r="I52" s="729"/>
      <c r="J52" s="729"/>
      <c r="K52" s="742"/>
      <c r="L52" s="713" t="s">
        <v>428</v>
      </c>
    </row>
    <row r="53" spans="1:12" ht="15.5" x14ac:dyDescent="0.2">
      <c r="A53" s="381" t="s">
        <v>425</v>
      </c>
      <c r="B53" s="609" t="s">
        <v>422</v>
      </c>
      <c r="C53" s="378" t="s">
        <v>124</v>
      </c>
      <c r="D53" s="380" t="s">
        <v>6</v>
      </c>
      <c r="E53" s="776"/>
      <c r="F53" s="1081"/>
      <c r="G53" s="1082"/>
      <c r="H53" s="1082"/>
      <c r="I53" s="1082"/>
      <c r="J53" s="1082"/>
      <c r="K53" s="1083"/>
      <c r="L53" s="710" t="s">
        <v>430</v>
      </c>
    </row>
    <row r="54" spans="1:12" ht="15.5" x14ac:dyDescent="0.2">
      <c r="A54" s="381"/>
      <c r="B54" s="378"/>
      <c r="C54" s="378" t="s">
        <v>427</v>
      </c>
      <c r="D54" s="379" t="s">
        <v>158</v>
      </c>
      <c r="E54" s="778"/>
      <c r="F54" s="762"/>
      <c r="G54" s="729"/>
      <c r="H54" s="729"/>
      <c r="I54" s="747"/>
      <c r="J54" s="729"/>
      <c r="K54" s="742"/>
      <c r="L54" s="711" t="s">
        <v>429</v>
      </c>
    </row>
    <row r="55" spans="1:12" ht="15.5" x14ac:dyDescent="0.2">
      <c r="A55" s="381"/>
      <c r="B55" s="378"/>
      <c r="C55" s="378" t="s">
        <v>125</v>
      </c>
      <c r="D55" s="382" t="s">
        <v>189</v>
      </c>
      <c r="E55" s="776"/>
      <c r="F55" s="762"/>
      <c r="G55" s="729"/>
      <c r="H55" s="729"/>
      <c r="I55" s="747"/>
      <c r="J55" s="729"/>
      <c r="K55" s="742"/>
      <c r="L55" s="712" t="s">
        <v>423</v>
      </c>
    </row>
    <row r="56" spans="1:12" ht="16" thickBot="1" x14ac:dyDescent="0.25">
      <c r="A56" s="381"/>
      <c r="B56" s="378"/>
      <c r="C56" s="378" t="s">
        <v>2</v>
      </c>
      <c r="D56" s="379" t="s">
        <v>426</v>
      </c>
      <c r="E56" s="777"/>
      <c r="F56" s="1073"/>
      <c r="G56" s="1074"/>
      <c r="H56" s="1074"/>
      <c r="I56" s="1074"/>
      <c r="J56" s="1074"/>
      <c r="K56" s="1075"/>
      <c r="L56" s="713" t="s">
        <v>428</v>
      </c>
    </row>
    <row r="57" spans="1:12" ht="16" thickBot="1" x14ac:dyDescent="0.25">
      <c r="A57" s="362" t="s">
        <v>127</v>
      </c>
      <c r="B57" s="363"/>
      <c r="C57" s="363"/>
      <c r="D57" s="364"/>
      <c r="E57" s="767" t="s">
        <v>366</v>
      </c>
      <c r="F57" s="788" t="s">
        <v>495</v>
      </c>
      <c r="G57" s="755"/>
      <c r="H57" s="754" t="s">
        <v>497</v>
      </c>
      <c r="I57" s="755"/>
      <c r="J57" s="754" t="s">
        <v>496</v>
      </c>
      <c r="K57" s="756"/>
      <c r="L57" s="707"/>
    </row>
    <row r="58" spans="1:12" ht="15.5" x14ac:dyDescent="0.2">
      <c r="A58" s="383" t="s">
        <v>5</v>
      </c>
      <c r="B58" s="384"/>
      <c r="C58" s="385"/>
      <c r="D58" s="379"/>
      <c r="E58" s="748"/>
      <c r="F58" s="793"/>
      <c r="G58" s="753"/>
      <c r="H58" s="753"/>
      <c r="I58" s="753"/>
      <c r="J58" s="753"/>
      <c r="K58" s="794"/>
      <c r="L58" s="714"/>
    </row>
    <row r="59" spans="1:12" ht="15.5" x14ac:dyDescent="0.2">
      <c r="A59" s="817" t="s">
        <v>168</v>
      </c>
      <c r="B59" s="378" t="s">
        <v>210</v>
      </c>
      <c r="C59" s="386"/>
      <c r="D59" s="378" t="s">
        <v>431</v>
      </c>
      <c r="E59" s="758">
        <f>入門編_計算シート!L52*1000000</f>
        <v>84281810.798385695</v>
      </c>
      <c r="F59" s="795">
        <f>入門編_計算シート!E155*0.5</f>
        <v>0.25</v>
      </c>
      <c r="G59" s="1118" t="s">
        <v>855</v>
      </c>
      <c r="H59" s="750">
        <f>入門編_計算シート!E155*0.5</f>
        <v>0.25</v>
      </c>
      <c r="I59" s="1118" t="s">
        <v>856</v>
      </c>
      <c r="J59" s="750">
        <v>0</v>
      </c>
      <c r="K59" s="796"/>
      <c r="L59" s="715" t="s">
        <v>439</v>
      </c>
    </row>
    <row r="60" spans="1:12" ht="15.5" x14ac:dyDescent="0.2">
      <c r="A60" s="817" t="s">
        <v>169</v>
      </c>
      <c r="B60" s="378" t="s">
        <v>841</v>
      </c>
      <c r="C60" s="386"/>
      <c r="D60" s="378" t="s">
        <v>431</v>
      </c>
      <c r="E60" s="758">
        <f>入門編_計算シート!L53*1000000</f>
        <v>60201293.427418359</v>
      </c>
      <c r="F60" s="795">
        <f>入門編_計算シート!E156</f>
        <v>0.5</v>
      </c>
      <c r="G60" s="1120" t="s">
        <v>857</v>
      </c>
      <c r="H60" s="724">
        <v>0</v>
      </c>
      <c r="I60" s="751"/>
      <c r="J60" s="724">
        <v>0</v>
      </c>
      <c r="K60" s="798"/>
      <c r="L60" s="716"/>
    </row>
    <row r="61" spans="1:12" ht="15.5" x14ac:dyDescent="0.2">
      <c r="A61" s="817" t="s">
        <v>170</v>
      </c>
      <c r="B61" s="609" t="s">
        <v>435</v>
      </c>
      <c r="C61" s="386"/>
      <c r="D61" s="378" t="s">
        <v>431</v>
      </c>
      <c r="E61" s="776"/>
      <c r="F61" s="797">
        <v>0</v>
      </c>
      <c r="G61" s="751"/>
      <c r="H61" s="724">
        <v>0</v>
      </c>
      <c r="I61" s="751"/>
      <c r="J61" s="724">
        <v>0</v>
      </c>
      <c r="K61" s="798"/>
      <c r="L61" s="716" t="s">
        <v>438</v>
      </c>
    </row>
    <row r="62" spans="1:12" ht="15.5" x14ac:dyDescent="0.2">
      <c r="A62" s="817" t="s">
        <v>171</v>
      </c>
      <c r="B62" s="609" t="s">
        <v>435</v>
      </c>
      <c r="C62" s="386"/>
      <c r="D62" s="378" t="s">
        <v>431</v>
      </c>
      <c r="E62" s="776"/>
      <c r="F62" s="797">
        <v>0</v>
      </c>
      <c r="G62" s="751"/>
      <c r="H62" s="724">
        <v>0</v>
      </c>
      <c r="I62" s="751"/>
      <c r="J62" s="724">
        <v>0</v>
      </c>
      <c r="K62" s="798"/>
      <c r="L62" s="716"/>
    </row>
    <row r="63" spans="1:12" ht="15.5" x14ac:dyDescent="0.2">
      <c r="A63" s="817" t="s">
        <v>172</v>
      </c>
      <c r="B63" s="609" t="s">
        <v>435</v>
      </c>
      <c r="C63" s="386"/>
      <c r="D63" s="378" t="s">
        <v>431</v>
      </c>
      <c r="E63" s="776"/>
      <c r="F63" s="791">
        <v>0</v>
      </c>
      <c r="G63" s="725"/>
      <c r="H63" s="725">
        <v>0</v>
      </c>
      <c r="I63" s="725"/>
      <c r="J63" s="725">
        <v>0</v>
      </c>
      <c r="K63" s="792"/>
      <c r="L63" s="717"/>
    </row>
    <row r="64" spans="1:12" ht="15.5" x14ac:dyDescent="0.2">
      <c r="A64" s="817" t="s">
        <v>174</v>
      </c>
      <c r="B64" s="609" t="s">
        <v>435</v>
      </c>
      <c r="C64" s="386"/>
      <c r="D64" s="378" t="s">
        <v>431</v>
      </c>
      <c r="E64" s="776"/>
      <c r="F64" s="799">
        <v>0</v>
      </c>
      <c r="G64" s="752"/>
      <c r="H64" s="752">
        <v>0</v>
      </c>
      <c r="I64" s="752"/>
      <c r="J64" s="752">
        <v>0</v>
      </c>
      <c r="K64" s="800"/>
      <c r="L64" s="717"/>
    </row>
    <row r="65" spans="1:12" ht="15.5" x14ac:dyDescent="0.2">
      <c r="A65" s="387" t="s">
        <v>7</v>
      </c>
      <c r="B65" s="388"/>
      <c r="C65" s="388"/>
      <c r="D65" s="389"/>
      <c r="E65" s="779"/>
      <c r="F65" s="801"/>
      <c r="G65" s="749"/>
      <c r="H65" s="749"/>
      <c r="I65" s="749"/>
      <c r="J65" s="749"/>
      <c r="K65" s="802"/>
      <c r="L65" s="718"/>
    </row>
    <row r="66" spans="1:12" ht="15.5" x14ac:dyDescent="0.2">
      <c r="A66" s="817" t="s">
        <v>432</v>
      </c>
      <c r="B66" s="378" t="s">
        <v>639</v>
      </c>
      <c r="C66" s="386"/>
      <c r="D66" s="378" t="s">
        <v>431</v>
      </c>
      <c r="E66" s="758">
        <f>入門編_計算シート!L55*1000000</f>
        <v>72241552.11290203</v>
      </c>
      <c r="F66" s="789">
        <f>入門編_計算シート!E158</f>
        <v>1</v>
      </c>
      <c r="G66" s="1119" t="s">
        <v>854</v>
      </c>
      <c r="H66" s="745">
        <v>0</v>
      </c>
      <c r="I66" s="723"/>
      <c r="J66" s="745">
        <v>0</v>
      </c>
      <c r="K66" s="790"/>
      <c r="L66" s="716" t="s">
        <v>437</v>
      </c>
    </row>
    <row r="67" spans="1:12" ht="15.5" x14ac:dyDescent="0.2">
      <c r="A67" s="817" t="s">
        <v>433</v>
      </c>
      <c r="B67" s="378" t="s">
        <v>638</v>
      </c>
      <c r="C67" s="386"/>
      <c r="D67" s="378" t="s">
        <v>431</v>
      </c>
      <c r="E67" s="758">
        <f>入門編_計算シート!L54*1000000</f>
        <v>258880890.86578479</v>
      </c>
      <c r="F67" s="789">
        <f>入門編_計算シート!E157</f>
        <v>0.5</v>
      </c>
      <c r="G67" s="1120" t="s">
        <v>857</v>
      </c>
      <c r="H67" s="745">
        <v>0</v>
      </c>
      <c r="I67" s="723"/>
      <c r="J67" s="745">
        <v>0</v>
      </c>
      <c r="K67" s="790"/>
      <c r="L67" s="716"/>
    </row>
    <row r="68" spans="1:12" ht="15.5" x14ac:dyDescent="0.2">
      <c r="A68" s="817" t="s">
        <v>184</v>
      </c>
      <c r="B68" s="378" t="s">
        <v>640</v>
      </c>
      <c r="C68" s="386"/>
      <c r="D68" s="378" t="s">
        <v>431</v>
      </c>
      <c r="E68" s="758">
        <f>入門編_計算シート!L56*1000000</f>
        <v>24080517.37096734</v>
      </c>
      <c r="F68" s="1122">
        <f>入門編_計算シート!E159*1/3</f>
        <v>0.16666666666666666</v>
      </c>
      <c r="G68" s="1119" t="s">
        <v>859</v>
      </c>
      <c r="H68" s="1123">
        <f>入門編_計算シート!E159*1/3</f>
        <v>0.16666666666666666</v>
      </c>
      <c r="I68" s="1119" t="s">
        <v>860</v>
      </c>
      <c r="J68" s="745">
        <f>入門編_計算シート!E159*1/3</f>
        <v>0.16666666666666666</v>
      </c>
      <c r="K68" s="1121" t="s">
        <v>861</v>
      </c>
      <c r="L68" s="717" t="s">
        <v>436</v>
      </c>
    </row>
    <row r="69" spans="1:12" ht="15.5" x14ac:dyDescent="0.2">
      <c r="A69" s="817" t="s">
        <v>194</v>
      </c>
      <c r="B69" s="609" t="s">
        <v>435</v>
      </c>
      <c r="C69" s="386"/>
      <c r="D69" s="378" t="s">
        <v>431</v>
      </c>
      <c r="E69" s="776"/>
      <c r="F69" s="791">
        <v>0</v>
      </c>
      <c r="G69" s="725"/>
      <c r="H69" s="725">
        <v>0</v>
      </c>
      <c r="I69" s="725"/>
      <c r="J69" s="725">
        <v>0</v>
      </c>
      <c r="K69" s="792"/>
      <c r="L69" s="717"/>
    </row>
    <row r="70" spans="1:12" ht="16" thickBot="1" x14ac:dyDescent="0.25">
      <c r="A70" s="818" t="s">
        <v>434</v>
      </c>
      <c r="B70" s="609" t="s">
        <v>435</v>
      </c>
      <c r="C70" s="386"/>
      <c r="D70" s="378" t="s">
        <v>431</v>
      </c>
      <c r="E70" s="780"/>
      <c r="F70" s="791">
        <v>0</v>
      </c>
      <c r="G70" s="725"/>
      <c r="H70" s="725">
        <v>0</v>
      </c>
      <c r="I70" s="725"/>
      <c r="J70" s="725">
        <v>0</v>
      </c>
      <c r="K70" s="792"/>
      <c r="L70" s="717"/>
    </row>
    <row r="71" spans="1:12" ht="16" thickBot="1" x14ac:dyDescent="0.25">
      <c r="A71" s="374" t="s">
        <v>45</v>
      </c>
      <c r="B71" s="375"/>
      <c r="C71" s="375"/>
      <c r="D71" s="376"/>
      <c r="E71" s="767" t="s">
        <v>366</v>
      </c>
      <c r="F71" s="788" t="s">
        <v>495</v>
      </c>
      <c r="G71" s="755"/>
      <c r="H71" s="754" t="s">
        <v>497</v>
      </c>
      <c r="I71" s="755"/>
      <c r="J71" s="754" t="s">
        <v>496</v>
      </c>
      <c r="K71" s="756"/>
      <c r="L71" s="707"/>
    </row>
    <row r="72" spans="1:12" ht="15.5" x14ac:dyDescent="0.2">
      <c r="A72" s="390"/>
      <c r="B72" s="391" t="s">
        <v>365</v>
      </c>
      <c r="C72" s="391"/>
      <c r="D72" s="392"/>
      <c r="E72" s="757"/>
      <c r="F72" s="762"/>
      <c r="G72" s="729"/>
      <c r="H72" s="729"/>
      <c r="I72" s="729"/>
      <c r="J72" s="729"/>
      <c r="K72" s="742"/>
      <c r="L72" s="719"/>
    </row>
    <row r="73" spans="1:12" ht="15.5" x14ac:dyDescent="0.2">
      <c r="A73" s="393" t="s">
        <v>129</v>
      </c>
      <c r="B73" s="613" t="s">
        <v>491</v>
      </c>
      <c r="C73" s="371" t="s">
        <v>45</v>
      </c>
      <c r="D73" s="380" t="s">
        <v>0</v>
      </c>
      <c r="E73" s="758">
        <f>入門編_計算シート!L49*1000000</f>
        <v>3615143431.2222729</v>
      </c>
      <c r="F73" s="789">
        <f>入門編_計算シート!E153</f>
        <v>0.25</v>
      </c>
      <c r="G73" s="1119" t="s">
        <v>863</v>
      </c>
      <c r="H73" s="745">
        <v>0</v>
      </c>
      <c r="I73" s="723"/>
      <c r="J73" s="745">
        <v>0</v>
      </c>
      <c r="K73" s="790"/>
      <c r="L73" s="718"/>
    </row>
    <row r="74" spans="1:12" ht="15.5" x14ac:dyDescent="0.2">
      <c r="A74" s="370"/>
      <c r="B74" s="371"/>
      <c r="C74" s="394" t="s">
        <v>130</v>
      </c>
      <c r="D74" s="380" t="s">
        <v>175</v>
      </c>
      <c r="E74" s="759">
        <v>0</v>
      </c>
      <c r="F74" s="762"/>
      <c r="G74" s="729"/>
      <c r="H74" s="729"/>
      <c r="I74" s="747" t="s">
        <v>499</v>
      </c>
      <c r="J74" s="729">
        <f>SUM(F73,H73,J73)</f>
        <v>0.25</v>
      </c>
      <c r="K74" s="742"/>
      <c r="L74" s="720"/>
    </row>
    <row r="75" spans="1:12" ht="15.5" x14ac:dyDescent="0.2">
      <c r="A75" s="395"/>
      <c r="B75" s="371"/>
      <c r="C75" s="371" t="s">
        <v>131</v>
      </c>
      <c r="D75" s="380" t="s">
        <v>132</v>
      </c>
      <c r="E75" s="758">
        <v>15</v>
      </c>
      <c r="F75" s="762"/>
      <c r="G75" s="729"/>
      <c r="H75" s="729"/>
      <c r="I75" s="747" t="s">
        <v>498</v>
      </c>
      <c r="J75" s="729">
        <f>1-J74</f>
        <v>0.75</v>
      </c>
      <c r="K75" s="742"/>
      <c r="L75" s="718"/>
    </row>
    <row r="76" spans="1:12" ht="15.5" x14ac:dyDescent="0.2">
      <c r="A76" s="393" t="s">
        <v>133</v>
      </c>
      <c r="B76" s="614" t="s">
        <v>513</v>
      </c>
      <c r="C76" s="371" t="s">
        <v>45</v>
      </c>
      <c r="D76" s="380" t="s">
        <v>0</v>
      </c>
      <c r="E76" s="776">
        <f>入門編_計算シート!L50*1000000</f>
        <v>1205047810.4074242</v>
      </c>
      <c r="F76" s="791">
        <f>入門編_計算シート!E154</f>
        <v>0.5</v>
      </c>
      <c r="G76" s="1124" t="s">
        <v>865</v>
      </c>
      <c r="H76" s="725">
        <v>0</v>
      </c>
      <c r="I76" s="725"/>
      <c r="J76" s="725">
        <v>0</v>
      </c>
      <c r="K76" s="792"/>
      <c r="L76" s="718"/>
    </row>
    <row r="77" spans="1:12" ht="15.5" x14ac:dyDescent="0.2">
      <c r="A77" s="370"/>
      <c r="B77" s="371"/>
      <c r="C77" s="394" t="s">
        <v>130</v>
      </c>
      <c r="D77" s="380" t="s">
        <v>175</v>
      </c>
      <c r="E77" s="781">
        <v>0</v>
      </c>
      <c r="F77" s="762"/>
      <c r="G77" s="729"/>
      <c r="H77" s="729"/>
      <c r="I77" s="747" t="s">
        <v>499</v>
      </c>
      <c r="J77" s="729">
        <f>SUM(F76,H76,J76)</f>
        <v>0.5</v>
      </c>
      <c r="K77" s="742"/>
      <c r="L77" s="720"/>
    </row>
    <row r="78" spans="1:12" ht="15.5" x14ac:dyDescent="0.2">
      <c r="A78" s="395"/>
      <c r="B78" s="371"/>
      <c r="C78" s="371" t="s">
        <v>131</v>
      </c>
      <c r="D78" s="380" t="s">
        <v>132</v>
      </c>
      <c r="E78" s="776">
        <v>38</v>
      </c>
      <c r="F78" s="762"/>
      <c r="G78" s="729"/>
      <c r="H78" s="729"/>
      <c r="I78" s="747" t="s">
        <v>498</v>
      </c>
      <c r="J78" s="729">
        <f>1-J77</f>
        <v>0.5</v>
      </c>
      <c r="K78" s="742"/>
      <c r="L78" s="718"/>
    </row>
    <row r="79" spans="1:12" ht="15.5" x14ac:dyDescent="0.2">
      <c r="A79" s="393" t="s">
        <v>134</v>
      </c>
      <c r="B79" s="614"/>
      <c r="C79" s="371" t="s">
        <v>45</v>
      </c>
      <c r="D79" s="380" t="s">
        <v>0</v>
      </c>
      <c r="E79" s="776"/>
      <c r="F79" s="791">
        <f>入門編_計算シート!E154</f>
        <v>0.5</v>
      </c>
      <c r="G79" s="725"/>
      <c r="H79" s="725">
        <v>0</v>
      </c>
      <c r="I79" s="725"/>
      <c r="J79" s="725">
        <v>0</v>
      </c>
      <c r="K79" s="792"/>
      <c r="L79" s="718"/>
    </row>
    <row r="80" spans="1:12" ht="15.5" x14ac:dyDescent="0.2">
      <c r="A80" s="370"/>
      <c r="B80" s="371"/>
      <c r="C80" s="394" t="s">
        <v>130</v>
      </c>
      <c r="D80" s="380" t="s">
        <v>175</v>
      </c>
      <c r="E80" s="781"/>
      <c r="F80" s="762"/>
      <c r="G80" s="729"/>
      <c r="H80" s="729"/>
      <c r="I80" s="747" t="s">
        <v>499</v>
      </c>
      <c r="J80" s="729">
        <f>SUM(F79,H79,J79)</f>
        <v>0.5</v>
      </c>
      <c r="K80" s="742"/>
      <c r="L80" s="720"/>
    </row>
    <row r="81" spans="1:12" ht="15.5" x14ac:dyDescent="0.2">
      <c r="A81" s="395"/>
      <c r="B81" s="371"/>
      <c r="C81" s="371" t="s">
        <v>131</v>
      </c>
      <c r="D81" s="380" t="s">
        <v>132</v>
      </c>
      <c r="E81" s="776"/>
      <c r="F81" s="762"/>
      <c r="G81" s="729"/>
      <c r="H81" s="729"/>
      <c r="I81" s="747" t="s">
        <v>498</v>
      </c>
      <c r="J81" s="729">
        <f>1-J80</f>
        <v>0.5</v>
      </c>
      <c r="K81" s="742"/>
      <c r="L81" s="718"/>
    </row>
    <row r="82" spans="1:12" ht="15.5" x14ac:dyDescent="0.2">
      <c r="A82" s="393" t="s">
        <v>135</v>
      </c>
      <c r="B82" s="614" t="s">
        <v>440</v>
      </c>
      <c r="C82" s="371" t="s">
        <v>45</v>
      </c>
      <c r="D82" s="380" t="s">
        <v>0</v>
      </c>
      <c r="E82" s="776"/>
      <c r="F82" s="791">
        <v>0</v>
      </c>
      <c r="G82" s="725"/>
      <c r="H82" s="725">
        <v>0</v>
      </c>
      <c r="I82" s="725"/>
      <c r="J82" s="725">
        <v>0</v>
      </c>
      <c r="K82" s="792"/>
      <c r="L82" s="718"/>
    </row>
    <row r="83" spans="1:12" ht="15.5" x14ac:dyDescent="0.2">
      <c r="A83" s="370"/>
      <c r="B83" s="371"/>
      <c r="C83" s="394" t="s">
        <v>130</v>
      </c>
      <c r="D83" s="380" t="s">
        <v>175</v>
      </c>
      <c r="E83" s="781"/>
      <c r="F83" s="762"/>
      <c r="G83" s="729"/>
      <c r="H83" s="729"/>
      <c r="I83" s="747" t="s">
        <v>499</v>
      </c>
      <c r="J83" s="729">
        <f>SUM(F82,H82,J82)</f>
        <v>0</v>
      </c>
      <c r="K83" s="742"/>
      <c r="L83" s="720"/>
    </row>
    <row r="84" spans="1:12" ht="15.5" x14ac:dyDescent="0.2">
      <c r="A84" s="395"/>
      <c r="B84" s="371"/>
      <c r="C84" s="371" t="s">
        <v>131</v>
      </c>
      <c r="D84" s="380" t="s">
        <v>132</v>
      </c>
      <c r="E84" s="776"/>
      <c r="F84" s="762"/>
      <c r="G84" s="729"/>
      <c r="H84" s="729"/>
      <c r="I84" s="747" t="s">
        <v>498</v>
      </c>
      <c r="J84" s="729">
        <f>1-J83</f>
        <v>1</v>
      </c>
      <c r="K84" s="742"/>
      <c r="L84" s="718"/>
    </row>
    <row r="85" spans="1:12" ht="15.5" x14ac:dyDescent="0.2">
      <c r="A85" s="393" t="s">
        <v>136</v>
      </c>
      <c r="B85" s="614" t="s">
        <v>440</v>
      </c>
      <c r="C85" s="371" t="s">
        <v>45</v>
      </c>
      <c r="D85" s="380" t="s">
        <v>0</v>
      </c>
      <c r="E85" s="776"/>
      <c r="F85" s="791">
        <v>0</v>
      </c>
      <c r="G85" s="725"/>
      <c r="H85" s="725">
        <v>0</v>
      </c>
      <c r="I85" s="725"/>
      <c r="J85" s="725">
        <v>0</v>
      </c>
      <c r="K85" s="792"/>
      <c r="L85" s="718"/>
    </row>
    <row r="86" spans="1:12" ht="15.5" x14ac:dyDescent="0.2">
      <c r="A86" s="370"/>
      <c r="B86" s="371"/>
      <c r="C86" s="394" t="s">
        <v>130</v>
      </c>
      <c r="D86" s="380" t="s">
        <v>175</v>
      </c>
      <c r="E86" s="781"/>
      <c r="F86" s="762"/>
      <c r="G86" s="729"/>
      <c r="H86" s="729"/>
      <c r="I86" s="747" t="s">
        <v>499</v>
      </c>
      <c r="J86" s="729">
        <f>SUM(F85,H85,J85)</f>
        <v>0</v>
      </c>
      <c r="K86" s="742"/>
      <c r="L86" s="720"/>
    </row>
    <row r="87" spans="1:12" ht="15.5" x14ac:dyDescent="0.2">
      <c r="A87" s="395"/>
      <c r="B87" s="371"/>
      <c r="C87" s="371" t="s">
        <v>131</v>
      </c>
      <c r="D87" s="380" t="s">
        <v>132</v>
      </c>
      <c r="E87" s="776"/>
      <c r="F87" s="762"/>
      <c r="G87" s="729"/>
      <c r="H87" s="729"/>
      <c r="I87" s="747" t="s">
        <v>498</v>
      </c>
      <c r="J87" s="729">
        <f>1-J86</f>
        <v>1</v>
      </c>
      <c r="K87" s="742"/>
      <c r="L87" s="718"/>
    </row>
    <row r="88" spans="1:12" ht="15.5" x14ac:dyDescent="0.2">
      <c r="A88" s="393" t="s">
        <v>137</v>
      </c>
      <c r="B88" s="614" t="s">
        <v>440</v>
      </c>
      <c r="C88" s="371" t="s">
        <v>45</v>
      </c>
      <c r="D88" s="380" t="s">
        <v>0</v>
      </c>
      <c r="E88" s="776"/>
      <c r="F88" s="791">
        <v>0</v>
      </c>
      <c r="G88" s="725"/>
      <c r="H88" s="725">
        <v>0</v>
      </c>
      <c r="I88" s="725"/>
      <c r="J88" s="725">
        <v>0</v>
      </c>
      <c r="K88" s="792"/>
      <c r="L88" s="718"/>
    </row>
    <row r="89" spans="1:12" ht="15.5" x14ac:dyDescent="0.2">
      <c r="A89" s="370"/>
      <c r="B89" s="371"/>
      <c r="C89" s="394" t="s">
        <v>130</v>
      </c>
      <c r="D89" s="380" t="s">
        <v>175</v>
      </c>
      <c r="E89" s="781"/>
      <c r="F89" s="762"/>
      <c r="G89" s="729"/>
      <c r="H89" s="729"/>
      <c r="I89" s="747" t="s">
        <v>499</v>
      </c>
      <c r="J89" s="729">
        <f>SUM(F88,H88,J88)</f>
        <v>0</v>
      </c>
      <c r="K89" s="742"/>
      <c r="L89" s="720"/>
    </row>
    <row r="90" spans="1:12" ht="15.5" x14ac:dyDescent="0.2">
      <c r="A90" s="395"/>
      <c r="B90" s="371"/>
      <c r="C90" s="371" t="s">
        <v>131</v>
      </c>
      <c r="D90" s="380" t="s">
        <v>132</v>
      </c>
      <c r="E90" s="776"/>
      <c r="F90" s="762"/>
      <c r="G90" s="729"/>
      <c r="H90" s="729"/>
      <c r="I90" s="747" t="s">
        <v>498</v>
      </c>
      <c r="J90" s="729">
        <f>1-J89</f>
        <v>1</v>
      </c>
      <c r="K90" s="742"/>
      <c r="L90" s="718"/>
    </row>
    <row r="91" spans="1:12" ht="15.5" x14ac:dyDescent="0.2">
      <c r="A91" s="393" t="s">
        <v>138</v>
      </c>
      <c r="B91" s="614" t="s">
        <v>440</v>
      </c>
      <c r="C91" s="371" t="s">
        <v>45</v>
      </c>
      <c r="D91" s="380" t="s">
        <v>0</v>
      </c>
      <c r="E91" s="776"/>
      <c r="F91" s="791">
        <v>0</v>
      </c>
      <c r="G91" s="725"/>
      <c r="H91" s="725">
        <v>0</v>
      </c>
      <c r="I91" s="725"/>
      <c r="J91" s="725">
        <v>0</v>
      </c>
      <c r="K91" s="792"/>
      <c r="L91" s="718"/>
    </row>
    <row r="92" spans="1:12" ht="15.5" x14ac:dyDescent="0.2">
      <c r="A92" s="370"/>
      <c r="B92" s="371"/>
      <c r="C92" s="394" t="s">
        <v>130</v>
      </c>
      <c r="D92" s="380" t="s">
        <v>175</v>
      </c>
      <c r="E92" s="781"/>
      <c r="F92" s="762"/>
      <c r="G92" s="729"/>
      <c r="H92" s="729"/>
      <c r="I92" s="747" t="s">
        <v>499</v>
      </c>
      <c r="J92" s="729">
        <f>SUM(F91,H91,J91)</f>
        <v>0</v>
      </c>
      <c r="K92" s="742"/>
      <c r="L92" s="720"/>
    </row>
    <row r="93" spans="1:12" ht="16" thickBot="1" x14ac:dyDescent="0.25">
      <c r="A93" s="395"/>
      <c r="B93" s="371"/>
      <c r="C93" s="371" t="s">
        <v>131</v>
      </c>
      <c r="D93" s="380" t="s">
        <v>132</v>
      </c>
      <c r="E93" s="776"/>
      <c r="F93" s="762"/>
      <c r="G93" s="729"/>
      <c r="H93" s="729"/>
      <c r="I93" s="747" t="s">
        <v>498</v>
      </c>
      <c r="J93" s="729">
        <f>1-J92</f>
        <v>1</v>
      </c>
      <c r="K93" s="742"/>
      <c r="L93" s="718"/>
    </row>
    <row r="94" spans="1:12" ht="16" thickBot="1" x14ac:dyDescent="0.25">
      <c r="A94" s="396" t="s">
        <v>139</v>
      </c>
      <c r="B94" s="397"/>
      <c r="C94" s="397"/>
      <c r="D94" s="398"/>
      <c r="E94" s="767" t="s">
        <v>357</v>
      </c>
      <c r="F94" s="809"/>
      <c r="G94" s="810"/>
      <c r="H94" s="811"/>
      <c r="I94" s="810"/>
      <c r="J94" s="811"/>
      <c r="K94" s="812"/>
      <c r="L94" s="813"/>
    </row>
    <row r="95" spans="1:12" ht="15.5" x14ac:dyDescent="0.2">
      <c r="A95" s="393" t="s">
        <v>140</v>
      </c>
      <c r="B95" s="629" t="s">
        <v>501</v>
      </c>
      <c r="C95" s="371" t="s">
        <v>142</v>
      </c>
      <c r="D95" s="380" t="s">
        <v>0</v>
      </c>
      <c r="E95" s="776">
        <f>入門編_計算シート!L60*1000000</f>
        <v>0</v>
      </c>
      <c r="F95" s="762"/>
      <c r="G95" s="729"/>
      <c r="H95" s="729"/>
      <c r="I95" s="729"/>
      <c r="J95" s="729"/>
      <c r="K95" s="742"/>
      <c r="L95" s="808"/>
    </row>
    <row r="96" spans="1:12" ht="15.5" x14ac:dyDescent="0.2">
      <c r="A96" s="370" t="s">
        <v>141</v>
      </c>
      <c r="B96" s="629" t="s">
        <v>546</v>
      </c>
      <c r="C96" s="371" t="s">
        <v>142</v>
      </c>
      <c r="D96" s="380" t="s">
        <v>0</v>
      </c>
      <c r="E96" s="776">
        <f>入門編_計算シート!L61*1000000</f>
        <v>0</v>
      </c>
      <c r="F96" s="763"/>
      <c r="G96" s="730"/>
      <c r="H96" s="730"/>
      <c r="I96" s="730"/>
      <c r="J96" s="730"/>
      <c r="K96" s="743"/>
      <c r="L96" s="718"/>
    </row>
    <row r="97" spans="1:12" ht="15.5" x14ac:dyDescent="0.2">
      <c r="A97" s="395"/>
      <c r="B97" s="367"/>
      <c r="C97" s="367" t="s">
        <v>143</v>
      </c>
      <c r="D97" s="368" t="s">
        <v>145</v>
      </c>
      <c r="E97" s="776">
        <f>入門編_計算シート!L63</f>
        <v>20</v>
      </c>
      <c r="F97" s="762"/>
      <c r="G97" s="729"/>
      <c r="H97" s="729"/>
      <c r="I97" s="729"/>
      <c r="J97" s="729"/>
      <c r="K97" s="742"/>
      <c r="L97" s="718"/>
    </row>
    <row r="98" spans="1:12" ht="15.5" x14ac:dyDescent="0.2">
      <c r="A98" s="395"/>
      <c r="B98" s="371"/>
      <c r="C98" s="371" t="s">
        <v>144</v>
      </c>
      <c r="D98" s="380" t="s">
        <v>176</v>
      </c>
      <c r="E98" s="781">
        <f>入門編_計算シート!L62</f>
        <v>0.01</v>
      </c>
      <c r="F98" s="763"/>
      <c r="G98" s="730"/>
      <c r="H98" s="730"/>
      <c r="I98" s="730"/>
      <c r="J98" s="730"/>
      <c r="K98" s="743"/>
      <c r="L98" s="720"/>
    </row>
    <row r="99" spans="1:12" ht="15.5" x14ac:dyDescent="0.2">
      <c r="A99" s="370" t="s">
        <v>146</v>
      </c>
      <c r="B99" s="629" t="s">
        <v>547</v>
      </c>
      <c r="C99" s="371" t="s">
        <v>142</v>
      </c>
      <c r="D99" s="380" t="s">
        <v>0</v>
      </c>
      <c r="E99" s="776">
        <f>入門編_計算シート!L64*1000000</f>
        <v>0</v>
      </c>
      <c r="F99" s="762"/>
      <c r="G99" s="729"/>
      <c r="H99" s="729"/>
      <c r="I99" s="729"/>
      <c r="J99" s="729"/>
      <c r="K99" s="742"/>
      <c r="L99" s="718"/>
    </row>
    <row r="100" spans="1:12" ht="15.5" x14ac:dyDescent="0.2">
      <c r="A100" s="395"/>
      <c r="B100" s="367"/>
      <c r="C100" s="367" t="s">
        <v>143</v>
      </c>
      <c r="D100" s="368" t="s">
        <v>145</v>
      </c>
      <c r="E100" s="776">
        <f>入門編_計算シート!L66</f>
        <v>20</v>
      </c>
      <c r="F100" s="763"/>
      <c r="G100" s="730"/>
      <c r="H100" s="730"/>
      <c r="I100" s="730"/>
      <c r="J100" s="730"/>
      <c r="K100" s="743"/>
      <c r="L100" s="718"/>
    </row>
    <row r="101" spans="1:12" ht="15.5" x14ac:dyDescent="0.2">
      <c r="A101" s="395"/>
      <c r="B101" s="371"/>
      <c r="C101" s="371" t="s">
        <v>144</v>
      </c>
      <c r="D101" s="380" t="s">
        <v>176</v>
      </c>
      <c r="E101" s="781">
        <f>入門編_計算シート!L65</f>
        <v>0.01</v>
      </c>
      <c r="F101" s="762"/>
      <c r="G101" s="729"/>
      <c r="H101" s="729"/>
      <c r="I101" s="729"/>
      <c r="J101" s="729"/>
      <c r="K101" s="742"/>
      <c r="L101" s="720"/>
    </row>
    <row r="102" spans="1:12" ht="15.5" x14ac:dyDescent="0.2">
      <c r="A102" s="370" t="s">
        <v>147</v>
      </c>
      <c r="B102" s="629" t="s">
        <v>414</v>
      </c>
      <c r="C102" s="371" t="s">
        <v>142</v>
      </c>
      <c r="D102" s="380" t="s">
        <v>0</v>
      </c>
      <c r="E102" s="776"/>
      <c r="F102" s="763"/>
      <c r="G102" s="730"/>
      <c r="H102" s="730"/>
      <c r="I102" s="730"/>
      <c r="J102" s="730"/>
      <c r="K102" s="743"/>
      <c r="L102" s="718"/>
    </row>
    <row r="103" spans="1:12" ht="15.5" x14ac:dyDescent="0.2">
      <c r="A103" s="395"/>
      <c r="B103" s="367"/>
      <c r="C103" s="367" t="s">
        <v>143</v>
      </c>
      <c r="D103" s="368" t="s">
        <v>145</v>
      </c>
      <c r="E103" s="776"/>
      <c r="F103" s="762"/>
      <c r="G103" s="729"/>
      <c r="H103" s="729"/>
      <c r="I103" s="729"/>
      <c r="J103" s="729"/>
      <c r="K103" s="742"/>
      <c r="L103" s="718"/>
    </row>
    <row r="104" spans="1:12" ht="15.5" x14ac:dyDescent="0.2">
      <c r="A104" s="395"/>
      <c r="B104" s="371"/>
      <c r="C104" s="371" t="s">
        <v>144</v>
      </c>
      <c r="D104" s="380" t="s">
        <v>176</v>
      </c>
      <c r="E104" s="781"/>
      <c r="F104" s="763"/>
      <c r="G104" s="730"/>
      <c r="H104" s="730"/>
      <c r="I104" s="730"/>
      <c r="J104" s="730"/>
      <c r="K104" s="743"/>
      <c r="L104" s="720"/>
    </row>
    <row r="105" spans="1:12" ht="15.5" x14ac:dyDescent="0.2">
      <c r="A105" s="370" t="s">
        <v>148</v>
      </c>
      <c r="B105" s="371"/>
      <c r="C105" s="371" t="s">
        <v>149</v>
      </c>
      <c r="D105" s="399" t="s">
        <v>177</v>
      </c>
      <c r="E105" s="760">
        <v>1.4E-2</v>
      </c>
      <c r="F105" s="762"/>
      <c r="G105" s="729"/>
      <c r="H105" s="729"/>
      <c r="I105" s="729"/>
      <c r="J105" s="729"/>
      <c r="K105" s="742"/>
      <c r="L105" s="721"/>
    </row>
    <row r="106" spans="1:12" ht="16" thickBot="1" x14ac:dyDescent="0.25">
      <c r="A106" s="400" t="s">
        <v>178</v>
      </c>
      <c r="B106" s="401"/>
      <c r="C106" s="402" t="s">
        <v>149</v>
      </c>
      <c r="D106" s="403" t="s">
        <v>175</v>
      </c>
      <c r="E106" s="761">
        <v>0.3</v>
      </c>
      <c r="F106" s="764"/>
      <c r="G106" s="765"/>
      <c r="H106" s="765"/>
      <c r="I106" s="765"/>
      <c r="J106" s="765"/>
      <c r="K106" s="766"/>
      <c r="L106" s="722"/>
    </row>
    <row r="107" spans="1:12" x14ac:dyDescent="0.2">
      <c r="L107" s="596"/>
    </row>
    <row r="108" spans="1:12" x14ac:dyDescent="0.2">
      <c r="A108" s="596"/>
    </row>
    <row r="109" spans="1:12" x14ac:dyDescent="0.2">
      <c r="A109" s="596"/>
    </row>
    <row r="110" spans="1:12" x14ac:dyDescent="0.2">
      <c r="A110" s="596"/>
    </row>
    <row r="189" spans="6:7" x14ac:dyDescent="0.2">
      <c r="F189" s="408"/>
      <c r="G189" s="408"/>
    </row>
    <row r="190" spans="6:7" x14ac:dyDescent="0.2">
      <c r="F190" s="408"/>
      <c r="G190" s="408"/>
    </row>
    <row r="191" spans="6:7" x14ac:dyDescent="0.2">
      <c r="F191" s="408"/>
      <c r="G191" s="408"/>
    </row>
  </sheetData>
  <sheetProtection password="B437" sheet="1" objects="1" scenarios="1"/>
  <mergeCells count="1">
    <mergeCell ref="F4:K4"/>
  </mergeCells>
  <phoneticPr fontId="4"/>
  <dataValidations count="1">
    <dataValidation type="list" allowBlank="1" showInputMessage="1" showErrorMessage="1" sqref="E4">
      <formula1>$N$4:$N$5</formula1>
    </dataValidation>
  </dataValidations>
  <pageMargins left="0.7" right="0.7" top="0.75" bottom="0.75" header="0.3" footer="0.3"/>
  <pageSetup paperSize="8" scale="6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170"/>
  <sheetViews>
    <sheetView workbookViewId="0"/>
  </sheetViews>
  <sheetFormatPr defaultRowHeight="13" x14ac:dyDescent="0.2"/>
  <cols>
    <col min="1" max="1" width="29.08984375" customWidth="1"/>
    <col min="2" max="2" width="14.7265625" customWidth="1"/>
    <col min="3" max="3" width="12.453125" customWidth="1"/>
    <col min="4" max="4" width="14.7265625" customWidth="1"/>
    <col min="5" max="5" width="15.453125" customWidth="1"/>
    <col min="6" max="6" width="17.26953125" customWidth="1"/>
    <col min="7" max="7" width="24" customWidth="1"/>
    <col min="8" max="8" width="10.7265625" customWidth="1"/>
    <col min="13" max="13" width="16.08984375" customWidth="1"/>
    <col min="14" max="14" width="16.90625" bestFit="1" customWidth="1"/>
    <col min="26" max="26" width="12.90625" customWidth="1"/>
  </cols>
  <sheetData>
    <row r="1" spans="1:12" x14ac:dyDescent="0.2">
      <c r="A1" t="s">
        <v>837</v>
      </c>
      <c r="B1" t="str">
        <f>入門編_計算シート!D3</f>
        <v>BTG</v>
      </c>
    </row>
    <row r="2" spans="1:12" x14ac:dyDescent="0.2">
      <c r="A2" s="1088" t="s">
        <v>745</v>
      </c>
      <c r="B2" s="1088"/>
      <c r="C2" s="1088"/>
      <c r="D2" s="1088"/>
      <c r="E2" s="1088"/>
      <c r="F2" s="1088"/>
      <c r="G2" s="1088"/>
      <c r="H2" s="1088"/>
      <c r="I2" s="1088"/>
    </row>
    <row r="3" spans="1:12" x14ac:dyDescent="0.2">
      <c r="A3" t="s">
        <v>890</v>
      </c>
      <c r="B3" t="s">
        <v>736</v>
      </c>
      <c r="C3" t="s">
        <v>737</v>
      </c>
    </row>
    <row r="4" spans="1:12" x14ac:dyDescent="0.2">
      <c r="A4" t="s">
        <v>746</v>
      </c>
      <c r="B4" s="1099">
        <v>0.25</v>
      </c>
      <c r="C4" s="1099">
        <v>0.45</v>
      </c>
    </row>
    <row r="5" spans="1:12" x14ac:dyDescent="0.2">
      <c r="A5" t="s">
        <v>767</v>
      </c>
      <c r="B5" s="1099">
        <v>0</v>
      </c>
      <c r="C5" s="1099">
        <v>0.9</v>
      </c>
    </row>
    <row r="6" spans="1:12" x14ac:dyDescent="0.2">
      <c r="A6" t="s">
        <v>747</v>
      </c>
      <c r="B6" s="1099">
        <v>0.2</v>
      </c>
      <c r="C6" s="1099">
        <v>0.5</v>
      </c>
    </row>
    <row r="8" spans="1:12" x14ac:dyDescent="0.2">
      <c r="B8" t="s">
        <v>736</v>
      </c>
      <c r="C8" t="s">
        <v>737</v>
      </c>
    </row>
    <row r="9" spans="1:12" x14ac:dyDescent="0.2">
      <c r="B9">
        <f>VLOOKUP($B$1,$A$3:$C$6,2,FALSE)</f>
        <v>0.2</v>
      </c>
    </row>
    <row r="11" spans="1:12" x14ac:dyDescent="0.2">
      <c r="A11" s="1088" t="s">
        <v>731</v>
      </c>
      <c r="B11" s="1088"/>
      <c r="C11" s="1088"/>
      <c r="D11" s="1088"/>
      <c r="E11" s="1088"/>
      <c r="F11" s="1088"/>
      <c r="G11" s="1088"/>
      <c r="H11" s="1088"/>
      <c r="I11" s="1088"/>
    </row>
    <row r="12" spans="1:12" x14ac:dyDescent="0.2">
      <c r="E12" t="s">
        <v>510</v>
      </c>
      <c r="F12" t="s">
        <v>732</v>
      </c>
      <c r="G12" t="s">
        <v>749</v>
      </c>
    </row>
    <row r="13" spans="1:12" x14ac:dyDescent="0.2">
      <c r="A13" t="s">
        <v>739</v>
      </c>
      <c r="B13" s="560">
        <f>入門編_計算シート!B27</f>
        <v>0</v>
      </c>
      <c r="C13" t="s">
        <v>741</v>
      </c>
      <c r="E13" t="s">
        <v>728</v>
      </c>
      <c r="F13" t="s">
        <v>733</v>
      </c>
      <c r="G13" t="s">
        <v>750</v>
      </c>
      <c r="H13" t="s">
        <v>729</v>
      </c>
    </row>
    <row r="14" spans="1:12" x14ac:dyDescent="0.2">
      <c r="A14" t="s">
        <v>740</v>
      </c>
      <c r="B14" s="560">
        <f>入門編_計算シート!B29*3.6</f>
        <v>0</v>
      </c>
      <c r="C14" t="s">
        <v>724</v>
      </c>
      <c r="D14" t="s">
        <v>716</v>
      </c>
      <c r="E14" s="94">
        <f>入門編_計算シート!G26/100</f>
        <v>0.4</v>
      </c>
      <c r="F14" s="1012">
        <f t="shared" ref="F14:F19" si="0">-21.317*E14+18.812</f>
        <v>10.285200000000001</v>
      </c>
      <c r="G14" s="820">
        <f t="shared" ref="G14:G19" si="1">$B$23/F14</f>
        <v>0</v>
      </c>
      <c r="H14" s="820">
        <f t="shared" ref="H14:H19" si="2">G14*24/1000</f>
        <v>0</v>
      </c>
      <c r="I14" s="820"/>
    </row>
    <row r="15" spans="1:12" x14ac:dyDescent="0.2">
      <c r="D15" t="s">
        <v>709</v>
      </c>
      <c r="E15" s="94">
        <f>入門編_計算シート!G27/100</f>
        <v>0.35</v>
      </c>
      <c r="F15" s="1012">
        <f t="shared" si="0"/>
        <v>11.351050000000001</v>
      </c>
      <c r="G15" s="820">
        <f t="shared" si="1"/>
        <v>0</v>
      </c>
      <c r="H15" s="820">
        <f t="shared" si="2"/>
        <v>0</v>
      </c>
      <c r="I15" s="820"/>
    </row>
    <row r="16" spans="1:12" x14ac:dyDescent="0.2">
      <c r="A16" t="s">
        <v>835</v>
      </c>
      <c r="B16" s="94">
        <f>IF(B1=A6,IF(B13&lt;1000,H28,IF(B13&lt;5000,H29,IF(B13&lt;10000,H30,H31))),VLOOKUP(B1,A4:B6,2,FALSE))</f>
        <v>0.1</v>
      </c>
      <c r="D16" t="s">
        <v>710</v>
      </c>
      <c r="E16" s="94">
        <f>入門編_計算シート!G28/100</f>
        <v>0.25</v>
      </c>
      <c r="F16" s="1012">
        <f t="shared" si="0"/>
        <v>13.482750000000001</v>
      </c>
      <c r="G16" s="820">
        <f t="shared" si="1"/>
        <v>0</v>
      </c>
      <c r="H16" s="820">
        <f t="shared" si="2"/>
        <v>0</v>
      </c>
      <c r="I16" s="820"/>
      <c r="K16" s="1012"/>
      <c r="L16" s="599"/>
    </row>
    <row r="17" spans="1:12" x14ac:dyDescent="0.2">
      <c r="A17" t="s">
        <v>836</v>
      </c>
      <c r="B17" s="94">
        <f>VLOOKUP($B$1,$A$3:$C$6,3,FALSE)</f>
        <v>0.5</v>
      </c>
      <c r="D17" t="s">
        <v>711</v>
      </c>
      <c r="E17" s="94">
        <f>入門編_計算シート!G29/100</f>
        <v>0.5</v>
      </c>
      <c r="F17" s="1012">
        <f t="shared" si="0"/>
        <v>8.1535000000000011</v>
      </c>
      <c r="G17" s="820">
        <f t="shared" si="1"/>
        <v>0</v>
      </c>
      <c r="H17" s="820">
        <f t="shared" si="2"/>
        <v>0</v>
      </c>
      <c r="I17" s="820"/>
      <c r="K17" s="1012"/>
      <c r="L17" s="599"/>
    </row>
    <row r="18" spans="1:12" x14ac:dyDescent="0.2">
      <c r="D18" t="s">
        <v>714</v>
      </c>
      <c r="E18" s="94">
        <f>入門編_計算シート!G30/100</f>
        <v>0.1</v>
      </c>
      <c r="F18" s="1012">
        <f t="shared" si="0"/>
        <v>16.680300000000003</v>
      </c>
      <c r="G18" s="820">
        <f t="shared" si="1"/>
        <v>0</v>
      </c>
      <c r="H18" s="820">
        <f t="shared" si="2"/>
        <v>0</v>
      </c>
      <c r="I18" s="820"/>
      <c r="K18" s="1012"/>
      <c r="L18" s="599"/>
    </row>
    <row r="19" spans="1:12" x14ac:dyDescent="0.2">
      <c r="A19" t="s">
        <v>742</v>
      </c>
      <c r="D19" t="s">
        <v>751</v>
      </c>
      <c r="E19" s="94">
        <f>入門編_計算シート!G31/100</f>
        <v>0</v>
      </c>
      <c r="F19" s="1012">
        <f t="shared" si="0"/>
        <v>18.812000000000001</v>
      </c>
      <c r="G19" s="820">
        <f t="shared" si="1"/>
        <v>0</v>
      </c>
      <c r="H19" s="820">
        <f t="shared" si="2"/>
        <v>0</v>
      </c>
      <c r="I19" s="820"/>
      <c r="K19" s="1012"/>
      <c r="L19" s="599"/>
    </row>
    <row r="20" spans="1:12" x14ac:dyDescent="0.2">
      <c r="A20" t="s">
        <v>743</v>
      </c>
      <c r="B20">
        <f>IFERROR(B13/B16*3.6,0)</f>
        <v>0</v>
      </c>
      <c r="C20" t="s">
        <v>724</v>
      </c>
      <c r="D20" t="s">
        <v>735</v>
      </c>
      <c r="E20" s="560"/>
      <c r="F20" s="560"/>
      <c r="H20" s="560"/>
      <c r="I20" s="560"/>
      <c r="K20" s="1012"/>
      <c r="L20" s="599"/>
    </row>
    <row r="21" spans="1:12" x14ac:dyDescent="0.2">
      <c r="A21" t="s">
        <v>744</v>
      </c>
      <c r="B21">
        <f>IFERROR(B14/B17,0)</f>
        <v>0</v>
      </c>
      <c r="C21" t="s">
        <v>724</v>
      </c>
      <c r="E21" s="560"/>
      <c r="F21" s="560"/>
      <c r="G21" s="820"/>
      <c r="H21" s="560"/>
      <c r="I21" s="560"/>
      <c r="K21" s="1012"/>
      <c r="L21" s="599"/>
    </row>
    <row r="22" spans="1:12" x14ac:dyDescent="0.2">
      <c r="A22" t="s">
        <v>742</v>
      </c>
      <c r="E22" s="560"/>
      <c r="F22" s="560"/>
      <c r="H22" s="560"/>
      <c r="I22" s="560"/>
      <c r="K22" s="1012"/>
      <c r="L22" s="599"/>
    </row>
    <row r="23" spans="1:12" x14ac:dyDescent="0.2">
      <c r="A23" t="s">
        <v>748</v>
      </c>
      <c r="B23">
        <f>MAX(B20:B21)</f>
        <v>0</v>
      </c>
      <c r="C23" t="s">
        <v>724</v>
      </c>
      <c r="E23" s="560"/>
      <c r="F23" s="560"/>
      <c r="H23" s="560"/>
      <c r="I23" s="560"/>
      <c r="K23" s="1012"/>
      <c r="L23" s="599"/>
    </row>
    <row r="24" spans="1:12" x14ac:dyDescent="0.2">
      <c r="G24" s="560"/>
      <c r="H24" s="560"/>
      <c r="I24" s="560"/>
      <c r="J24" s="560"/>
      <c r="K24" s="1012"/>
      <c r="L24" s="599"/>
    </row>
    <row r="25" spans="1:12" x14ac:dyDescent="0.2">
      <c r="A25" s="1088" t="s">
        <v>738</v>
      </c>
      <c r="B25" s="1087"/>
      <c r="C25" s="1087"/>
      <c r="D25" s="1087"/>
      <c r="E25" s="1087"/>
      <c r="F25" s="1087"/>
      <c r="G25" s="1091"/>
      <c r="H25" s="1087"/>
      <c r="I25" s="1087"/>
      <c r="J25" s="968"/>
      <c r="K25" s="968"/>
      <c r="L25" s="968"/>
    </row>
    <row r="26" spans="1:12" x14ac:dyDescent="0.2">
      <c r="B26" t="s">
        <v>989</v>
      </c>
      <c r="C26" t="s">
        <v>510</v>
      </c>
      <c r="D26" t="s">
        <v>732</v>
      </c>
      <c r="E26" t="s">
        <v>734</v>
      </c>
      <c r="F26" s="968"/>
      <c r="G26" s="1090"/>
      <c r="H26" s="968"/>
      <c r="I26" s="968"/>
      <c r="J26" s="968"/>
      <c r="K26" s="968"/>
      <c r="L26" s="968"/>
    </row>
    <row r="27" spans="1:12" x14ac:dyDescent="0.2">
      <c r="B27" t="s">
        <v>729</v>
      </c>
      <c r="C27" t="s">
        <v>728</v>
      </c>
      <c r="D27" t="s">
        <v>733</v>
      </c>
      <c r="F27" s="968"/>
      <c r="G27" t="s">
        <v>830</v>
      </c>
      <c r="I27" s="968" t="s">
        <v>838</v>
      </c>
      <c r="J27" s="968" t="s">
        <v>839</v>
      </c>
      <c r="K27" s="968"/>
      <c r="L27" s="968"/>
    </row>
    <row r="28" spans="1:12" x14ac:dyDescent="0.2">
      <c r="A28" t="s">
        <v>716</v>
      </c>
      <c r="B28" s="560">
        <f>入門編_計算シート!C7</f>
        <v>50</v>
      </c>
      <c r="C28">
        <f>入門編_計算シート!E7/100</f>
        <v>0.4</v>
      </c>
      <c r="D28" s="599">
        <f t="shared" ref="D28:D33" si="3">-21.317*C28+18.812</f>
        <v>10.285200000000001</v>
      </c>
      <c r="E28" s="198">
        <f>B28/入門編_計算シート!$C$52*1000*D28</f>
        <v>21427.500000000004</v>
      </c>
      <c r="F28" s="1089"/>
      <c r="G28" t="s">
        <v>831</v>
      </c>
      <c r="H28" s="197">
        <v>0.1</v>
      </c>
      <c r="I28" s="1090">
        <f>$E$34*H28/3.6</f>
        <v>5276.71875</v>
      </c>
      <c r="J28" s="968" t="str">
        <f>IF(I28&lt;L28,"○","×")</f>
        <v>×</v>
      </c>
      <c r="K28" s="592">
        <f>IF(J28="○",H28,0)</f>
        <v>0</v>
      </c>
      <c r="L28" s="968">
        <v>1000</v>
      </c>
    </row>
    <row r="29" spans="1:12" x14ac:dyDescent="0.2">
      <c r="A29" t="s">
        <v>709</v>
      </c>
      <c r="B29" s="560">
        <f>入門編_計算シート!C8</f>
        <v>0</v>
      </c>
      <c r="C29">
        <f>入門編_計算シート!E8/100</f>
        <v>0.35</v>
      </c>
      <c r="D29" s="599">
        <f t="shared" si="3"/>
        <v>11.351050000000001</v>
      </c>
      <c r="E29" s="198">
        <f>B29/入門編_計算シート!$C$52*1000*D29</f>
        <v>0</v>
      </c>
      <c r="F29" s="1012"/>
      <c r="G29" t="s">
        <v>834</v>
      </c>
      <c r="H29" s="197">
        <v>0.15</v>
      </c>
      <c r="I29" s="1090">
        <f>$E$34*H29/3.6</f>
        <v>7915.078125</v>
      </c>
      <c r="J29" s="968" t="str">
        <f>IF(I29&lt;L29,"○","×")</f>
        <v>×</v>
      </c>
      <c r="K29" s="592">
        <f>IF(J29="○",H29,0)</f>
        <v>0</v>
      </c>
      <c r="L29">
        <v>5000</v>
      </c>
    </row>
    <row r="30" spans="1:12" x14ac:dyDescent="0.2">
      <c r="A30" t="s">
        <v>710</v>
      </c>
      <c r="B30" s="560">
        <f>入門編_計算シート!C9</f>
        <v>300</v>
      </c>
      <c r="C30">
        <f>入門編_計算シート!E9/100</f>
        <v>0.25</v>
      </c>
      <c r="D30" s="599">
        <f t="shared" si="3"/>
        <v>13.482750000000001</v>
      </c>
      <c r="E30" s="198">
        <f>B30/入門編_計算シート!$C$52*1000*D30</f>
        <v>168534.375</v>
      </c>
      <c r="F30" s="1012"/>
      <c r="G30" t="s">
        <v>832</v>
      </c>
      <c r="H30" s="197">
        <v>0.2</v>
      </c>
      <c r="I30" s="1090">
        <f>$E$34*H30/3.6</f>
        <v>10553.4375</v>
      </c>
      <c r="J30" s="968" t="str">
        <f>IF(I30&lt;L30,"○","×")</f>
        <v>×</v>
      </c>
      <c r="K30" s="592">
        <f>IF(J30="○",H30,0)</f>
        <v>0</v>
      </c>
      <c r="L30">
        <v>10000</v>
      </c>
    </row>
    <row r="31" spans="1:12" x14ac:dyDescent="0.2">
      <c r="A31" t="s">
        <v>711</v>
      </c>
      <c r="B31" s="560">
        <f>入門編_計算シート!C10</f>
        <v>0</v>
      </c>
      <c r="C31">
        <f>入門編_計算シート!E10/100</f>
        <v>0.5</v>
      </c>
      <c r="D31" s="599">
        <f t="shared" si="3"/>
        <v>8.1535000000000011</v>
      </c>
      <c r="E31" s="198">
        <f>B31/入門編_計算シート!$C$52*1000*D31</f>
        <v>0</v>
      </c>
      <c r="F31" s="1012"/>
      <c r="G31" t="s">
        <v>833</v>
      </c>
      <c r="H31" s="197">
        <v>0.25</v>
      </c>
      <c r="I31" s="1090">
        <f>$E$34*H31/3.6</f>
        <v>13191.796875</v>
      </c>
      <c r="J31" s="968" t="str">
        <f>IF(I31&gt;L30,"○","×")</f>
        <v>○</v>
      </c>
      <c r="K31" s="592">
        <f>IF(J31="○",H31,0)</f>
        <v>0.25</v>
      </c>
    </row>
    <row r="32" spans="1:12" x14ac:dyDescent="0.2">
      <c r="A32" t="s">
        <v>714</v>
      </c>
      <c r="B32" s="560">
        <f>入門編_計算シート!C11</f>
        <v>0</v>
      </c>
      <c r="C32">
        <f>入門編_計算シート!E11/100</f>
        <v>0.1</v>
      </c>
      <c r="D32" s="599">
        <f t="shared" si="3"/>
        <v>16.680300000000003</v>
      </c>
      <c r="E32" s="198">
        <f>B32/入門編_計算シート!$C$52*1000*D32</f>
        <v>0</v>
      </c>
      <c r="F32" s="1012"/>
      <c r="G32" s="599"/>
    </row>
    <row r="33" spans="1:8" x14ac:dyDescent="0.2">
      <c r="B33" s="560">
        <f>入門編_計算シート!C12</f>
        <v>0</v>
      </c>
      <c r="C33">
        <f>入門編_計算シート!E12/100</f>
        <v>0</v>
      </c>
      <c r="D33" s="599">
        <f t="shared" si="3"/>
        <v>18.812000000000001</v>
      </c>
      <c r="E33" s="198">
        <f>B33/入門編_計算シート!$C$52*1000*D33</f>
        <v>0</v>
      </c>
      <c r="F33" s="1012"/>
      <c r="G33" s="599">
        <f>D30*1000/1000</f>
        <v>13.482750000000001</v>
      </c>
      <c r="H33" t="s">
        <v>1040</v>
      </c>
    </row>
    <row r="34" spans="1:8" x14ac:dyDescent="0.2">
      <c r="A34" t="s">
        <v>735</v>
      </c>
      <c r="B34" s="560">
        <f>SUM(B28:B33)</f>
        <v>350</v>
      </c>
      <c r="C34" s="560"/>
      <c r="D34" s="560">
        <f>SUM(D28:D33)</f>
        <v>78.764800000000008</v>
      </c>
      <c r="E34" s="198">
        <f>SUM(E28:E33)</f>
        <v>189961.875</v>
      </c>
      <c r="F34" s="1012"/>
      <c r="G34" s="599">
        <v>3000</v>
      </c>
    </row>
    <row r="35" spans="1:8" x14ac:dyDescent="0.2">
      <c r="B35" s="560"/>
      <c r="C35" s="560"/>
      <c r="D35" s="560"/>
      <c r="E35" s="560"/>
      <c r="F35" s="1012"/>
      <c r="G35" s="599">
        <f>G34/G33</f>
        <v>222.50653612949878</v>
      </c>
    </row>
    <row r="36" spans="1:8" x14ac:dyDescent="0.2">
      <c r="B36" s="560"/>
      <c r="C36" s="560" t="s">
        <v>736</v>
      </c>
      <c r="D36" s="94">
        <f>IF(B1=A6,MAX(K28:K31),VLOOKUP(B1,$A$4:$B$6,2,FALSE))</f>
        <v>0.25</v>
      </c>
      <c r="E36" s="560">
        <f>E34*D36/3.6</f>
        <v>13191.796875</v>
      </c>
      <c r="F36" s="1012" t="s">
        <v>815</v>
      </c>
      <c r="G36" s="599"/>
    </row>
    <row r="37" spans="1:8" x14ac:dyDescent="0.2">
      <c r="B37" s="560"/>
      <c r="C37" s="560" t="s">
        <v>737</v>
      </c>
      <c r="D37" s="94">
        <f>B17</f>
        <v>0.5</v>
      </c>
      <c r="E37" s="560">
        <f>E34*D37</f>
        <v>94980.9375</v>
      </c>
      <c r="F37" s="1012" t="s">
        <v>816</v>
      </c>
      <c r="G37" s="599"/>
    </row>
    <row r="38" spans="1:8" x14ac:dyDescent="0.2">
      <c r="B38" s="560"/>
      <c r="C38" s="560"/>
      <c r="D38" s="94"/>
      <c r="E38" s="560"/>
      <c r="F38" s="1012"/>
      <c r="G38" s="599"/>
    </row>
    <row r="39" spans="1:8" x14ac:dyDescent="0.2">
      <c r="B39" t="s">
        <v>989</v>
      </c>
      <c r="C39" t="s">
        <v>510</v>
      </c>
      <c r="D39" t="s">
        <v>732</v>
      </c>
      <c r="E39" t="s">
        <v>734</v>
      </c>
      <c r="F39" s="968"/>
      <c r="G39" s="599"/>
    </row>
    <row r="40" spans="1:8" x14ac:dyDescent="0.2">
      <c r="B40" t="s">
        <v>729</v>
      </c>
      <c r="C40" t="s">
        <v>728</v>
      </c>
      <c r="D40" t="s">
        <v>726</v>
      </c>
      <c r="F40" s="968"/>
      <c r="G40" s="599"/>
    </row>
    <row r="41" spans="1:8" x14ac:dyDescent="0.2">
      <c r="A41" t="s">
        <v>716</v>
      </c>
      <c r="B41" s="560">
        <f>入門編_計算シート!E58</f>
        <v>50</v>
      </c>
      <c r="C41">
        <f>入門編_計算シート!E7/100</f>
        <v>0.4</v>
      </c>
      <c r="D41" s="599">
        <f t="shared" ref="D41:D46" si="4">-21.317*C28+18.812</f>
        <v>10.285200000000001</v>
      </c>
      <c r="E41" s="198">
        <f>B41/入門編_計算シート!$C$52*1000*D41</f>
        <v>21427.500000000004</v>
      </c>
      <c r="F41" s="1089"/>
      <c r="G41" s="599"/>
    </row>
    <row r="42" spans="1:8" x14ac:dyDescent="0.2">
      <c r="A42" t="s">
        <v>709</v>
      </c>
      <c r="B42" s="560">
        <f>入門編_計算シート!E59</f>
        <v>0</v>
      </c>
      <c r="C42">
        <f>入門編_計算シート!E8/100</f>
        <v>0.35</v>
      </c>
      <c r="D42" s="599">
        <f t="shared" si="4"/>
        <v>11.351050000000001</v>
      </c>
      <c r="E42" s="198">
        <f>B42/入門編_計算シート!$C$52*1000*D42</f>
        <v>0</v>
      </c>
      <c r="F42" s="1012"/>
      <c r="G42" s="599"/>
    </row>
    <row r="43" spans="1:8" x14ac:dyDescent="0.2">
      <c r="A43" t="s">
        <v>710</v>
      </c>
      <c r="B43" s="560">
        <f>入門編_計算シート!E60</f>
        <v>300</v>
      </c>
      <c r="C43">
        <f>入門編_計算シート!E9/100</f>
        <v>0.25</v>
      </c>
      <c r="D43" s="599">
        <f t="shared" si="4"/>
        <v>13.482750000000001</v>
      </c>
      <c r="E43" s="198">
        <f>B43/入門編_計算シート!$C$52*1000*D43</f>
        <v>168534.375</v>
      </c>
      <c r="F43" s="1012"/>
      <c r="G43" s="599"/>
    </row>
    <row r="44" spans="1:8" x14ac:dyDescent="0.2">
      <c r="A44" t="s">
        <v>711</v>
      </c>
      <c r="B44" s="560">
        <f>入門編_計算シート!E61</f>
        <v>0</v>
      </c>
      <c r="C44">
        <f>入門編_計算シート!E10/100</f>
        <v>0.5</v>
      </c>
      <c r="D44" s="599">
        <f t="shared" si="4"/>
        <v>8.1535000000000011</v>
      </c>
      <c r="E44" s="198">
        <f>B44/入門編_計算シート!$C$52*1000*D44</f>
        <v>0</v>
      </c>
      <c r="F44" s="1012"/>
      <c r="G44" s="599"/>
    </row>
    <row r="45" spans="1:8" x14ac:dyDescent="0.2">
      <c r="A45" t="s">
        <v>714</v>
      </c>
      <c r="B45" s="560">
        <f>入門編_計算シート!E62</f>
        <v>0</v>
      </c>
      <c r="C45">
        <f>入門編_計算シート!E11/100</f>
        <v>0.1</v>
      </c>
      <c r="D45" s="599">
        <f t="shared" si="4"/>
        <v>16.680300000000003</v>
      </c>
      <c r="E45" s="198">
        <f>B45/入門編_計算シート!$C$52*1000*D45</f>
        <v>0</v>
      </c>
      <c r="F45" s="1012"/>
      <c r="G45" s="599"/>
    </row>
    <row r="46" spans="1:8" x14ac:dyDescent="0.2">
      <c r="B46" s="560">
        <f>入門編_計算シート!C25</f>
        <v>0</v>
      </c>
      <c r="C46">
        <f>入門編_計算シート!E12/100</f>
        <v>0</v>
      </c>
      <c r="D46" s="599">
        <f t="shared" si="4"/>
        <v>18.812000000000001</v>
      </c>
      <c r="E46" s="198">
        <f>B46/入門編_計算シート!$C$52*1000*D46</f>
        <v>0</v>
      </c>
      <c r="F46" s="1012"/>
      <c r="G46" s="599"/>
    </row>
    <row r="47" spans="1:8" x14ac:dyDescent="0.2">
      <c r="A47" t="s">
        <v>69</v>
      </c>
      <c r="B47" s="560">
        <f>SUM(B41:B46)</f>
        <v>350</v>
      </c>
      <c r="C47" s="560"/>
      <c r="D47" s="560">
        <f>SUM(D41:D46)</f>
        <v>78.764800000000008</v>
      </c>
      <c r="E47" s="198">
        <f>SUM(E41:E46)</f>
        <v>189961.875</v>
      </c>
      <c r="F47" s="1012"/>
      <c r="G47" s="599"/>
    </row>
    <row r="48" spans="1:8" x14ac:dyDescent="0.2">
      <c r="B48" s="560"/>
      <c r="C48" s="560"/>
      <c r="D48" s="94"/>
      <c r="E48" s="560"/>
      <c r="F48" s="1012"/>
      <c r="G48" s="599"/>
    </row>
    <row r="49" spans="1:13" x14ac:dyDescent="0.2">
      <c r="B49" s="560"/>
      <c r="C49" s="560"/>
      <c r="D49" s="94"/>
      <c r="E49" s="560"/>
      <c r="F49" s="1012"/>
      <c r="G49" s="599"/>
    </row>
    <row r="50" spans="1:13" x14ac:dyDescent="0.2">
      <c r="A50" s="1088" t="s">
        <v>752</v>
      </c>
      <c r="B50" s="1092"/>
      <c r="C50" s="1088"/>
      <c r="D50" s="1088"/>
      <c r="E50" s="1093"/>
      <c r="F50" s="1094"/>
      <c r="G50" s="1095"/>
      <c r="H50" s="1088"/>
      <c r="I50" s="1088"/>
    </row>
    <row r="51" spans="1:13" x14ac:dyDescent="0.2">
      <c r="A51" t="s">
        <v>717</v>
      </c>
    </row>
    <row r="52" spans="1:13" x14ac:dyDescent="0.2">
      <c r="B52" t="s">
        <v>718</v>
      </c>
      <c r="D52" t="s">
        <v>721</v>
      </c>
      <c r="F52" t="s">
        <v>723</v>
      </c>
      <c r="H52" t="s">
        <v>718</v>
      </c>
      <c r="J52" t="s">
        <v>721</v>
      </c>
      <c r="L52" t="s">
        <v>723</v>
      </c>
    </row>
    <row r="53" spans="1:13" x14ac:dyDescent="0.2">
      <c r="A53" t="s">
        <v>722</v>
      </c>
      <c r="B53" t="s">
        <v>719</v>
      </c>
      <c r="C53" t="s">
        <v>720</v>
      </c>
      <c r="D53" t="s">
        <v>719</v>
      </c>
      <c r="E53" t="s">
        <v>720</v>
      </c>
      <c r="F53" t="s">
        <v>719</v>
      </c>
      <c r="G53" t="s">
        <v>720</v>
      </c>
      <c r="H53" t="s">
        <v>719</v>
      </c>
      <c r="I53" t="s">
        <v>720</v>
      </c>
      <c r="J53" t="s">
        <v>719</v>
      </c>
      <c r="K53" t="s">
        <v>720</v>
      </c>
      <c r="L53" t="s">
        <v>719</v>
      </c>
      <c r="M53" t="s">
        <v>720</v>
      </c>
    </row>
    <row r="54" spans="1:13" x14ac:dyDescent="0.2">
      <c r="A54" s="197">
        <v>0</v>
      </c>
      <c r="B54" s="198">
        <v>4940</v>
      </c>
      <c r="C54" s="198">
        <v>4620</v>
      </c>
      <c r="D54" s="198">
        <v>4700</v>
      </c>
      <c r="E54" s="198">
        <v>4380</v>
      </c>
      <c r="F54" s="198">
        <f>AVERAGE(D54,B54)</f>
        <v>4820</v>
      </c>
      <c r="G54" s="198">
        <f>AVERAGE(E54,C54)</f>
        <v>4500</v>
      </c>
      <c r="H54" s="599">
        <f>B54/239</f>
        <v>20.669456066945607</v>
      </c>
      <c r="I54" s="599">
        <f t="shared" ref="I54:I67" si="5">C54/239</f>
        <v>19.330543933054393</v>
      </c>
      <c r="J54" s="599">
        <f t="shared" ref="J54:J67" si="6">D54/239</f>
        <v>19.665271966527197</v>
      </c>
      <c r="K54" s="599">
        <f t="shared" ref="K54:K67" si="7">E54/239</f>
        <v>18.326359832635983</v>
      </c>
      <c r="L54" s="599">
        <f t="shared" ref="L54:L67" si="8">F54/239</f>
        <v>20.167364016736403</v>
      </c>
      <c r="M54" s="599">
        <f t="shared" ref="M54:M67" si="9">G54/239</f>
        <v>18.828451882845187</v>
      </c>
    </row>
    <row r="55" spans="1:13" x14ac:dyDescent="0.2">
      <c r="A55" s="197">
        <v>0.05</v>
      </c>
      <c r="B55" s="198">
        <v>4690</v>
      </c>
      <c r="C55" s="198">
        <v>4360</v>
      </c>
      <c r="D55" s="198">
        <v>4470</v>
      </c>
      <c r="E55" s="198">
        <v>4130</v>
      </c>
      <c r="F55" s="198">
        <f t="shared" ref="F55:F67" si="10">AVERAGE(D55,B55)</f>
        <v>4580</v>
      </c>
      <c r="G55" s="198">
        <f t="shared" ref="G55:G67" si="11">AVERAGE(E55,C55)</f>
        <v>4245</v>
      </c>
      <c r="H55" s="599">
        <f t="shared" ref="H55:H67" si="12">B55/239</f>
        <v>19.623430962343097</v>
      </c>
      <c r="I55" s="599">
        <f t="shared" si="5"/>
        <v>18.242677824267783</v>
      </c>
      <c r="J55" s="599">
        <f t="shared" si="6"/>
        <v>18.702928870292887</v>
      </c>
      <c r="K55" s="599">
        <f t="shared" si="7"/>
        <v>17.280334728033473</v>
      </c>
      <c r="L55" s="599">
        <f t="shared" si="8"/>
        <v>19.16317991631799</v>
      </c>
      <c r="M55" s="599">
        <f t="shared" si="9"/>
        <v>17.761506276150627</v>
      </c>
    </row>
    <row r="56" spans="1:13" x14ac:dyDescent="0.2">
      <c r="A56" s="197">
        <v>0.1</v>
      </c>
      <c r="B56" s="198">
        <v>4450</v>
      </c>
      <c r="C56" s="198">
        <v>4090</v>
      </c>
      <c r="D56" s="198">
        <v>4230</v>
      </c>
      <c r="E56" s="198">
        <v>3880</v>
      </c>
      <c r="F56" s="198">
        <f t="shared" si="10"/>
        <v>4340</v>
      </c>
      <c r="G56" s="198">
        <f t="shared" si="11"/>
        <v>3985</v>
      </c>
      <c r="H56" s="599">
        <f t="shared" si="12"/>
        <v>18.619246861924687</v>
      </c>
      <c r="I56" s="599">
        <f t="shared" si="5"/>
        <v>17.11297071129707</v>
      </c>
      <c r="J56" s="599">
        <f t="shared" si="6"/>
        <v>17.698744769874477</v>
      </c>
      <c r="K56" s="599">
        <f t="shared" si="7"/>
        <v>16.234309623430963</v>
      </c>
      <c r="L56" s="599">
        <f t="shared" si="8"/>
        <v>18.15899581589958</v>
      </c>
      <c r="M56" s="599">
        <f t="shared" si="9"/>
        <v>16.673640167364017</v>
      </c>
    </row>
    <row r="57" spans="1:13" x14ac:dyDescent="0.2">
      <c r="A57" s="197">
        <v>0.15</v>
      </c>
      <c r="B57" s="198">
        <v>4200</v>
      </c>
      <c r="C57" s="198">
        <v>3830</v>
      </c>
      <c r="D57" s="198">
        <v>4000</v>
      </c>
      <c r="E57" s="198">
        <v>3630</v>
      </c>
      <c r="F57" s="198">
        <f t="shared" si="10"/>
        <v>4100</v>
      </c>
      <c r="G57" s="198">
        <f t="shared" si="11"/>
        <v>3730</v>
      </c>
      <c r="H57" s="599">
        <f t="shared" si="12"/>
        <v>17.573221757322177</v>
      </c>
      <c r="I57" s="599">
        <f t="shared" si="5"/>
        <v>16.02510460251046</v>
      </c>
      <c r="J57" s="599">
        <f t="shared" si="6"/>
        <v>16.736401673640167</v>
      </c>
      <c r="K57" s="599">
        <f t="shared" si="7"/>
        <v>15.188284518828452</v>
      </c>
      <c r="L57" s="599">
        <f t="shared" si="8"/>
        <v>17.15481171548117</v>
      </c>
      <c r="M57" s="599">
        <f t="shared" si="9"/>
        <v>15.606694560669457</v>
      </c>
    </row>
    <row r="58" spans="1:13" x14ac:dyDescent="0.2">
      <c r="A58" s="197">
        <v>0.2</v>
      </c>
      <c r="B58" s="198">
        <v>3950</v>
      </c>
      <c r="C58" s="198">
        <v>3570</v>
      </c>
      <c r="D58" s="198">
        <v>3760</v>
      </c>
      <c r="E58" s="198">
        <v>3380</v>
      </c>
      <c r="F58" s="198">
        <f t="shared" si="10"/>
        <v>3855</v>
      </c>
      <c r="G58" s="198">
        <f t="shared" si="11"/>
        <v>3475</v>
      </c>
      <c r="H58" s="599">
        <f t="shared" si="12"/>
        <v>16.527196652719667</v>
      </c>
      <c r="I58" s="599">
        <f t="shared" si="5"/>
        <v>14.93723849372385</v>
      </c>
      <c r="J58" s="599">
        <f t="shared" si="6"/>
        <v>15.732217573221757</v>
      </c>
      <c r="K58" s="599">
        <f t="shared" si="7"/>
        <v>14.142259414225942</v>
      </c>
      <c r="L58" s="599">
        <f t="shared" si="8"/>
        <v>16.12970711297071</v>
      </c>
      <c r="M58" s="599">
        <f t="shared" si="9"/>
        <v>14.539748953974895</v>
      </c>
    </row>
    <row r="59" spans="1:13" x14ac:dyDescent="0.2">
      <c r="A59" s="197">
        <v>0.25</v>
      </c>
      <c r="B59" s="198">
        <v>3710</v>
      </c>
      <c r="C59" s="198">
        <v>3310</v>
      </c>
      <c r="D59" s="198">
        <v>3530</v>
      </c>
      <c r="E59" s="198">
        <v>3130</v>
      </c>
      <c r="F59" s="198">
        <f t="shared" si="10"/>
        <v>3620</v>
      </c>
      <c r="G59" s="198">
        <f t="shared" si="11"/>
        <v>3220</v>
      </c>
      <c r="H59" s="599">
        <f t="shared" si="12"/>
        <v>15.523012552301255</v>
      </c>
      <c r="I59" s="599">
        <f t="shared" si="5"/>
        <v>13.849372384937238</v>
      </c>
      <c r="J59" s="599">
        <f t="shared" si="6"/>
        <v>14.769874476987448</v>
      </c>
      <c r="K59" s="599">
        <f t="shared" si="7"/>
        <v>13.096234309623432</v>
      </c>
      <c r="L59" s="599">
        <f t="shared" si="8"/>
        <v>15.146443514644352</v>
      </c>
      <c r="M59" s="599">
        <f t="shared" si="9"/>
        <v>13.472803347280335</v>
      </c>
    </row>
    <row r="60" spans="1:13" x14ac:dyDescent="0.2">
      <c r="A60" s="197">
        <v>0.3</v>
      </c>
      <c r="B60" s="198">
        <v>3460</v>
      </c>
      <c r="C60" s="198">
        <v>3050</v>
      </c>
      <c r="D60" s="198">
        <v>3290</v>
      </c>
      <c r="E60" s="198">
        <v>2880</v>
      </c>
      <c r="F60" s="198">
        <f t="shared" si="10"/>
        <v>3375</v>
      </c>
      <c r="G60" s="198">
        <f t="shared" si="11"/>
        <v>2965</v>
      </c>
      <c r="H60" s="599">
        <f t="shared" si="12"/>
        <v>14.476987447698745</v>
      </c>
      <c r="I60" s="599">
        <f t="shared" si="5"/>
        <v>12.761506276150628</v>
      </c>
      <c r="J60" s="599">
        <f t="shared" si="6"/>
        <v>13.765690376569038</v>
      </c>
      <c r="K60" s="599">
        <f t="shared" si="7"/>
        <v>12.05020920502092</v>
      </c>
      <c r="L60" s="599">
        <f t="shared" si="8"/>
        <v>14.121338912133892</v>
      </c>
      <c r="M60" s="599">
        <f t="shared" si="9"/>
        <v>12.405857740585773</v>
      </c>
    </row>
    <row r="61" spans="1:13" x14ac:dyDescent="0.2">
      <c r="A61" s="197">
        <v>0.35</v>
      </c>
      <c r="B61" s="198">
        <v>3210</v>
      </c>
      <c r="C61" s="198">
        <v>2790</v>
      </c>
      <c r="D61" s="198">
        <v>3060</v>
      </c>
      <c r="E61" s="198">
        <v>2630</v>
      </c>
      <c r="F61" s="198">
        <f t="shared" si="10"/>
        <v>3135</v>
      </c>
      <c r="G61" s="198">
        <f t="shared" si="11"/>
        <v>2710</v>
      </c>
      <c r="H61" s="599">
        <f t="shared" si="12"/>
        <v>13.430962343096235</v>
      </c>
      <c r="I61" s="599">
        <f t="shared" si="5"/>
        <v>11.673640167364017</v>
      </c>
      <c r="J61" s="599">
        <f t="shared" si="6"/>
        <v>12.803347280334728</v>
      </c>
      <c r="K61" s="599">
        <f t="shared" si="7"/>
        <v>11.00418410041841</v>
      </c>
      <c r="L61" s="599">
        <f t="shared" si="8"/>
        <v>13.117154811715482</v>
      </c>
      <c r="M61" s="599">
        <f t="shared" si="9"/>
        <v>11.338912133891213</v>
      </c>
    </row>
    <row r="62" spans="1:13" x14ac:dyDescent="0.2">
      <c r="A62" s="197">
        <v>0.4</v>
      </c>
      <c r="B62" s="198">
        <v>2960</v>
      </c>
      <c r="C62" s="198">
        <v>2530</v>
      </c>
      <c r="D62" s="198">
        <v>2820</v>
      </c>
      <c r="E62" s="198">
        <v>2390</v>
      </c>
      <c r="F62" s="198">
        <f t="shared" si="10"/>
        <v>2890</v>
      </c>
      <c r="G62" s="198">
        <f t="shared" si="11"/>
        <v>2460</v>
      </c>
      <c r="H62" s="599">
        <f t="shared" si="12"/>
        <v>12.384937238493723</v>
      </c>
      <c r="I62" s="599">
        <f t="shared" si="5"/>
        <v>10.585774058577407</v>
      </c>
      <c r="J62" s="599">
        <f t="shared" si="6"/>
        <v>11.799163179916318</v>
      </c>
      <c r="K62" s="599">
        <f t="shared" si="7"/>
        <v>10</v>
      </c>
      <c r="L62" s="599">
        <f t="shared" si="8"/>
        <v>12.092050209205022</v>
      </c>
      <c r="M62" s="599">
        <f t="shared" si="9"/>
        <v>10.292887029288703</v>
      </c>
    </row>
    <row r="63" spans="1:13" x14ac:dyDescent="0.2">
      <c r="A63" s="197">
        <v>0.45</v>
      </c>
      <c r="B63" s="198">
        <v>2720</v>
      </c>
      <c r="C63" s="198">
        <v>2270</v>
      </c>
      <c r="D63" s="198">
        <v>2590</v>
      </c>
      <c r="E63" s="198">
        <v>2140</v>
      </c>
      <c r="F63" s="198">
        <f t="shared" si="10"/>
        <v>2655</v>
      </c>
      <c r="G63" s="198">
        <f t="shared" si="11"/>
        <v>2205</v>
      </c>
      <c r="H63" s="599">
        <f t="shared" si="12"/>
        <v>11.380753138075313</v>
      </c>
      <c r="I63" s="599">
        <f t="shared" si="5"/>
        <v>9.497907949790795</v>
      </c>
      <c r="J63" s="599">
        <f t="shared" si="6"/>
        <v>10.836820083682008</v>
      </c>
      <c r="K63" s="599">
        <f t="shared" si="7"/>
        <v>8.95397489539749</v>
      </c>
      <c r="L63" s="599">
        <f t="shared" si="8"/>
        <v>11.108786610878662</v>
      </c>
      <c r="M63" s="599">
        <f t="shared" si="9"/>
        <v>9.2259414225941416</v>
      </c>
    </row>
    <row r="64" spans="1:13" x14ac:dyDescent="0.2">
      <c r="A64" s="197">
        <v>0.5</v>
      </c>
      <c r="B64" s="198">
        <v>2470</v>
      </c>
      <c r="C64" s="198">
        <v>2010</v>
      </c>
      <c r="D64" s="198">
        <v>2350</v>
      </c>
      <c r="E64" s="198">
        <v>1890</v>
      </c>
      <c r="F64" s="198">
        <f t="shared" si="10"/>
        <v>2410</v>
      </c>
      <c r="G64" s="198">
        <f t="shared" si="11"/>
        <v>1950</v>
      </c>
      <c r="H64" s="599">
        <f t="shared" si="12"/>
        <v>10.334728033472803</v>
      </c>
      <c r="I64" s="599">
        <f t="shared" si="5"/>
        <v>8.4100418410041833</v>
      </c>
      <c r="J64" s="599">
        <f t="shared" si="6"/>
        <v>9.8326359832635983</v>
      </c>
      <c r="K64" s="599">
        <f t="shared" si="7"/>
        <v>7.9079497907949792</v>
      </c>
      <c r="L64" s="599">
        <f t="shared" si="8"/>
        <v>10.083682008368202</v>
      </c>
      <c r="M64" s="599">
        <f t="shared" si="9"/>
        <v>8.1589958158995817</v>
      </c>
    </row>
    <row r="65" spans="1:13" x14ac:dyDescent="0.2">
      <c r="A65" s="197">
        <v>0.55000000000000004</v>
      </c>
      <c r="B65" s="198">
        <v>2220</v>
      </c>
      <c r="C65" s="198">
        <v>1750</v>
      </c>
      <c r="D65" s="198">
        <v>2120</v>
      </c>
      <c r="E65" s="198">
        <v>1640</v>
      </c>
      <c r="F65" s="198">
        <f t="shared" si="10"/>
        <v>2170</v>
      </c>
      <c r="G65" s="198">
        <f t="shared" si="11"/>
        <v>1695</v>
      </c>
      <c r="H65" s="599">
        <f t="shared" si="12"/>
        <v>9.2887029288702934</v>
      </c>
      <c r="I65" s="599">
        <f t="shared" si="5"/>
        <v>7.3221757322175733</v>
      </c>
      <c r="J65" s="599">
        <f t="shared" si="6"/>
        <v>8.8702928870292883</v>
      </c>
      <c r="K65" s="599">
        <f t="shared" si="7"/>
        <v>6.8619246861924683</v>
      </c>
      <c r="L65" s="599">
        <f t="shared" si="8"/>
        <v>9.0794979079497899</v>
      </c>
      <c r="M65" s="599">
        <f t="shared" si="9"/>
        <v>7.0920502092050208</v>
      </c>
    </row>
    <row r="66" spans="1:13" x14ac:dyDescent="0.2">
      <c r="A66" s="197">
        <v>0.6</v>
      </c>
      <c r="B66" s="198">
        <v>1980</v>
      </c>
      <c r="C66" s="198">
        <v>1490</v>
      </c>
      <c r="D66" s="198">
        <v>1880</v>
      </c>
      <c r="E66" s="198">
        <v>1390</v>
      </c>
      <c r="F66" s="198">
        <f t="shared" si="10"/>
        <v>1930</v>
      </c>
      <c r="G66" s="198">
        <f t="shared" si="11"/>
        <v>1440</v>
      </c>
      <c r="H66" s="599">
        <f t="shared" si="12"/>
        <v>8.2845188284518834</v>
      </c>
      <c r="I66" s="599">
        <f t="shared" si="5"/>
        <v>6.2343096234309625</v>
      </c>
      <c r="J66" s="599">
        <f t="shared" si="6"/>
        <v>7.8661087866108783</v>
      </c>
      <c r="K66" s="599">
        <f t="shared" si="7"/>
        <v>5.8158995815899583</v>
      </c>
      <c r="L66" s="599">
        <f t="shared" si="8"/>
        <v>8.07531380753138</v>
      </c>
      <c r="M66" s="599">
        <f t="shared" si="9"/>
        <v>6.02510460251046</v>
      </c>
    </row>
    <row r="67" spans="1:13" x14ac:dyDescent="0.2">
      <c r="A67" s="197">
        <v>0.65</v>
      </c>
      <c r="B67" s="198">
        <v>1730</v>
      </c>
      <c r="C67" s="198">
        <v>1230</v>
      </c>
      <c r="D67" s="198">
        <v>1650</v>
      </c>
      <c r="E67" s="198">
        <v>1140</v>
      </c>
      <c r="F67" s="198">
        <f t="shared" si="10"/>
        <v>1690</v>
      </c>
      <c r="G67" s="198">
        <f t="shared" si="11"/>
        <v>1185</v>
      </c>
      <c r="H67" s="599">
        <f t="shared" si="12"/>
        <v>7.2384937238493725</v>
      </c>
      <c r="I67" s="599">
        <f t="shared" si="5"/>
        <v>5.1464435146443517</v>
      </c>
      <c r="J67" s="599">
        <f t="shared" si="6"/>
        <v>6.9037656903765692</v>
      </c>
      <c r="K67" s="599">
        <f t="shared" si="7"/>
        <v>4.7698744769874475</v>
      </c>
      <c r="L67" s="599">
        <f t="shared" si="8"/>
        <v>7.0711297071129708</v>
      </c>
      <c r="M67" s="599">
        <f t="shared" si="9"/>
        <v>4.9581589958158991</v>
      </c>
    </row>
    <row r="68" spans="1:13" x14ac:dyDescent="0.2">
      <c r="B68" t="s">
        <v>725</v>
      </c>
      <c r="C68" t="s">
        <v>725</v>
      </c>
      <c r="D68" t="s">
        <v>725</v>
      </c>
      <c r="E68" t="s">
        <v>725</v>
      </c>
      <c r="F68" t="s">
        <v>725</v>
      </c>
      <c r="G68" t="s">
        <v>725</v>
      </c>
      <c r="H68" t="s">
        <v>726</v>
      </c>
      <c r="I68" t="s">
        <v>726</v>
      </c>
      <c r="J68" t="s">
        <v>726</v>
      </c>
      <c r="K68" t="s">
        <v>726</v>
      </c>
      <c r="L68" t="s">
        <v>726</v>
      </c>
      <c r="M68" t="s">
        <v>726</v>
      </c>
    </row>
    <row r="71" spans="1:13" x14ac:dyDescent="0.2">
      <c r="A71" s="1088" t="s">
        <v>761</v>
      </c>
      <c r="B71" s="1092"/>
      <c r="C71" s="1088"/>
      <c r="D71" s="1088"/>
      <c r="E71" s="1093"/>
      <c r="F71" s="1094"/>
      <c r="G71" s="1095"/>
      <c r="H71" s="1088"/>
      <c r="I71" s="1088"/>
    </row>
    <row r="72" spans="1:13" x14ac:dyDescent="0.2">
      <c r="A72" t="s">
        <v>764</v>
      </c>
      <c r="B72" t="str">
        <f>B1</f>
        <v>BTG</v>
      </c>
    </row>
    <row r="73" spans="1:13" x14ac:dyDescent="0.2">
      <c r="A73" t="s">
        <v>755</v>
      </c>
      <c r="B73" s="560">
        <f>入門編_計算シート!L40</f>
        <v>13191.796875</v>
      </c>
      <c r="C73" t="s">
        <v>757</v>
      </c>
    </row>
    <row r="74" spans="1:13" x14ac:dyDescent="0.2">
      <c r="A74" t="s">
        <v>756</v>
      </c>
      <c r="B74" s="560">
        <f>入門編_計算シート!L41</f>
        <v>26383.59375</v>
      </c>
      <c r="C74" t="s">
        <v>757</v>
      </c>
    </row>
    <row r="75" spans="1:13" x14ac:dyDescent="0.2">
      <c r="B75" s="560"/>
    </row>
    <row r="76" spans="1:13" x14ac:dyDescent="0.2">
      <c r="C76" t="s">
        <v>759</v>
      </c>
    </row>
    <row r="77" spans="1:13" x14ac:dyDescent="0.2">
      <c r="A77" t="s">
        <v>763</v>
      </c>
      <c r="B77" t="s">
        <v>758</v>
      </c>
      <c r="G77" t="s">
        <v>771</v>
      </c>
      <c r="H77">
        <v>42.7</v>
      </c>
      <c r="I77" t="s">
        <v>774</v>
      </c>
    </row>
    <row r="78" spans="1:13" x14ac:dyDescent="0.2">
      <c r="A78" t="s">
        <v>754</v>
      </c>
      <c r="B78" s="599">
        <f>B74/100*217.32*B74^-0.436</f>
        <v>677.22353879471461</v>
      </c>
      <c r="C78">
        <f>B78/B74*100</f>
        <v>2.5668358344651763</v>
      </c>
      <c r="G78" t="s">
        <v>770</v>
      </c>
      <c r="H78">
        <v>49</v>
      </c>
      <c r="I78" t="s">
        <v>774</v>
      </c>
    </row>
    <row r="79" spans="1:13" x14ac:dyDescent="0.2">
      <c r="A79" t="s">
        <v>753</v>
      </c>
      <c r="B79" s="198">
        <f>B73*H80/100</f>
        <v>17558.281640624999</v>
      </c>
      <c r="G79" t="s">
        <v>772</v>
      </c>
      <c r="H79">
        <v>49.1</v>
      </c>
      <c r="I79" t="s">
        <v>774</v>
      </c>
    </row>
    <row r="80" spans="1:13" x14ac:dyDescent="0.2">
      <c r="A80" t="s">
        <v>760</v>
      </c>
      <c r="B80" s="1096">
        <f>100.84*B73^-0.107*B73/100</f>
        <v>4820.1912416296973</v>
      </c>
      <c r="C80">
        <f>B73*(H78+H79)/2/100</f>
        <v>6470.5763671875002</v>
      </c>
      <c r="G80" t="s">
        <v>773</v>
      </c>
      <c r="H80">
        <v>133.1</v>
      </c>
      <c r="I80" t="s">
        <v>774</v>
      </c>
      <c r="J80" t="s">
        <v>812</v>
      </c>
    </row>
    <row r="82" spans="1:10" x14ac:dyDescent="0.2">
      <c r="A82" t="s">
        <v>763</v>
      </c>
      <c r="B82" t="s">
        <v>762</v>
      </c>
      <c r="G82" t="s">
        <v>771</v>
      </c>
      <c r="H82">
        <v>4.5999999999999996</v>
      </c>
      <c r="I82" t="s">
        <v>775</v>
      </c>
    </row>
    <row r="83" spans="1:10" x14ac:dyDescent="0.2">
      <c r="A83" t="s">
        <v>754</v>
      </c>
      <c r="B83" s="1012">
        <f>B78*0.021+0.24478</f>
        <v>14.466474314689009</v>
      </c>
      <c r="D83">
        <v>1.4</v>
      </c>
      <c r="G83" t="s">
        <v>770</v>
      </c>
      <c r="H83">
        <v>4.5</v>
      </c>
      <c r="I83" t="s">
        <v>775</v>
      </c>
    </row>
    <row r="84" spans="1:10" x14ac:dyDescent="0.2">
      <c r="A84" t="s">
        <v>753</v>
      </c>
      <c r="B84" s="599">
        <f>B73*H85/100</f>
        <v>1055.34375</v>
      </c>
      <c r="G84" t="s">
        <v>772</v>
      </c>
      <c r="H84">
        <v>6.7</v>
      </c>
      <c r="I84" t="s">
        <v>775</v>
      </c>
    </row>
    <row r="85" spans="1:10" x14ac:dyDescent="0.2">
      <c r="A85" t="s">
        <v>760</v>
      </c>
      <c r="B85" s="599">
        <f>135.59*B73^-0.381*B73/100</f>
        <v>481.61034741934685</v>
      </c>
      <c r="C85">
        <f>B73*(H83+H84)/2/100</f>
        <v>738.74062500000002</v>
      </c>
      <c r="G85" t="s">
        <v>773</v>
      </c>
      <c r="H85">
        <v>8</v>
      </c>
      <c r="I85" t="s">
        <v>775</v>
      </c>
      <c r="J85" t="s">
        <v>776</v>
      </c>
    </row>
    <row r="87" spans="1:10" x14ac:dyDescent="0.2">
      <c r="A87" t="s">
        <v>765</v>
      </c>
    </row>
    <row r="88" spans="1:10" x14ac:dyDescent="0.2">
      <c r="A88" t="s">
        <v>758</v>
      </c>
      <c r="B88" s="599">
        <f>VLOOKUP($B$72,$A$78:$B$80,2,FALSE)</f>
        <v>4820.1912416296973</v>
      </c>
      <c r="C88" t="s">
        <v>763</v>
      </c>
    </row>
    <row r="89" spans="1:10" x14ac:dyDescent="0.2">
      <c r="A89" t="s">
        <v>808</v>
      </c>
      <c r="B89" s="599">
        <f>$B$88*D89</f>
        <v>3615.1434312222727</v>
      </c>
      <c r="C89" t="s">
        <v>297</v>
      </c>
      <c r="D89" s="197">
        <v>0.75</v>
      </c>
    </row>
    <row r="90" spans="1:10" x14ac:dyDescent="0.2">
      <c r="A90" t="s">
        <v>809</v>
      </c>
      <c r="B90" s="599">
        <f>$B$88*D90</f>
        <v>1205.0478104074243</v>
      </c>
      <c r="C90" t="s">
        <v>297</v>
      </c>
      <c r="D90" s="197">
        <v>0.25</v>
      </c>
    </row>
    <row r="91" spans="1:10" x14ac:dyDescent="0.2">
      <c r="A91" t="s">
        <v>766</v>
      </c>
      <c r="B91" s="599">
        <f>VLOOKUP($B$72,$A$83:$B$85,2,FALSE)</f>
        <v>481.61034741934685</v>
      </c>
      <c r="C91" t="s">
        <v>763</v>
      </c>
      <c r="D91" t="s">
        <v>1155</v>
      </c>
      <c r="E91" t="s">
        <v>1156</v>
      </c>
      <c r="F91">
        <v>1.3834958841880249</v>
      </c>
    </row>
    <row r="92" spans="1:10" x14ac:dyDescent="0.2">
      <c r="A92" t="s">
        <v>631</v>
      </c>
      <c r="B92" s="599">
        <f>IF($B$72=$A$83,$B$91*E92,$B$91*D92)</f>
        <v>84.281810798385692</v>
      </c>
      <c r="C92" t="s">
        <v>297</v>
      </c>
      <c r="D92" s="197">
        <v>0.17499999999999999</v>
      </c>
      <c r="E92" s="94">
        <v>0.17499999999999999</v>
      </c>
      <c r="F92" s="94">
        <f>D92/SUM($D$92:$D$94,$D$96)</f>
        <v>0.20588235294117643</v>
      </c>
      <c r="G92" s="198">
        <f>入門編_計算シート!C41*(1-入門編_計算シート!C43)*15/1000000</f>
        <v>156.71854687499996</v>
      </c>
      <c r="H92">
        <v>0.25562854147008396</v>
      </c>
      <c r="I92">
        <v>0.25562854147008396</v>
      </c>
    </row>
    <row r="93" spans="1:10" x14ac:dyDescent="0.2">
      <c r="A93" t="s">
        <v>811</v>
      </c>
      <c r="B93" s="599">
        <f>IF($B$72=$A$83,$B$91*E93,$B$91*D93)</f>
        <v>60.201293427418356</v>
      </c>
      <c r="C93" t="s">
        <v>297</v>
      </c>
      <c r="D93" s="197">
        <v>0.125</v>
      </c>
      <c r="E93" s="94">
        <v>0.125</v>
      </c>
      <c r="F93" s="94">
        <f>D93/SUM($D$92:$D$94,$D$96)</f>
        <v>0.14705882352941174</v>
      </c>
      <c r="G93" s="198">
        <f>SUM(入門編_計算シート!E58:E62)*入門編_計算シート!C51*0.05*20000/1000000</f>
        <v>115.5</v>
      </c>
      <c r="H93">
        <v>0.17041902764672268</v>
      </c>
      <c r="I93">
        <v>0.17041902764672268</v>
      </c>
    </row>
    <row r="94" spans="1:10" x14ac:dyDescent="0.2">
      <c r="A94" t="s">
        <v>634</v>
      </c>
      <c r="B94" s="599">
        <f>IF($B$72=$A$83,$B$91*E94,$B$91*D94)</f>
        <v>240.80517370967343</v>
      </c>
      <c r="C94" t="s">
        <v>297</v>
      </c>
      <c r="D94" s="197">
        <v>0.5</v>
      </c>
      <c r="E94" s="94">
        <v>0.5</v>
      </c>
      <c r="F94" s="94">
        <f>D94/SUM($D$92:$D$94,$D$96)</f>
        <v>0.58823529411764697</v>
      </c>
      <c r="G94" s="198">
        <f>B89*0.05</f>
        <v>180.75717156111364</v>
      </c>
      <c r="H94" s="1462">
        <f>B91-H92-H93-H95-H96</f>
        <v>480.90760067339244</v>
      </c>
      <c r="I94">
        <v>0.8</v>
      </c>
    </row>
    <row r="95" spans="1:10" x14ac:dyDescent="0.2">
      <c r="A95" t="s">
        <v>632</v>
      </c>
      <c r="B95" s="599">
        <f>IF($B$91*$D$95&lt;4,4,$B$91*$D$95)</f>
        <v>72.241552112902028</v>
      </c>
      <c r="C95" t="s">
        <v>297</v>
      </c>
      <c r="D95" s="197">
        <v>0.15</v>
      </c>
      <c r="E95" s="94">
        <f>H95/$F$91</f>
        <v>0.15</v>
      </c>
      <c r="F95" s="94"/>
      <c r="G95" s="1382">
        <f>B95</f>
        <v>72.241552112902028</v>
      </c>
      <c r="H95">
        <v>0.20752438262820375</v>
      </c>
      <c r="I95">
        <v>4</v>
      </c>
    </row>
    <row r="96" spans="1:10" x14ac:dyDescent="0.2">
      <c r="A96" t="s">
        <v>633</v>
      </c>
      <c r="B96" s="599">
        <f>$B$91*D96</f>
        <v>24.080517370967339</v>
      </c>
      <c r="C96" t="s">
        <v>297</v>
      </c>
      <c r="D96" s="197">
        <v>4.9999999999999996E-2</v>
      </c>
      <c r="E96" s="94">
        <f>H96/$F$91</f>
        <v>4.9999999999999996E-2</v>
      </c>
      <c r="F96" s="94">
        <f>D96/SUM($D$92:$D$94,$D$96)</f>
        <v>5.8823529411764698E-2</v>
      </c>
      <c r="G96" s="1383">
        <f>B91-SUM(G92:G95)</f>
        <v>-43.606923129668814</v>
      </c>
      <c r="H96">
        <v>6.9174794209401244E-2</v>
      </c>
      <c r="I96">
        <v>6.9174794209401244E-2</v>
      </c>
    </row>
    <row r="97" spans="1:9" x14ac:dyDescent="0.2">
      <c r="B97" s="599"/>
      <c r="D97" s="197"/>
      <c r="E97" s="94"/>
      <c r="H97">
        <f>SUM(H92:H96)</f>
        <v>481.61034741934685</v>
      </c>
    </row>
    <row r="98" spans="1:9" x14ac:dyDescent="0.2">
      <c r="B98" s="599">
        <f>$B$91*$D$95</f>
        <v>72.241552112902028</v>
      </c>
    </row>
    <row r="101" spans="1:9" x14ac:dyDescent="0.2">
      <c r="C101" t="s">
        <v>792</v>
      </c>
      <c r="D101" t="s">
        <v>792</v>
      </c>
      <c r="E101" t="s">
        <v>792</v>
      </c>
      <c r="G101" t="s">
        <v>798</v>
      </c>
    </row>
    <row r="102" spans="1:9" x14ac:dyDescent="0.2">
      <c r="B102" t="s">
        <v>787</v>
      </c>
      <c r="C102" t="s">
        <v>788</v>
      </c>
      <c r="D102" t="s">
        <v>789</v>
      </c>
      <c r="E102" t="s">
        <v>794</v>
      </c>
      <c r="G102" t="s">
        <v>799</v>
      </c>
    </row>
    <row r="103" spans="1:9" x14ac:dyDescent="0.2">
      <c r="B103" t="s">
        <v>781</v>
      </c>
      <c r="C103" t="s">
        <v>785</v>
      </c>
      <c r="D103" t="s">
        <v>786</v>
      </c>
      <c r="E103" t="s">
        <v>793</v>
      </c>
      <c r="F103" t="s">
        <v>796</v>
      </c>
      <c r="G103" t="s">
        <v>797</v>
      </c>
      <c r="H103" t="s">
        <v>810</v>
      </c>
    </row>
    <row r="104" spans="1:9" x14ac:dyDescent="0.2">
      <c r="A104" t="s">
        <v>808</v>
      </c>
      <c r="B104" s="198">
        <v>89250000</v>
      </c>
      <c r="C104" s="198"/>
      <c r="D104" s="198">
        <v>455500000</v>
      </c>
      <c r="E104" s="198">
        <v>97000000</v>
      </c>
      <c r="F104" s="198"/>
      <c r="G104" s="198">
        <v>460000000</v>
      </c>
      <c r="H104" s="198">
        <v>52650000</v>
      </c>
      <c r="I104" s="198"/>
    </row>
    <row r="105" spans="1:9" x14ac:dyDescent="0.2">
      <c r="A105" t="s">
        <v>809</v>
      </c>
      <c r="B105" s="198">
        <v>24500000</v>
      </c>
      <c r="C105" s="198"/>
      <c r="D105" s="198">
        <v>110500000</v>
      </c>
      <c r="E105" s="198">
        <v>11800000</v>
      </c>
      <c r="F105" s="198"/>
      <c r="G105" s="198">
        <v>250000000</v>
      </c>
      <c r="H105" s="198">
        <v>33500000</v>
      </c>
      <c r="I105" s="198"/>
    </row>
    <row r="106" spans="1:9" x14ac:dyDescent="0.2">
      <c r="A106" t="s">
        <v>807</v>
      </c>
      <c r="B106" s="198">
        <f>B104+B105</f>
        <v>113750000</v>
      </c>
      <c r="C106" s="198"/>
      <c r="D106" s="198">
        <f>D104+D105</f>
        <v>566000000</v>
      </c>
      <c r="E106" s="198">
        <f>E104+E105</f>
        <v>108800000</v>
      </c>
      <c r="F106" s="198"/>
      <c r="G106" s="198">
        <f>G104+G105</f>
        <v>710000000</v>
      </c>
      <c r="H106" s="198">
        <f>H104+H105</f>
        <v>86150000</v>
      </c>
      <c r="I106" s="198"/>
    </row>
    <row r="107" spans="1:9" x14ac:dyDescent="0.2">
      <c r="B107" s="560"/>
      <c r="C107" s="560"/>
      <c r="D107" s="560"/>
      <c r="E107" s="560"/>
      <c r="F107" s="560"/>
      <c r="G107" s="560"/>
      <c r="H107" s="560"/>
      <c r="I107" s="560"/>
    </row>
    <row r="108" spans="1:9" x14ac:dyDescent="0.2">
      <c r="C108" t="s">
        <v>792</v>
      </c>
      <c r="D108" t="s">
        <v>792</v>
      </c>
      <c r="E108" t="s">
        <v>792</v>
      </c>
      <c r="G108" t="s">
        <v>798</v>
      </c>
    </row>
    <row r="109" spans="1:9" x14ac:dyDescent="0.2">
      <c r="C109" t="s">
        <v>792</v>
      </c>
      <c r="D109" t="s">
        <v>792</v>
      </c>
      <c r="E109" t="s">
        <v>792</v>
      </c>
      <c r="G109" t="s">
        <v>798</v>
      </c>
    </row>
    <row r="110" spans="1:9" x14ac:dyDescent="0.2">
      <c r="B110" t="s">
        <v>787</v>
      </c>
      <c r="C110" t="s">
        <v>788</v>
      </c>
      <c r="D110" t="s">
        <v>789</v>
      </c>
      <c r="E110" t="s">
        <v>794</v>
      </c>
      <c r="G110" t="s">
        <v>799</v>
      </c>
    </row>
    <row r="111" spans="1:9" x14ac:dyDescent="0.2">
      <c r="B111" t="s">
        <v>781</v>
      </c>
      <c r="C111" t="s">
        <v>785</v>
      </c>
      <c r="D111" t="s">
        <v>786</v>
      </c>
      <c r="E111" t="s">
        <v>793</v>
      </c>
      <c r="F111" t="s">
        <v>796</v>
      </c>
      <c r="G111" t="s">
        <v>797</v>
      </c>
      <c r="H111" t="s">
        <v>810</v>
      </c>
    </row>
    <row r="112" spans="1:9" x14ac:dyDescent="0.2">
      <c r="A112" t="s">
        <v>808</v>
      </c>
      <c r="B112" s="94">
        <f>B104/B$106</f>
        <v>0.7846153846153846</v>
      </c>
      <c r="C112" s="198"/>
      <c r="D112" s="94">
        <f>D104/D$106</f>
        <v>0.80477031802120136</v>
      </c>
      <c r="E112" s="94">
        <f>E104/E$106</f>
        <v>0.89154411764705888</v>
      </c>
      <c r="F112" s="198"/>
      <c r="G112" s="94">
        <f>G104/G$106</f>
        <v>0.647887323943662</v>
      </c>
      <c r="H112" s="94">
        <f>H104/H$106</f>
        <v>0.61114335461404523</v>
      </c>
      <c r="I112" s="94">
        <f>AVERAGE(G112:H112,D112:E112,B112)</f>
        <v>0.74799209976827041</v>
      </c>
    </row>
    <row r="113" spans="1:9" x14ac:dyDescent="0.2">
      <c r="A113" t="s">
        <v>809</v>
      </c>
      <c r="B113" s="94">
        <f>B105/B$106</f>
        <v>0.2153846153846154</v>
      </c>
      <c r="C113" s="198"/>
      <c r="D113" s="94">
        <f>D105/D$106</f>
        <v>0.19522968197879859</v>
      </c>
      <c r="E113" s="94">
        <f>E105/E$106</f>
        <v>0.10845588235294118</v>
      </c>
      <c r="F113" s="198"/>
      <c r="G113" s="94">
        <f>G105/G$106</f>
        <v>0.352112676056338</v>
      </c>
      <c r="H113" s="94">
        <f>H105/H$106</f>
        <v>0.38885664538595471</v>
      </c>
      <c r="I113" s="94">
        <f>AVERAGE(G113:H113,D113:E113,B113)</f>
        <v>0.25200790023172959</v>
      </c>
    </row>
    <row r="114" spans="1:9" x14ac:dyDescent="0.2">
      <c r="A114" t="s">
        <v>807</v>
      </c>
      <c r="B114" s="94">
        <f>B112+B113</f>
        <v>1</v>
      </c>
      <c r="C114" s="94"/>
      <c r="D114" s="94">
        <f>D112+D113</f>
        <v>1</v>
      </c>
      <c r="E114" s="94">
        <f>E112+E113</f>
        <v>1</v>
      </c>
      <c r="F114" s="94"/>
      <c r="G114" s="94">
        <f>G112+G113</f>
        <v>1</v>
      </c>
      <c r="H114" s="94">
        <f>H112+H113</f>
        <v>1</v>
      </c>
      <c r="I114" s="198"/>
    </row>
    <row r="115" spans="1:9" x14ac:dyDescent="0.2">
      <c r="B115" s="560"/>
      <c r="C115" s="560"/>
      <c r="D115" s="560"/>
      <c r="E115" s="560"/>
      <c r="F115" s="560"/>
      <c r="G115" s="560"/>
      <c r="H115" s="560"/>
      <c r="I115" s="560"/>
    </row>
    <row r="116" spans="1:9" x14ac:dyDescent="0.2">
      <c r="B116" t="s">
        <v>787</v>
      </c>
      <c r="C116" t="s">
        <v>788</v>
      </c>
      <c r="D116" t="s">
        <v>789</v>
      </c>
      <c r="E116" t="s">
        <v>794</v>
      </c>
      <c r="G116" t="s">
        <v>799</v>
      </c>
    </row>
    <row r="117" spans="1:9" x14ac:dyDescent="0.2">
      <c r="B117" t="s">
        <v>781</v>
      </c>
      <c r="C117" t="s">
        <v>785</v>
      </c>
      <c r="D117" t="s">
        <v>786</v>
      </c>
      <c r="E117" t="s">
        <v>793</v>
      </c>
      <c r="F117" t="s">
        <v>796</v>
      </c>
      <c r="G117" t="s">
        <v>797</v>
      </c>
      <c r="H117" t="s">
        <v>801</v>
      </c>
      <c r="I117" t="s">
        <v>806</v>
      </c>
    </row>
    <row r="118" spans="1:9" x14ac:dyDescent="0.2">
      <c r="A118" t="s">
        <v>777</v>
      </c>
      <c r="B118" s="198">
        <v>2400000</v>
      </c>
      <c r="C118" s="198">
        <v>10268000</v>
      </c>
      <c r="E118">
        <v>1991000</v>
      </c>
      <c r="F118">
        <v>500000</v>
      </c>
      <c r="G118">
        <v>15348000</v>
      </c>
      <c r="I118">
        <v>150000</v>
      </c>
    </row>
    <row r="119" spans="1:9" x14ac:dyDescent="0.2">
      <c r="A119" t="s">
        <v>778</v>
      </c>
      <c r="B119" s="198">
        <v>2400000</v>
      </c>
      <c r="C119" s="198">
        <v>2000000</v>
      </c>
      <c r="D119">
        <v>50000000</v>
      </c>
      <c r="E119">
        <v>3000000</v>
      </c>
      <c r="F119">
        <v>500000</v>
      </c>
      <c r="G119">
        <v>900000</v>
      </c>
      <c r="H119">
        <v>500000</v>
      </c>
      <c r="I119">
        <v>108000</v>
      </c>
    </row>
    <row r="120" spans="1:9" x14ac:dyDescent="0.2">
      <c r="A120" t="s">
        <v>779</v>
      </c>
      <c r="B120" s="198">
        <v>4200000</v>
      </c>
      <c r="C120" s="198">
        <v>30000000</v>
      </c>
      <c r="D120">
        <v>50000000</v>
      </c>
      <c r="F120">
        <v>500000</v>
      </c>
      <c r="G120">
        <v>14400000</v>
      </c>
      <c r="I120">
        <v>174000</v>
      </c>
    </row>
    <row r="121" spans="1:9" x14ac:dyDescent="0.2">
      <c r="A121" t="s">
        <v>780</v>
      </c>
      <c r="B121" s="198">
        <v>3000000</v>
      </c>
      <c r="C121" s="198">
        <v>6347000</v>
      </c>
      <c r="G121">
        <v>101000</v>
      </c>
      <c r="H121">
        <v>195873</v>
      </c>
      <c r="I121">
        <v>100000</v>
      </c>
    </row>
    <row r="122" spans="1:9" x14ac:dyDescent="0.2">
      <c r="A122" t="s">
        <v>782</v>
      </c>
      <c r="B122" s="198"/>
      <c r="C122" s="198">
        <v>91368000</v>
      </c>
      <c r="I122">
        <v>1963000</v>
      </c>
    </row>
    <row r="123" spans="1:9" x14ac:dyDescent="0.2">
      <c r="A123" t="s">
        <v>783</v>
      </c>
      <c r="B123" s="198"/>
      <c r="C123" s="198">
        <v>58000</v>
      </c>
      <c r="E123">
        <v>90000</v>
      </c>
    </row>
    <row r="124" spans="1:9" x14ac:dyDescent="0.2">
      <c r="A124" t="s">
        <v>784</v>
      </c>
      <c r="B124" s="198"/>
      <c r="C124" s="198"/>
    </row>
    <row r="125" spans="1:9" x14ac:dyDescent="0.2">
      <c r="A125" t="s">
        <v>791</v>
      </c>
      <c r="B125" s="198"/>
      <c r="C125" s="198">
        <v>750000</v>
      </c>
      <c r="D125">
        <v>22000000</v>
      </c>
    </row>
    <row r="126" spans="1:9" x14ac:dyDescent="0.2">
      <c r="A126" t="s">
        <v>790</v>
      </c>
      <c r="D126">
        <v>24000000</v>
      </c>
    </row>
    <row r="127" spans="1:9" x14ac:dyDescent="0.2">
      <c r="A127" t="s">
        <v>795</v>
      </c>
      <c r="E127">
        <v>7332000</v>
      </c>
    </row>
    <row r="128" spans="1:9" x14ac:dyDescent="0.2">
      <c r="A128" t="s">
        <v>800</v>
      </c>
      <c r="G128">
        <v>5272000</v>
      </c>
    </row>
    <row r="129" spans="1:11" x14ac:dyDescent="0.2">
      <c r="A129" t="s">
        <v>802</v>
      </c>
      <c r="H129">
        <v>80000</v>
      </c>
    </row>
    <row r="130" spans="1:11" x14ac:dyDescent="0.2">
      <c r="A130" t="s">
        <v>803</v>
      </c>
      <c r="H130">
        <v>130000</v>
      </c>
    </row>
    <row r="131" spans="1:11" x14ac:dyDescent="0.2">
      <c r="A131" t="s">
        <v>804</v>
      </c>
      <c r="H131">
        <v>700000</v>
      </c>
    </row>
    <row r="132" spans="1:11" x14ac:dyDescent="0.2">
      <c r="A132" t="s">
        <v>805</v>
      </c>
      <c r="H132">
        <v>192000</v>
      </c>
    </row>
    <row r="133" spans="1:11" x14ac:dyDescent="0.2">
      <c r="A133" t="s">
        <v>807</v>
      </c>
      <c r="B133" s="560">
        <f>SUM(B128:B132,B123:B126,B118:B121)</f>
        <v>12000000</v>
      </c>
      <c r="C133" s="560">
        <f>SUM(C128:C132,C123:C126,C118:C121)</f>
        <v>49423000</v>
      </c>
      <c r="D133" s="560">
        <f t="shared" ref="D133:I133" si="13">SUM(D128:D132,D123:D126,D118:D121)</f>
        <v>146000000</v>
      </c>
      <c r="E133" s="560">
        <f t="shared" si="13"/>
        <v>5081000</v>
      </c>
      <c r="F133" s="560">
        <f t="shared" si="13"/>
        <v>1500000</v>
      </c>
      <c r="G133" s="560">
        <f t="shared" si="13"/>
        <v>36021000</v>
      </c>
      <c r="H133" s="560">
        <f t="shared" si="13"/>
        <v>1797873</v>
      </c>
      <c r="I133" s="560">
        <f t="shared" si="13"/>
        <v>532000</v>
      </c>
    </row>
    <row r="134" spans="1:11" x14ac:dyDescent="0.2">
      <c r="B134" s="560"/>
      <c r="C134" s="560"/>
      <c r="D134" s="560"/>
      <c r="E134" s="560"/>
      <c r="F134" s="560"/>
      <c r="G134" s="560"/>
      <c r="H134" s="560"/>
      <c r="I134" s="560"/>
    </row>
    <row r="135" spans="1:11" x14ac:dyDescent="0.2">
      <c r="B135" t="s">
        <v>781</v>
      </c>
      <c r="C135" t="s">
        <v>785</v>
      </c>
      <c r="D135" t="s">
        <v>786</v>
      </c>
      <c r="E135" t="s">
        <v>793</v>
      </c>
      <c r="F135" t="s">
        <v>796</v>
      </c>
      <c r="G135" t="s">
        <v>797</v>
      </c>
      <c r="H135" t="s">
        <v>801</v>
      </c>
      <c r="I135" t="s">
        <v>806</v>
      </c>
    </row>
    <row r="136" spans="1:11" x14ac:dyDescent="0.2">
      <c r="A136" t="s">
        <v>777</v>
      </c>
      <c r="B136" s="94">
        <f>B118/B$133</f>
        <v>0.2</v>
      </c>
      <c r="C136" s="94">
        <f t="shared" ref="C136:I136" si="14">C118/C$133</f>
        <v>0.20775752180159035</v>
      </c>
      <c r="D136" s="94">
        <f t="shared" si="14"/>
        <v>0</v>
      </c>
      <c r="E136" s="94">
        <f t="shared" si="14"/>
        <v>0.39185199763826017</v>
      </c>
      <c r="F136" s="94">
        <f t="shared" si="14"/>
        <v>0.33333333333333331</v>
      </c>
      <c r="G136" s="94">
        <f t="shared" si="14"/>
        <v>0.42608478387607229</v>
      </c>
      <c r="H136" s="94">
        <f t="shared" si="14"/>
        <v>0</v>
      </c>
      <c r="I136" s="94">
        <f t="shared" si="14"/>
        <v>0.28195488721804512</v>
      </c>
      <c r="J136" s="197">
        <v>0.2</v>
      </c>
    </row>
    <row r="137" spans="1:11" x14ac:dyDescent="0.2">
      <c r="A137" t="s">
        <v>778</v>
      </c>
      <c r="B137" s="94">
        <f t="shared" ref="B137:I137" si="15">B119/B$133</f>
        <v>0.2</v>
      </c>
      <c r="C137" s="94">
        <f t="shared" si="15"/>
        <v>4.0466989053679459E-2</v>
      </c>
      <c r="D137" s="94">
        <f t="shared" si="15"/>
        <v>0.34246575342465752</v>
      </c>
      <c r="E137" s="94">
        <f t="shared" si="15"/>
        <v>0.59043495374926191</v>
      </c>
      <c r="F137" s="94">
        <f t="shared" si="15"/>
        <v>0.33333333333333331</v>
      </c>
      <c r="G137" s="94">
        <f t="shared" si="15"/>
        <v>2.4985425168651619E-2</v>
      </c>
      <c r="H137" s="94">
        <f t="shared" si="15"/>
        <v>0.27810640684853716</v>
      </c>
      <c r="I137" s="94">
        <f t="shared" si="15"/>
        <v>0.20300751879699247</v>
      </c>
      <c r="J137" s="197">
        <v>0.2</v>
      </c>
    </row>
    <row r="138" spans="1:11" x14ac:dyDescent="0.2">
      <c r="A138" t="s">
        <v>779</v>
      </c>
      <c r="B138" s="1097">
        <f t="shared" ref="B138:I138" si="16">B120/B$133</f>
        <v>0.35</v>
      </c>
      <c r="C138" s="94">
        <f>C120/C$133</f>
        <v>0.60700483580519193</v>
      </c>
      <c r="D138" s="1097">
        <f t="shared" si="16"/>
        <v>0.34246575342465752</v>
      </c>
      <c r="E138" s="1097">
        <f t="shared" si="16"/>
        <v>0</v>
      </c>
      <c r="F138" s="1097">
        <f t="shared" si="16"/>
        <v>0.33333333333333331</v>
      </c>
      <c r="G138" s="1097">
        <f t="shared" si="16"/>
        <v>0.3997668026984259</v>
      </c>
      <c r="H138" s="1097">
        <f t="shared" si="16"/>
        <v>0</v>
      </c>
      <c r="I138" s="1097">
        <f t="shared" si="16"/>
        <v>0.32706766917293234</v>
      </c>
      <c r="J138" s="197">
        <f>AVERAGE(D138,B138,F138:G138,I138)</f>
        <v>0.3505267117258698</v>
      </c>
      <c r="K138" s="197">
        <v>0.35</v>
      </c>
    </row>
    <row r="139" spans="1:11" x14ac:dyDescent="0.2">
      <c r="A139" t="s">
        <v>780</v>
      </c>
      <c r="B139" s="1098">
        <f t="shared" ref="B139:I139" si="17">B121/B$133</f>
        <v>0.25</v>
      </c>
      <c r="C139" s="1098">
        <f t="shared" si="17"/>
        <v>0.12842198976185176</v>
      </c>
      <c r="D139" s="1098">
        <f t="shared" si="17"/>
        <v>0</v>
      </c>
      <c r="E139" s="1098">
        <f t="shared" si="17"/>
        <v>0</v>
      </c>
      <c r="F139" s="1098">
        <f t="shared" si="17"/>
        <v>0</v>
      </c>
      <c r="G139" s="1098">
        <f t="shared" si="17"/>
        <v>2.8039199355931262E-3</v>
      </c>
      <c r="H139" s="1098">
        <f t="shared" si="17"/>
        <v>0.10894707245728703</v>
      </c>
      <c r="I139" s="1098">
        <f t="shared" si="17"/>
        <v>0.18796992481203006</v>
      </c>
      <c r="J139" s="197">
        <f>AVERAGE(B139:C139,H139:I139)</f>
        <v>0.1688347467577922</v>
      </c>
      <c r="K139" s="197">
        <v>0.15</v>
      </c>
    </row>
    <row r="140" spans="1:11" x14ac:dyDescent="0.2">
      <c r="A140" t="s">
        <v>783</v>
      </c>
      <c r="B140" s="94">
        <f t="shared" ref="B140:I140" si="18">B123/B$133</f>
        <v>0</v>
      </c>
      <c r="C140" s="94">
        <f t="shared" si="18"/>
        <v>1.1735426825567044E-3</v>
      </c>
      <c r="D140" s="94">
        <f t="shared" si="18"/>
        <v>0</v>
      </c>
      <c r="E140" s="94">
        <f t="shared" si="18"/>
        <v>1.7713048612477859E-2</v>
      </c>
      <c r="F140" s="94">
        <f t="shared" si="18"/>
        <v>0</v>
      </c>
      <c r="G140" s="94">
        <f t="shared" si="18"/>
        <v>0</v>
      </c>
      <c r="H140" s="94">
        <f t="shared" si="18"/>
        <v>0</v>
      </c>
      <c r="I140" s="94">
        <f t="shared" si="18"/>
        <v>0</v>
      </c>
    </row>
    <row r="141" spans="1:11" x14ac:dyDescent="0.2">
      <c r="A141" t="s">
        <v>784</v>
      </c>
      <c r="B141" s="94">
        <f t="shared" ref="B141:I141" si="19">B124/B$133</f>
        <v>0</v>
      </c>
      <c r="C141" s="94">
        <f t="shared" si="19"/>
        <v>0</v>
      </c>
      <c r="D141" s="94">
        <f t="shared" si="19"/>
        <v>0</v>
      </c>
      <c r="E141" s="94">
        <f t="shared" si="19"/>
        <v>0</v>
      </c>
      <c r="F141" s="94">
        <f t="shared" si="19"/>
        <v>0</v>
      </c>
      <c r="G141" s="94">
        <f t="shared" si="19"/>
        <v>0</v>
      </c>
      <c r="H141" s="94">
        <f t="shared" si="19"/>
        <v>0</v>
      </c>
      <c r="I141" s="94">
        <f t="shared" si="19"/>
        <v>0</v>
      </c>
    </row>
    <row r="142" spans="1:11" x14ac:dyDescent="0.2">
      <c r="A142" t="s">
        <v>791</v>
      </c>
      <c r="B142" s="94">
        <f t="shared" ref="B142:I142" si="20">B125/B$133</f>
        <v>0</v>
      </c>
      <c r="C142" s="94">
        <f t="shared" si="20"/>
        <v>1.5175120895129799E-2</v>
      </c>
      <c r="D142" s="94">
        <f t="shared" si="20"/>
        <v>0.15068493150684931</v>
      </c>
      <c r="E142" s="94">
        <f t="shared" si="20"/>
        <v>0</v>
      </c>
      <c r="F142" s="94">
        <f t="shared" si="20"/>
        <v>0</v>
      </c>
      <c r="G142" s="94">
        <f t="shared" si="20"/>
        <v>0</v>
      </c>
      <c r="H142" s="94">
        <f t="shared" si="20"/>
        <v>0</v>
      </c>
      <c r="I142" s="94">
        <f t="shared" si="20"/>
        <v>0</v>
      </c>
    </row>
    <row r="143" spans="1:11" x14ac:dyDescent="0.2">
      <c r="A143" t="s">
        <v>790</v>
      </c>
      <c r="B143" s="94">
        <f t="shared" ref="B143:I143" si="21">B126/B$133</f>
        <v>0</v>
      </c>
      <c r="C143" s="94">
        <f t="shared" si="21"/>
        <v>0</v>
      </c>
      <c r="D143" s="94">
        <f t="shared" si="21"/>
        <v>0.16438356164383561</v>
      </c>
      <c r="E143" s="94">
        <f t="shared" si="21"/>
        <v>0</v>
      </c>
      <c r="F143" s="94">
        <f t="shared" si="21"/>
        <v>0</v>
      </c>
      <c r="G143" s="94">
        <f t="shared" si="21"/>
        <v>0</v>
      </c>
      <c r="H143" s="94">
        <f t="shared" si="21"/>
        <v>0</v>
      </c>
      <c r="I143" s="94">
        <f t="shared" si="21"/>
        <v>0</v>
      </c>
    </row>
    <row r="144" spans="1:11" x14ac:dyDescent="0.2">
      <c r="A144" t="s">
        <v>800</v>
      </c>
      <c r="B144" s="94">
        <f t="shared" ref="B144:I144" si="22">B128/B$133</f>
        <v>0</v>
      </c>
      <c r="C144" s="94">
        <f t="shared" si="22"/>
        <v>0</v>
      </c>
      <c r="D144" s="94">
        <f t="shared" si="22"/>
        <v>0</v>
      </c>
      <c r="E144" s="94">
        <f t="shared" si="22"/>
        <v>0</v>
      </c>
      <c r="F144" s="94">
        <f t="shared" si="22"/>
        <v>0</v>
      </c>
      <c r="G144" s="94">
        <f t="shared" si="22"/>
        <v>0.14635906832125706</v>
      </c>
      <c r="H144" s="94">
        <f t="shared" si="22"/>
        <v>0</v>
      </c>
      <c r="I144" s="94">
        <f t="shared" si="22"/>
        <v>0</v>
      </c>
    </row>
    <row r="145" spans="1:9" x14ac:dyDescent="0.2">
      <c r="A145" t="s">
        <v>802</v>
      </c>
      <c r="B145" s="94">
        <f t="shared" ref="B145:I145" si="23">B129/B$133</f>
        <v>0</v>
      </c>
      <c r="C145" s="94">
        <f t="shared" si="23"/>
        <v>0</v>
      </c>
      <c r="D145" s="94">
        <f t="shared" si="23"/>
        <v>0</v>
      </c>
      <c r="E145" s="94">
        <f t="shared" si="23"/>
        <v>0</v>
      </c>
      <c r="F145" s="94">
        <f t="shared" si="23"/>
        <v>0</v>
      </c>
      <c r="G145" s="94">
        <f t="shared" si="23"/>
        <v>0</v>
      </c>
      <c r="H145" s="94">
        <f t="shared" si="23"/>
        <v>4.4497025095765939E-2</v>
      </c>
      <c r="I145" s="94">
        <f t="shared" si="23"/>
        <v>0</v>
      </c>
    </row>
    <row r="146" spans="1:9" x14ac:dyDescent="0.2">
      <c r="A146" t="s">
        <v>803</v>
      </c>
      <c r="B146" s="94">
        <f t="shared" ref="B146:I146" si="24">B130/B$133</f>
        <v>0</v>
      </c>
      <c r="C146" s="94">
        <f t="shared" si="24"/>
        <v>0</v>
      </c>
      <c r="D146" s="94">
        <f t="shared" si="24"/>
        <v>0</v>
      </c>
      <c r="E146" s="94">
        <f t="shared" si="24"/>
        <v>0</v>
      </c>
      <c r="F146" s="94">
        <f t="shared" si="24"/>
        <v>0</v>
      </c>
      <c r="G146" s="94">
        <f t="shared" si="24"/>
        <v>0</v>
      </c>
      <c r="H146" s="94">
        <f t="shared" si="24"/>
        <v>7.2307665780619659E-2</v>
      </c>
      <c r="I146" s="94">
        <f t="shared" si="24"/>
        <v>0</v>
      </c>
    </row>
    <row r="147" spans="1:9" x14ac:dyDescent="0.2">
      <c r="A147" t="s">
        <v>804</v>
      </c>
      <c r="B147" s="94">
        <f t="shared" ref="B147:I147" si="25">B131/B$133</f>
        <v>0</v>
      </c>
      <c r="C147" s="94">
        <f t="shared" si="25"/>
        <v>0</v>
      </c>
      <c r="D147" s="94">
        <f t="shared" si="25"/>
        <v>0</v>
      </c>
      <c r="E147" s="94">
        <f t="shared" si="25"/>
        <v>0</v>
      </c>
      <c r="F147" s="94">
        <f t="shared" si="25"/>
        <v>0</v>
      </c>
      <c r="G147" s="94">
        <f t="shared" si="25"/>
        <v>0</v>
      </c>
      <c r="H147" s="94">
        <f t="shared" si="25"/>
        <v>0.38934896958795201</v>
      </c>
      <c r="I147" s="94">
        <f t="shared" si="25"/>
        <v>0</v>
      </c>
    </row>
    <row r="148" spans="1:9" x14ac:dyDescent="0.2">
      <c r="A148" t="s">
        <v>805</v>
      </c>
      <c r="B148" s="94">
        <f t="shared" ref="B148:I148" si="26">B132/B$133</f>
        <v>0</v>
      </c>
      <c r="C148" s="94">
        <f t="shared" si="26"/>
        <v>0</v>
      </c>
      <c r="D148" s="94">
        <f t="shared" si="26"/>
        <v>0</v>
      </c>
      <c r="E148" s="94">
        <f t="shared" si="26"/>
        <v>0</v>
      </c>
      <c r="F148" s="94">
        <f t="shared" si="26"/>
        <v>0</v>
      </c>
      <c r="G148" s="94">
        <f t="shared" si="26"/>
        <v>0</v>
      </c>
      <c r="H148" s="94">
        <f t="shared" si="26"/>
        <v>0.10679286022983826</v>
      </c>
      <c r="I148" s="94">
        <f t="shared" si="26"/>
        <v>0</v>
      </c>
    </row>
    <row r="149" spans="1:9" x14ac:dyDescent="0.2">
      <c r="B149" s="560"/>
      <c r="C149" s="560"/>
      <c r="D149" s="560"/>
      <c r="E149" s="560"/>
      <c r="F149" s="560"/>
      <c r="G149" s="560"/>
      <c r="H149" s="560"/>
      <c r="I149" s="560"/>
    </row>
    <row r="150" spans="1:9" x14ac:dyDescent="0.2">
      <c r="B150" s="560"/>
      <c r="C150" s="560"/>
      <c r="D150" s="560"/>
      <c r="E150" s="560"/>
      <c r="F150" s="560"/>
      <c r="G150" s="560"/>
      <c r="H150" s="560"/>
      <c r="I150" s="560"/>
    </row>
    <row r="151" spans="1:9" x14ac:dyDescent="0.2">
      <c r="B151" s="560" t="s">
        <v>821</v>
      </c>
      <c r="C151" s="560"/>
      <c r="D151" s="560"/>
      <c r="E151" s="560"/>
      <c r="F151" s="560"/>
      <c r="G151" s="560"/>
      <c r="H151" s="560"/>
      <c r="I151" s="560"/>
    </row>
    <row r="152" spans="1:9" x14ac:dyDescent="0.2">
      <c r="A152" t="s">
        <v>822</v>
      </c>
      <c r="B152" s="560">
        <v>232446000</v>
      </c>
      <c r="C152" s="560"/>
      <c r="D152" s="560"/>
      <c r="E152" s="560"/>
      <c r="F152" s="560"/>
      <c r="G152" s="560"/>
      <c r="H152" s="560"/>
      <c r="I152" s="560"/>
    </row>
    <row r="153" spans="1:9" x14ac:dyDescent="0.2">
      <c r="B153" s="560"/>
      <c r="C153" s="560"/>
      <c r="D153" s="560"/>
      <c r="E153" s="560"/>
      <c r="F153" s="560"/>
      <c r="G153" s="560"/>
      <c r="H153" s="560"/>
      <c r="I153" s="560"/>
    </row>
    <row r="154" spans="1:9" x14ac:dyDescent="0.2">
      <c r="A154" t="s">
        <v>823</v>
      </c>
      <c r="B154" s="560">
        <v>5700000</v>
      </c>
      <c r="C154" s="94">
        <f>B154/$B$159</f>
        <v>0.39550374687760198</v>
      </c>
      <c r="D154" s="560"/>
      <c r="E154" s="560"/>
      <c r="F154" s="560"/>
      <c r="G154" s="560"/>
      <c r="H154" s="560"/>
      <c r="I154" s="560"/>
    </row>
    <row r="155" spans="1:9" x14ac:dyDescent="0.2">
      <c r="A155" t="s">
        <v>824</v>
      </c>
      <c r="B155" s="560">
        <v>820000</v>
      </c>
      <c r="C155" s="94">
        <f>B155/$B$159</f>
        <v>5.6897030252567302E-2</v>
      </c>
      <c r="D155" s="560"/>
      <c r="E155" s="560"/>
      <c r="F155" s="560"/>
      <c r="G155" s="560"/>
      <c r="H155" s="560"/>
      <c r="I155" s="560"/>
    </row>
    <row r="156" spans="1:9" x14ac:dyDescent="0.2">
      <c r="A156" t="s">
        <v>825</v>
      </c>
      <c r="B156" s="560">
        <v>3000000</v>
      </c>
      <c r="C156" s="94">
        <f>B156/$B$159</f>
        <v>0.20815986677768525</v>
      </c>
      <c r="D156" s="560"/>
      <c r="E156" s="560"/>
      <c r="F156" s="560"/>
      <c r="G156" s="560"/>
      <c r="H156" s="560"/>
      <c r="I156" s="560"/>
    </row>
    <row r="157" spans="1:9" x14ac:dyDescent="0.2">
      <c r="A157" t="s">
        <v>826</v>
      </c>
      <c r="B157" s="560">
        <v>1400000</v>
      </c>
      <c r="C157" s="94">
        <f>B157/$B$159</f>
        <v>9.714127116291979E-2</v>
      </c>
      <c r="D157" s="560"/>
      <c r="E157" s="560"/>
      <c r="F157" s="560"/>
      <c r="G157" s="560"/>
      <c r="H157" s="560"/>
      <c r="I157" s="560"/>
    </row>
    <row r="158" spans="1:9" x14ac:dyDescent="0.2">
      <c r="A158" t="s">
        <v>827</v>
      </c>
      <c r="B158" s="560">
        <v>3492000</v>
      </c>
      <c r="C158" s="94">
        <f>B158/$B$159</f>
        <v>0.24229808492922564</v>
      </c>
      <c r="D158" s="560"/>
      <c r="E158" s="560"/>
      <c r="F158" s="560"/>
      <c r="G158" s="560"/>
      <c r="H158" s="560"/>
      <c r="I158" s="560"/>
    </row>
    <row r="159" spans="1:9" x14ac:dyDescent="0.2">
      <c r="B159" s="560">
        <f>SUM(B154:B158)</f>
        <v>14412000</v>
      </c>
      <c r="C159" s="560"/>
      <c r="D159" s="560"/>
      <c r="E159" s="560"/>
      <c r="F159" s="560"/>
      <c r="G159" s="560"/>
      <c r="H159" s="560"/>
      <c r="I159" s="560"/>
    </row>
    <row r="160" spans="1:9" x14ac:dyDescent="0.2">
      <c r="B160" s="560"/>
      <c r="C160" s="560"/>
      <c r="D160" s="560"/>
      <c r="E160" s="560"/>
      <c r="F160" s="560"/>
      <c r="G160" s="560"/>
      <c r="H160" s="560"/>
      <c r="I160" s="560"/>
    </row>
    <row r="161" spans="1:9" x14ac:dyDescent="0.2">
      <c r="B161" s="560"/>
      <c r="C161" s="560"/>
      <c r="D161" s="560"/>
      <c r="E161" s="560"/>
      <c r="F161" s="560"/>
      <c r="G161" s="560"/>
      <c r="H161" s="560"/>
      <c r="I161" s="560"/>
    </row>
    <row r="162" spans="1:9" ht="17" thickBot="1" x14ac:dyDescent="0.25">
      <c r="A162" s="1169" t="s">
        <v>911</v>
      </c>
      <c r="B162" s="1170"/>
      <c r="C162" s="1171"/>
      <c r="D162" s="560"/>
      <c r="E162" s="560"/>
      <c r="F162" s="560"/>
      <c r="G162" s="560"/>
      <c r="H162" s="560"/>
      <c r="I162" s="560"/>
    </row>
    <row r="163" spans="1:9" x14ac:dyDescent="0.2">
      <c r="A163" s="1172" t="s">
        <v>912</v>
      </c>
      <c r="B163" s="1489" t="s">
        <v>913</v>
      </c>
      <c r="C163" s="1490"/>
      <c r="D163" s="560"/>
      <c r="E163" s="560"/>
      <c r="F163" s="560"/>
      <c r="G163" s="560"/>
      <c r="H163" s="560"/>
      <c r="I163" s="560"/>
    </row>
    <row r="164" spans="1:9" x14ac:dyDescent="0.2">
      <c r="A164" s="1173" t="s">
        <v>914</v>
      </c>
      <c r="B164" s="1174">
        <f>SUM(インプット!E30,インプット!E34,インプット!E38,インプット!E42,インプット!E46,インプット!E50,インプット!E54)*インプット!E13*インプット!E12</f>
        <v>115500</v>
      </c>
      <c r="C164" s="1175" t="s">
        <v>915</v>
      </c>
      <c r="D164" s="560"/>
      <c r="E164" s="560"/>
      <c r="F164" s="560"/>
      <c r="G164" s="560"/>
      <c r="H164" s="560"/>
      <c r="I164" s="560"/>
    </row>
    <row r="165" spans="1:9" x14ac:dyDescent="0.2">
      <c r="A165" s="1173" t="s">
        <v>916</v>
      </c>
      <c r="B165" s="1176" t="str">
        <f>IF(LEFT(B187,1)="1",SUM(インプット!E30*インプット!E32,インプット!E34*インプット!E36,インプット!E38*インプット!E40,インプット!E42*インプット!E44,インプット!E46*インプット!E48,インプット!E50*インプット!E52,インプット!E54*インプット!E56),"-")</f>
        <v>-</v>
      </c>
      <c r="C165" s="1177" t="s">
        <v>917</v>
      </c>
      <c r="D165" s="560"/>
      <c r="E165" s="560"/>
      <c r="F165" s="560"/>
      <c r="G165" s="560"/>
      <c r="H165" s="560"/>
      <c r="I165" s="560"/>
    </row>
    <row r="166" spans="1:9" x14ac:dyDescent="0.2">
      <c r="A166" s="1178" t="s">
        <v>117</v>
      </c>
      <c r="B166" s="1179">
        <f>IF(LEFT($B$187,1)="1",$B$189*インプット!E8/3.6,インプット!E6*インプット!E12*インプット!E13)</f>
        <v>104479031.25</v>
      </c>
      <c r="C166" s="1177" t="s">
        <v>918</v>
      </c>
      <c r="D166" s="560"/>
      <c r="E166" s="560"/>
      <c r="F166" s="560"/>
      <c r="G166" s="560"/>
      <c r="H166" s="560"/>
      <c r="I166" s="560"/>
    </row>
    <row r="167" spans="1:9" x14ac:dyDescent="0.2">
      <c r="A167" s="1180" t="s">
        <v>919</v>
      </c>
      <c r="B167" s="1179">
        <f>IF(LEFT($B$187,1)="1",$B$189*インプット!E9,インプット!E7*インプット!E12*インプット!E13)</f>
        <v>752249025</v>
      </c>
      <c r="C167" s="1177" t="s">
        <v>917</v>
      </c>
      <c r="D167" s="560"/>
      <c r="E167" s="560"/>
      <c r="F167" s="560"/>
      <c r="G167" s="560"/>
      <c r="H167" s="560"/>
      <c r="I167" s="560"/>
    </row>
    <row r="168" spans="1:9" x14ac:dyDescent="0.2">
      <c r="A168" s="1180" t="s">
        <v>920</v>
      </c>
      <c r="B168" s="1179">
        <f>B190*(1-インプット!E10)</f>
        <v>0</v>
      </c>
      <c r="C168" s="1177" t="s">
        <v>918</v>
      </c>
      <c r="D168" s="560"/>
      <c r="E168" s="560"/>
      <c r="F168" s="560"/>
      <c r="G168" s="560"/>
      <c r="H168" s="560"/>
      <c r="I168" s="560"/>
    </row>
    <row r="169" spans="1:9" x14ac:dyDescent="0.2">
      <c r="A169" s="1180" t="s">
        <v>921</v>
      </c>
      <c r="B169" s="1181">
        <f>B191*(1-インプット!E11)</f>
        <v>0</v>
      </c>
      <c r="C169" s="1177" t="s">
        <v>917</v>
      </c>
    </row>
    <row r="170" spans="1:9" ht="13.5" thickBot="1" x14ac:dyDescent="0.25">
      <c r="A170" s="1182" t="s">
        <v>123</v>
      </c>
      <c r="B170" s="1183">
        <f>インプット!E12*インプット!E13/365/24</f>
        <v>0.90410958904109595</v>
      </c>
      <c r="C170" s="1184" t="s">
        <v>922</v>
      </c>
    </row>
  </sheetData>
  <sheetProtection password="B437" sheet="1" objects="1" scenarios="1"/>
  <mergeCells count="1">
    <mergeCell ref="B163:C163"/>
  </mergeCells>
  <phoneticPr fontId="4"/>
  <dataValidations disablePrompts="1" count="1">
    <dataValidation type="list" allowBlank="1" showInputMessage="1" showErrorMessage="1" sqref="C162">
      <formula1>#REF!</formula1>
    </dataValidation>
  </dataValidation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K566"/>
  <sheetViews>
    <sheetView topLeftCell="AA430" workbookViewId="0">
      <selection activeCell="AD486" sqref="AD486"/>
    </sheetView>
  </sheetViews>
  <sheetFormatPr defaultColWidth="8.90625" defaultRowHeight="11" x14ac:dyDescent="0.2"/>
  <cols>
    <col min="1" max="1" width="3.6328125" style="465" customWidth="1"/>
    <col min="2" max="2" width="28.6328125" style="445" customWidth="1"/>
    <col min="3" max="3" width="8.453125" style="416" customWidth="1"/>
    <col min="4" max="4" width="12.08984375" style="501" customWidth="1"/>
    <col min="5" max="5" width="14.90625" style="416" customWidth="1"/>
    <col min="6" max="34" width="13.6328125" style="416" customWidth="1"/>
    <col min="35" max="36" width="13.6328125" style="501" customWidth="1"/>
    <col min="37" max="37" width="13.36328125" style="416" customWidth="1"/>
    <col min="38" max="16384" width="8.90625" style="416"/>
  </cols>
  <sheetData>
    <row r="1" spans="1:37" s="443" customFormat="1" ht="11.5" x14ac:dyDescent="0.25">
      <c r="A1" s="444"/>
      <c r="B1" s="1491" t="s">
        <v>694</v>
      </c>
      <c r="C1" s="1492"/>
      <c r="D1" s="1042">
        <v>0</v>
      </c>
      <c r="E1" s="1043">
        <v>1</v>
      </c>
      <c r="F1" s="1043">
        <v>2</v>
      </c>
      <c r="G1" s="1043">
        <v>3</v>
      </c>
      <c r="H1" s="1043">
        <v>4</v>
      </c>
      <c r="I1" s="1043">
        <v>5</v>
      </c>
      <c r="J1" s="1043">
        <v>6</v>
      </c>
      <c r="K1" s="1043">
        <v>7</v>
      </c>
      <c r="L1" s="1043">
        <v>8</v>
      </c>
      <c r="M1" s="1043">
        <v>9</v>
      </c>
      <c r="N1" s="1043">
        <v>10</v>
      </c>
      <c r="O1" s="1043">
        <v>11</v>
      </c>
      <c r="P1" s="1043">
        <v>12</v>
      </c>
      <c r="Q1" s="1043">
        <v>13</v>
      </c>
      <c r="R1" s="1043">
        <v>14</v>
      </c>
      <c r="S1" s="1043">
        <v>15</v>
      </c>
      <c r="T1" s="1043">
        <v>16</v>
      </c>
      <c r="U1" s="1043">
        <v>17</v>
      </c>
      <c r="V1" s="1043">
        <v>18</v>
      </c>
      <c r="W1" s="1043">
        <v>19</v>
      </c>
      <c r="X1" s="1043">
        <v>20</v>
      </c>
      <c r="Y1" s="1043">
        <v>21</v>
      </c>
      <c r="Z1" s="1043">
        <v>22</v>
      </c>
      <c r="AA1" s="1043">
        <v>23</v>
      </c>
      <c r="AB1" s="1043">
        <v>24</v>
      </c>
      <c r="AC1" s="1043">
        <v>25</v>
      </c>
      <c r="AD1" s="1043">
        <v>26</v>
      </c>
      <c r="AE1" s="1043">
        <v>27</v>
      </c>
      <c r="AF1" s="1043">
        <v>28</v>
      </c>
      <c r="AG1" s="1043">
        <v>29</v>
      </c>
      <c r="AH1" s="1044">
        <v>30</v>
      </c>
      <c r="AI1" s="499"/>
      <c r="AJ1" s="499"/>
    </row>
    <row r="2" spans="1:37" s="443" customFormat="1" ht="11.5" x14ac:dyDescent="0.25">
      <c r="A2" s="444"/>
      <c r="B2" s="1045" t="s">
        <v>159</v>
      </c>
      <c r="C2" s="1046"/>
      <c r="D2" s="1047"/>
      <c r="E2" s="1048">
        <v>1</v>
      </c>
      <c r="F2" s="1048">
        <v>1</v>
      </c>
      <c r="G2" s="1048">
        <v>1</v>
      </c>
      <c r="H2" s="1048">
        <v>1</v>
      </c>
      <c r="I2" s="1048">
        <v>1</v>
      </c>
      <c r="J2" s="1048">
        <v>1</v>
      </c>
      <c r="K2" s="1048">
        <v>1</v>
      </c>
      <c r="L2" s="1048">
        <v>1</v>
      </c>
      <c r="M2" s="1048">
        <v>1</v>
      </c>
      <c r="N2" s="1048">
        <v>1</v>
      </c>
      <c r="O2" s="1048">
        <v>1</v>
      </c>
      <c r="P2" s="1048">
        <v>1</v>
      </c>
      <c r="Q2" s="1048">
        <v>1</v>
      </c>
      <c r="R2" s="1048">
        <v>1</v>
      </c>
      <c r="S2" s="1048">
        <v>1</v>
      </c>
      <c r="T2" s="1048">
        <v>1</v>
      </c>
      <c r="U2" s="1048">
        <v>1</v>
      </c>
      <c r="V2" s="1048">
        <v>1</v>
      </c>
      <c r="W2" s="1048">
        <v>1</v>
      </c>
      <c r="X2" s="1048">
        <v>1</v>
      </c>
      <c r="Y2" s="1048">
        <v>1</v>
      </c>
      <c r="Z2" s="1048">
        <v>1</v>
      </c>
      <c r="AA2" s="1048">
        <v>1</v>
      </c>
      <c r="AB2" s="1048">
        <v>1</v>
      </c>
      <c r="AC2" s="1048">
        <v>1</v>
      </c>
      <c r="AD2" s="1048">
        <v>1</v>
      </c>
      <c r="AE2" s="1048">
        <v>1</v>
      </c>
      <c r="AF2" s="1048">
        <v>1</v>
      </c>
      <c r="AG2" s="1048">
        <v>1</v>
      </c>
      <c r="AH2" s="1049">
        <v>1</v>
      </c>
      <c r="AI2" s="499"/>
      <c r="AJ2" s="499"/>
    </row>
    <row r="3" spans="1:37" s="443" customFormat="1" ht="11.5" x14ac:dyDescent="0.25">
      <c r="A3" s="444"/>
      <c r="B3" s="1050" t="s">
        <v>31</v>
      </c>
      <c r="C3" s="1051" t="s">
        <v>244</v>
      </c>
      <c r="D3" s="1052">
        <f>インプット!E15</f>
        <v>13</v>
      </c>
      <c r="E3" s="1052">
        <f>D3</f>
        <v>13</v>
      </c>
      <c r="F3" s="1052">
        <f t="shared" ref="F3:AH3" si="0">E3</f>
        <v>13</v>
      </c>
      <c r="G3" s="1052">
        <f t="shared" si="0"/>
        <v>13</v>
      </c>
      <c r="H3" s="1052">
        <f t="shared" si="0"/>
        <v>13</v>
      </c>
      <c r="I3" s="1052">
        <f t="shared" si="0"/>
        <v>13</v>
      </c>
      <c r="J3" s="1052">
        <f t="shared" si="0"/>
        <v>13</v>
      </c>
      <c r="K3" s="1052">
        <f t="shared" si="0"/>
        <v>13</v>
      </c>
      <c r="L3" s="1052">
        <f t="shared" si="0"/>
        <v>13</v>
      </c>
      <c r="M3" s="1052">
        <f t="shared" si="0"/>
        <v>13</v>
      </c>
      <c r="N3" s="1052">
        <f t="shared" si="0"/>
        <v>13</v>
      </c>
      <c r="O3" s="1052">
        <f t="shared" si="0"/>
        <v>13</v>
      </c>
      <c r="P3" s="1052">
        <f t="shared" si="0"/>
        <v>13</v>
      </c>
      <c r="Q3" s="1052">
        <f t="shared" si="0"/>
        <v>13</v>
      </c>
      <c r="R3" s="1052">
        <f t="shared" si="0"/>
        <v>13</v>
      </c>
      <c r="S3" s="1052">
        <f t="shared" si="0"/>
        <v>13</v>
      </c>
      <c r="T3" s="1052">
        <f t="shared" si="0"/>
        <v>13</v>
      </c>
      <c r="U3" s="1052">
        <f t="shared" si="0"/>
        <v>13</v>
      </c>
      <c r="V3" s="1052">
        <f t="shared" si="0"/>
        <v>13</v>
      </c>
      <c r="W3" s="1052">
        <f t="shared" si="0"/>
        <v>13</v>
      </c>
      <c r="X3" s="1052">
        <f t="shared" si="0"/>
        <v>13</v>
      </c>
      <c r="Y3" s="1052">
        <f t="shared" si="0"/>
        <v>13</v>
      </c>
      <c r="Z3" s="1052">
        <f t="shared" si="0"/>
        <v>13</v>
      </c>
      <c r="AA3" s="1052">
        <f t="shared" si="0"/>
        <v>13</v>
      </c>
      <c r="AB3" s="1052">
        <f t="shared" si="0"/>
        <v>13</v>
      </c>
      <c r="AC3" s="1052">
        <f t="shared" si="0"/>
        <v>13</v>
      </c>
      <c r="AD3" s="1052">
        <f t="shared" si="0"/>
        <v>13</v>
      </c>
      <c r="AE3" s="1052">
        <f t="shared" si="0"/>
        <v>13</v>
      </c>
      <c r="AF3" s="1052">
        <f t="shared" si="0"/>
        <v>13</v>
      </c>
      <c r="AG3" s="1052">
        <f t="shared" si="0"/>
        <v>13</v>
      </c>
      <c r="AH3" s="1052">
        <f t="shared" si="0"/>
        <v>13</v>
      </c>
      <c r="AI3" s="499"/>
      <c r="AJ3" s="499"/>
    </row>
    <row r="4" spans="1:37" s="443" customFormat="1" ht="11.5" x14ac:dyDescent="0.25">
      <c r="A4" s="444"/>
      <c r="B4" s="1050" t="s">
        <v>695</v>
      </c>
      <c r="C4" s="1051" t="s">
        <v>244</v>
      </c>
      <c r="D4" s="1053">
        <f>インプット!F15</f>
        <v>13</v>
      </c>
      <c r="E4" s="1052">
        <f>D4</f>
        <v>13</v>
      </c>
      <c r="F4" s="1052">
        <f t="shared" ref="F4:AH4" si="1">E4</f>
        <v>13</v>
      </c>
      <c r="G4" s="1052">
        <f t="shared" si="1"/>
        <v>13</v>
      </c>
      <c r="H4" s="1052">
        <f t="shared" si="1"/>
        <v>13</v>
      </c>
      <c r="I4" s="1052">
        <f t="shared" si="1"/>
        <v>13</v>
      </c>
      <c r="J4" s="1052">
        <f t="shared" si="1"/>
        <v>13</v>
      </c>
      <c r="K4" s="1052">
        <f t="shared" si="1"/>
        <v>13</v>
      </c>
      <c r="L4" s="1052">
        <f t="shared" si="1"/>
        <v>13</v>
      </c>
      <c r="M4" s="1052">
        <f t="shared" si="1"/>
        <v>13</v>
      </c>
      <c r="N4" s="1052">
        <f t="shared" si="1"/>
        <v>13</v>
      </c>
      <c r="O4" s="1052">
        <f t="shared" si="1"/>
        <v>13</v>
      </c>
      <c r="P4" s="1052">
        <f t="shared" si="1"/>
        <v>13</v>
      </c>
      <c r="Q4" s="1052">
        <f t="shared" si="1"/>
        <v>13</v>
      </c>
      <c r="R4" s="1052">
        <f t="shared" si="1"/>
        <v>13</v>
      </c>
      <c r="S4" s="1052">
        <f t="shared" si="1"/>
        <v>13</v>
      </c>
      <c r="T4" s="1052">
        <f t="shared" si="1"/>
        <v>13</v>
      </c>
      <c r="U4" s="1052">
        <f t="shared" si="1"/>
        <v>13</v>
      </c>
      <c r="V4" s="1052">
        <f t="shared" si="1"/>
        <v>13</v>
      </c>
      <c r="W4" s="1052">
        <f t="shared" si="1"/>
        <v>13</v>
      </c>
      <c r="X4" s="1052">
        <f t="shared" si="1"/>
        <v>13</v>
      </c>
      <c r="Y4" s="1052">
        <f t="shared" si="1"/>
        <v>13</v>
      </c>
      <c r="Z4" s="1052">
        <f t="shared" si="1"/>
        <v>13</v>
      </c>
      <c r="AA4" s="1052">
        <f t="shared" si="1"/>
        <v>13</v>
      </c>
      <c r="AB4" s="1052">
        <f t="shared" si="1"/>
        <v>13</v>
      </c>
      <c r="AC4" s="1052">
        <f t="shared" si="1"/>
        <v>13</v>
      </c>
      <c r="AD4" s="1052">
        <f t="shared" si="1"/>
        <v>13</v>
      </c>
      <c r="AE4" s="1052">
        <f t="shared" si="1"/>
        <v>13</v>
      </c>
      <c r="AF4" s="1052">
        <f t="shared" si="1"/>
        <v>13</v>
      </c>
      <c r="AG4" s="1052">
        <f t="shared" si="1"/>
        <v>13</v>
      </c>
      <c r="AH4" s="1052">
        <f t="shared" si="1"/>
        <v>13</v>
      </c>
      <c r="AI4" s="499"/>
      <c r="AJ4" s="499"/>
    </row>
    <row r="5" spans="1:37" s="443" customFormat="1" ht="11.5" x14ac:dyDescent="0.25">
      <c r="A5" s="444"/>
      <c r="B5" s="1050" t="s">
        <v>42</v>
      </c>
      <c r="C5" s="1051" t="s">
        <v>244</v>
      </c>
      <c r="D5" s="1053">
        <f>インプット!E15</f>
        <v>13</v>
      </c>
      <c r="E5" s="1052">
        <f>D5</f>
        <v>13</v>
      </c>
      <c r="F5" s="1052">
        <f t="shared" ref="F5:AH5" si="2">E5</f>
        <v>13</v>
      </c>
      <c r="G5" s="1052">
        <f t="shared" si="2"/>
        <v>13</v>
      </c>
      <c r="H5" s="1052">
        <f t="shared" si="2"/>
        <v>13</v>
      </c>
      <c r="I5" s="1052">
        <f t="shared" si="2"/>
        <v>13</v>
      </c>
      <c r="J5" s="1052">
        <f t="shared" si="2"/>
        <v>13</v>
      </c>
      <c r="K5" s="1052">
        <f t="shared" si="2"/>
        <v>13</v>
      </c>
      <c r="L5" s="1052">
        <f t="shared" si="2"/>
        <v>13</v>
      </c>
      <c r="M5" s="1052">
        <f t="shared" si="2"/>
        <v>13</v>
      </c>
      <c r="N5" s="1052">
        <f t="shared" si="2"/>
        <v>13</v>
      </c>
      <c r="O5" s="1052">
        <f t="shared" si="2"/>
        <v>13</v>
      </c>
      <c r="P5" s="1052">
        <f t="shared" si="2"/>
        <v>13</v>
      </c>
      <c r="Q5" s="1052">
        <f t="shared" si="2"/>
        <v>13</v>
      </c>
      <c r="R5" s="1052">
        <f t="shared" si="2"/>
        <v>13</v>
      </c>
      <c r="S5" s="1052">
        <f t="shared" si="2"/>
        <v>13</v>
      </c>
      <c r="T5" s="1052">
        <f t="shared" si="2"/>
        <v>13</v>
      </c>
      <c r="U5" s="1052">
        <f t="shared" si="2"/>
        <v>13</v>
      </c>
      <c r="V5" s="1052">
        <f t="shared" si="2"/>
        <v>13</v>
      </c>
      <c r="W5" s="1052">
        <f t="shared" si="2"/>
        <v>13</v>
      </c>
      <c r="X5" s="1052">
        <f t="shared" si="2"/>
        <v>13</v>
      </c>
      <c r="Y5" s="1052">
        <f t="shared" si="2"/>
        <v>13</v>
      </c>
      <c r="Z5" s="1052">
        <f t="shared" si="2"/>
        <v>13</v>
      </c>
      <c r="AA5" s="1052">
        <f t="shared" si="2"/>
        <v>13</v>
      </c>
      <c r="AB5" s="1052">
        <f t="shared" si="2"/>
        <v>13</v>
      </c>
      <c r="AC5" s="1052">
        <f t="shared" si="2"/>
        <v>13</v>
      </c>
      <c r="AD5" s="1052">
        <f t="shared" si="2"/>
        <v>13</v>
      </c>
      <c r="AE5" s="1052">
        <f t="shared" si="2"/>
        <v>13</v>
      </c>
      <c r="AF5" s="1052">
        <f t="shared" si="2"/>
        <v>13</v>
      </c>
      <c r="AG5" s="1052">
        <f t="shared" si="2"/>
        <v>13</v>
      </c>
      <c r="AH5" s="1052">
        <f t="shared" si="2"/>
        <v>13</v>
      </c>
      <c r="AI5" s="499"/>
      <c r="AJ5" s="499"/>
    </row>
    <row r="6" spans="1:37" s="443" customFormat="1" ht="12" thickBot="1" x14ac:dyDescent="0.3">
      <c r="A6" s="444"/>
      <c r="B6" s="349"/>
      <c r="C6" s="470"/>
      <c r="D6" s="583"/>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99"/>
      <c r="AJ6" s="499"/>
    </row>
    <row r="7" spans="1:37" ht="12" thickBot="1" x14ac:dyDescent="0.3">
      <c r="A7" s="446"/>
      <c r="B7" s="484" t="s">
        <v>240</v>
      </c>
      <c r="C7" s="447"/>
      <c r="D7" s="584">
        <v>0</v>
      </c>
      <c r="E7" s="448">
        <v>1</v>
      </c>
      <c r="F7" s="448">
        <v>2</v>
      </c>
      <c r="G7" s="448">
        <v>3</v>
      </c>
      <c r="H7" s="448">
        <v>4</v>
      </c>
      <c r="I7" s="448">
        <v>5</v>
      </c>
      <c r="J7" s="448">
        <v>6</v>
      </c>
      <c r="K7" s="448">
        <v>7</v>
      </c>
      <c r="L7" s="448">
        <v>8</v>
      </c>
      <c r="M7" s="448">
        <v>9</v>
      </c>
      <c r="N7" s="448">
        <v>10</v>
      </c>
      <c r="O7" s="448">
        <v>11</v>
      </c>
      <c r="P7" s="448">
        <v>12</v>
      </c>
      <c r="Q7" s="448">
        <v>13</v>
      </c>
      <c r="R7" s="448">
        <v>14</v>
      </c>
      <c r="S7" s="448">
        <v>15</v>
      </c>
      <c r="T7" s="448">
        <v>16</v>
      </c>
      <c r="U7" s="448">
        <v>17</v>
      </c>
      <c r="V7" s="448">
        <v>18</v>
      </c>
      <c r="W7" s="448">
        <v>19</v>
      </c>
      <c r="X7" s="449">
        <v>20</v>
      </c>
      <c r="Y7" s="449">
        <v>21</v>
      </c>
      <c r="Z7" s="449">
        <v>22</v>
      </c>
      <c r="AA7" s="449">
        <v>23</v>
      </c>
      <c r="AB7" s="449">
        <v>24</v>
      </c>
      <c r="AC7" s="449">
        <v>25</v>
      </c>
      <c r="AD7" s="449">
        <v>26</v>
      </c>
      <c r="AE7" s="449">
        <v>27</v>
      </c>
      <c r="AF7" s="449">
        <v>28</v>
      </c>
      <c r="AG7" s="449">
        <v>29</v>
      </c>
      <c r="AH7" s="463">
        <v>30</v>
      </c>
      <c r="AI7" s="500" t="s">
        <v>298</v>
      </c>
      <c r="AJ7" s="500" t="s">
        <v>261</v>
      </c>
      <c r="AK7" s="500" t="s">
        <v>262</v>
      </c>
    </row>
    <row r="8" spans="1:37" s="443" customFormat="1" ht="11.5" x14ac:dyDescent="0.25">
      <c r="A8" s="477" t="s">
        <v>241</v>
      </c>
      <c r="B8" s="349"/>
      <c r="C8" s="451" t="s">
        <v>239</v>
      </c>
      <c r="D8" s="583"/>
      <c r="E8" s="471">
        <f>計算シート!E17</f>
        <v>1222404665.625</v>
      </c>
      <c r="F8" s="471">
        <f>計算シート!F17</f>
        <v>1222404665.625</v>
      </c>
      <c r="G8" s="471">
        <f>計算シート!G17</f>
        <v>1222404665.625</v>
      </c>
      <c r="H8" s="471">
        <f>計算シート!H17</f>
        <v>1222404665.625</v>
      </c>
      <c r="I8" s="471">
        <f>計算シート!I17</f>
        <v>1222404665.625</v>
      </c>
      <c r="J8" s="471">
        <f>計算シート!J17</f>
        <v>1222404665.625</v>
      </c>
      <c r="K8" s="471">
        <f>計算シート!K17</f>
        <v>1222404665.625</v>
      </c>
      <c r="L8" s="471">
        <f>計算シート!L17</f>
        <v>1222404665.625</v>
      </c>
      <c r="M8" s="471">
        <f>計算シート!M17</f>
        <v>1222404665.625</v>
      </c>
      <c r="N8" s="471">
        <f>計算シート!N17</f>
        <v>1222404665.625</v>
      </c>
      <c r="O8" s="471">
        <f>計算シート!O17</f>
        <v>1222404665.625</v>
      </c>
      <c r="P8" s="471">
        <f>計算シート!P17</f>
        <v>1222404665.625</v>
      </c>
      <c r="Q8" s="471">
        <f>計算シート!Q17</f>
        <v>1222404665.625</v>
      </c>
      <c r="R8" s="471">
        <f>計算シート!R17</f>
        <v>1222404665.625</v>
      </c>
      <c r="S8" s="471">
        <f>計算シート!S17</f>
        <v>1222404665.625</v>
      </c>
      <c r="T8" s="471">
        <f>計算シート!T17</f>
        <v>1222404665.625</v>
      </c>
      <c r="U8" s="471">
        <f>計算シート!U17</f>
        <v>1222404665.625</v>
      </c>
      <c r="V8" s="471">
        <f>計算シート!V17</f>
        <v>1222404665.625</v>
      </c>
      <c r="W8" s="471">
        <f>計算シート!W17</f>
        <v>1222404665.625</v>
      </c>
      <c r="X8" s="471">
        <f>計算シート!X17</f>
        <v>1222404665.625</v>
      </c>
      <c r="Y8" s="471">
        <f>計算シート!Y17</f>
        <v>1222404665.625</v>
      </c>
      <c r="Z8" s="471">
        <f>計算シート!Z17</f>
        <v>1222404665.625</v>
      </c>
      <c r="AA8" s="471">
        <f>計算シート!AA17</f>
        <v>1222404665.625</v>
      </c>
      <c r="AB8" s="471">
        <f>計算シート!AB17</f>
        <v>1222404665.625</v>
      </c>
      <c r="AC8" s="471">
        <f>計算シート!AC17</f>
        <v>1222404665.625</v>
      </c>
      <c r="AD8" s="471">
        <f>計算シート!AD17</f>
        <v>1222404665.625</v>
      </c>
      <c r="AE8" s="471">
        <f>計算シート!AE17</f>
        <v>1222404665.625</v>
      </c>
      <c r="AF8" s="471">
        <f>計算シート!AF17</f>
        <v>1222404665.625</v>
      </c>
      <c r="AG8" s="471">
        <f>計算シート!AG17</f>
        <v>1222404665.625</v>
      </c>
      <c r="AH8" s="471">
        <f>計算シート!AH17</f>
        <v>1222404665.625</v>
      </c>
      <c r="AI8" s="496">
        <f>SUM(D8:N8)</f>
        <v>12224046656.25</v>
      </c>
      <c r="AJ8" s="496">
        <f>SUM(D8:X8)</f>
        <v>24448093312.5</v>
      </c>
      <c r="AK8" s="496">
        <f>SUM(D8:AH8)</f>
        <v>36672139968.75</v>
      </c>
    </row>
    <row r="9" spans="1:37" s="443" customFormat="1" ht="11.5" x14ac:dyDescent="0.25">
      <c r="A9" s="477" t="s">
        <v>247</v>
      </c>
      <c r="B9" s="349"/>
      <c r="C9" s="472" t="s">
        <v>243</v>
      </c>
      <c r="D9" s="583"/>
      <c r="E9" s="471">
        <f>計算シート!E18</f>
        <v>104479031.25</v>
      </c>
      <c r="F9" s="471">
        <f>計算シート!F18</f>
        <v>104479031.25</v>
      </c>
      <c r="G9" s="471">
        <f>計算シート!G18</f>
        <v>104479031.25</v>
      </c>
      <c r="H9" s="471">
        <f>計算シート!H18</f>
        <v>104479031.25</v>
      </c>
      <c r="I9" s="471">
        <f>計算シート!I18</f>
        <v>104479031.25</v>
      </c>
      <c r="J9" s="471">
        <f>計算シート!J18</f>
        <v>104479031.25</v>
      </c>
      <c r="K9" s="471">
        <f>計算シート!K18</f>
        <v>104479031.25</v>
      </c>
      <c r="L9" s="471">
        <f>計算シート!L18</f>
        <v>104479031.25</v>
      </c>
      <c r="M9" s="471">
        <f>計算シート!M18</f>
        <v>104479031.25</v>
      </c>
      <c r="N9" s="471">
        <f>計算シート!N18</f>
        <v>104479031.25</v>
      </c>
      <c r="O9" s="471">
        <f>計算シート!O18</f>
        <v>104479031.25</v>
      </c>
      <c r="P9" s="471">
        <f>計算シート!P18</f>
        <v>104479031.25</v>
      </c>
      <c r="Q9" s="471">
        <f>計算シート!Q18</f>
        <v>104479031.25</v>
      </c>
      <c r="R9" s="471">
        <f>計算シート!R18</f>
        <v>104479031.25</v>
      </c>
      <c r="S9" s="471">
        <f>計算シート!S18</f>
        <v>104479031.25</v>
      </c>
      <c r="T9" s="471">
        <f>計算シート!T18</f>
        <v>104479031.25</v>
      </c>
      <c r="U9" s="471">
        <f>計算シート!U18</f>
        <v>104479031.25</v>
      </c>
      <c r="V9" s="471">
        <f>計算シート!V18</f>
        <v>104479031.25</v>
      </c>
      <c r="W9" s="471">
        <f>計算シート!W18</f>
        <v>104479031.25</v>
      </c>
      <c r="X9" s="471">
        <f>計算シート!X18</f>
        <v>104479031.25</v>
      </c>
      <c r="Y9" s="471">
        <f>計算シート!Y18</f>
        <v>104479031.25</v>
      </c>
      <c r="Z9" s="471">
        <f>計算シート!Z18</f>
        <v>104479031.25</v>
      </c>
      <c r="AA9" s="471">
        <f>計算シート!AA18</f>
        <v>104479031.25</v>
      </c>
      <c r="AB9" s="471">
        <f>計算シート!AB18</f>
        <v>104479031.25</v>
      </c>
      <c r="AC9" s="471">
        <f>計算シート!AC18</f>
        <v>104479031.25</v>
      </c>
      <c r="AD9" s="471">
        <f>計算シート!AD18</f>
        <v>104479031.25</v>
      </c>
      <c r="AE9" s="471">
        <f>計算シート!AE18</f>
        <v>104479031.25</v>
      </c>
      <c r="AF9" s="471">
        <f>計算シート!AF18</f>
        <v>104479031.25</v>
      </c>
      <c r="AG9" s="471">
        <f>計算シート!AG18</f>
        <v>104479031.25</v>
      </c>
      <c r="AH9" s="471">
        <f>計算シート!AH18</f>
        <v>104479031.25</v>
      </c>
      <c r="AI9" s="497">
        <f t="shared" ref="AI9:AI22" si="3">SUM(D9:N9)</f>
        <v>1044790312.5</v>
      </c>
      <c r="AJ9" s="497">
        <f t="shared" ref="AJ9:AJ22" si="4">SUM(D9:X9)</f>
        <v>2089580625</v>
      </c>
      <c r="AK9" s="497">
        <f t="shared" ref="AK9:AK22" si="5">SUM(D9:AH9)</f>
        <v>3134370937.5</v>
      </c>
    </row>
    <row r="10" spans="1:37" s="443" customFormat="1" ht="11.5" x14ac:dyDescent="0.25">
      <c r="A10" s="477" t="s">
        <v>248</v>
      </c>
      <c r="B10" s="349"/>
      <c r="C10" s="472" t="s">
        <v>243</v>
      </c>
      <c r="D10" s="583"/>
      <c r="E10" s="471">
        <f>計算シート!E20</f>
        <v>94031128.125</v>
      </c>
      <c r="F10" s="471">
        <f>計算シート!F20</f>
        <v>94031128.125</v>
      </c>
      <c r="G10" s="471">
        <f>計算シート!G20</f>
        <v>94031128.125</v>
      </c>
      <c r="H10" s="471">
        <f>計算シート!H20</f>
        <v>94031128.125</v>
      </c>
      <c r="I10" s="471">
        <f>計算シート!I20</f>
        <v>94031128.125</v>
      </c>
      <c r="J10" s="471">
        <f>計算シート!J20</f>
        <v>94031128.125</v>
      </c>
      <c r="K10" s="471">
        <f>計算シート!K20</f>
        <v>94031128.125</v>
      </c>
      <c r="L10" s="471">
        <f>計算シート!L20</f>
        <v>94031128.125</v>
      </c>
      <c r="M10" s="471">
        <f>計算シート!M20</f>
        <v>94031128.125</v>
      </c>
      <c r="N10" s="471">
        <f>計算シート!N20</f>
        <v>94031128.125</v>
      </c>
      <c r="O10" s="471">
        <f>計算シート!O20</f>
        <v>94031128.125</v>
      </c>
      <c r="P10" s="471">
        <f>計算シート!P20</f>
        <v>94031128.125</v>
      </c>
      <c r="Q10" s="471">
        <f>計算シート!Q20</f>
        <v>94031128.125</v>
      </c>
      <c r="R10" s="471">
        <f>計算シート!R20</f>
        <v>94031128.125</v>
      </c>
      <c r="S10" s="471">
        <f>計算シート!S20</f>
        <v>94031128.125</v>
      </c>
      <c r="T10" s="471">
        <f>計算シート!T20</f>
        <v>94031128.125</v>
      </c>
      <c r="U10" s="471">
        <f>計算シート!U20</f>
        <v>94031128.125</v>
      </c>
      <c r="V10" s="471">
        <f>計算シート!V20</f>
        <v>94031128.125</v>
      </c>
      <c r="W10" s="471">
        <f>計算シート!W20</f>
        <v>94031128.125</v>
      </c>
      <c r="X10" s="471">
        <f>計算シート!X20</f>
        <v>94031128.125</v>
      </c>
      <c r="Y10" s="471">
        <f>計算シート!Y20</f>
        <v>94031128.125</v>
      </c>
      <c r="Z10" s="471">
        <f>計算シート!Z20</f>
        <v>94031128.125</v>
      </c>
      <c r="AA10" s="471">
        <f>計算シート!AA20</f>
        <v>94031128.125</v>
      </c>
      <c r="AB10" s="471">
        <f>計算シート!AB20</f>
        <v>94031128.125</v>
      </c>
      <c r="AC10" s="471">
        <f>計算シート!AC20</f>
        <v>94031128.125</v>
      </c>
      <c r="AD10" s="471">
        <f>計算シート!AD20</f>
        <v>94031128.125</v>
      </c>
      <c r="AE10" s="471">
        <f>計算シート!AE20</f>
        <v>94031128.125</v>
      </c>
      <c r="AF10" s="471">
        <f>計算シート!AF20</f>
        <v>94031128.125</v>
      </c>
      <c r="AG10" s="471">
        <f>計算シート!AG20</f>
        <v>94031128.125</v>
      </c>
      <c r="AH10" s="471">
        <f>計算シート!AH20</f>
        <v>94031128.125</v>
      </c>
      <c r="AI10" s="497">
        <f t="shared" si="3"/>
        <v>940311281.25</v>
      </c>
      <c r="AJ10" s="497">
        <f t="shared" si="4"/>
        <v>1880622562.5</v>
      </c>
      <c r="AK10" s="497">
        <f t="shared" si="5"/>
        <v>2820933843.75</v>
      </c>
    </row>
    <row r="11" spans="1:37" s="443" customFormat="1" ht="11.5" x14ac:dyDescent="0.25">
      <c r="A11" s="478" t="s">
        <v>249</v>
      </c>
      <c r="B11" s="473"/>
      <c r="C11" s="474" t="s">
        <v>244</v>
      </c>
      <c r="D11" s="585"/>
      <c r="E11" s="475">
        <f>計算シート!E21</f>
        <v>13</v>
      </c>
      <c r="F11" s="475">
        <f>計算シート!F21</f>
        <v>13</v>
      </c>
      <c r="G11" s="475">
        <f>計算シート!G21</f>
        <v>13</v>
      </c>
      <c r="H11" s="475">
        <f>計算シート!H21</f>
        <v>13</v>
      </c>
      <c r="I11" s="475">
        <f>計算シート!I21</f>
        <v>13</v>
      </c>
      <c r="J11" s="475">
        <f>計算シート!J21</f>
        <v>13</v>
      </c>
      <c r="K11" s="475">
        <f>計算シート!K21</f>
        <v>13</v>
      </c>
      <c r="L11" s="475">
        <f>計算シート!L21</f>
        <v>13</v>
      </c>
      <c r="M11" s="475">
        <f>計算シート!M21</f>
        <v>13</v>
      </c>
      <c r="N11" s="475">
        <f>計算シート!N21</f>
        <v>13</v>
      </c>
      <c r="O11" s="475">
        <f>計算シート!O21</f>
        <v>13</v>
      </c>
      <c r="P11" s="475">
        <f>計算シート!P21</f>
        <v>13</v>
      </c>
      <c r="Q11" s="475">
        <f>計算シート!Q21</f>
        <v>13</v>
      </c>
      <c r="R11" s="475">
        <f>計算シート!R21</f>
        <v>13</v>
      </c>
      <c r="S11" s="475">
        <f>計算シート!S21</f>
        <v>13</v>
      </c>
      <c r="T11" s="475">
        <f>計算シート!T21</f>
        <v>13</v>
      </c>
      <c r="U11" s="475">
        <f>計算シート!U21</f>
        <v>13</v>
      </c>
      <c r="V11" s="475">
        <f>計算シート!V21</f>
        <v>13</v>
      </c>
      <c r="W11" s="475">
        <f>計算シート!W21</f>
        <v>13</v>
      </c>
      <c r="X11" s="475">
        <f>計算シート!X21</f>
        <v>13</v>
      </c>
      <c r="Y11" s="475">
        <f>計算シート!Y21</f>
        <v>13</v>
      </c>
      <c r="Z11" s="475">
        <f>計算シート!Z21</f>
        <v>13</v>
      </c>
      <c r="AA11" s="475">
        <f>計算シート!AA21</f>
        <v>13</v>
      </c>
      <c r="AB11" s="475">
        <f>計算シート!AB21</f>
        <v>13</v>
      </c>
      <c r="AC11" s="475">
        <f>計算シート!AC21</f>
        <v>13</v>
      </c>
      <c r="AD11" s="475">
        <f>計算シート!AD21</f>
        <v>13</v>
      </c>
      <c r="AE11" s="475">
        <f>計算シート!AE21</f>
        <v>13</v>
      </c>
      <c r="AF11" s="475">
        <f>計算シート!AF21</f>
        <v>13</v>
      </c>
      <c r="AG11" s="475">
        <f>計算シート!AG21</f>
        <v>13</v>
      </c>
      <c r="AH11" s="475">
        <f>計算シート!AH21</f>
        <v>13</v>
      </c>
      <c r="AI11" s="520">
        <f>SUM(D11:N11)/10</f>
        <v>13</v>
      </c>
      <c r="AJ11" s="520">
        <f>SUM(D11:X11)/20</f>
        <v>13</v>
      </c>
      <c r="AK11" s="520">
        <f>SUM(D11:AH11)/30</f>
        <v>13</v>
      </c>
    </row>
    <row r="12" spans="1:37" s="443" customFormat="1" ht="11.5" x14ac:dyDescent="0.25">
      <c r="A12" s="477" t="s">
        <v>242</v>
      </c>
      <c r="B12" s="349"/>
      <c r="C12" s="451" t="s">
        <v>239</v>
      </c>
      <c r="D12" s="583"/>
      <c r="E12" s="471">
        <f>計算シート!E22</f>
        <v>261197578.125</v>
      </c>
      <c r="F12" s="471">
        <f>計算シート!F22</f>
        <v>261197578.125</v>
      </c>
      <c r="G12" s="471">
        <f>計算シート!G22</f>
        <v>261197578.125</v>
      </c>
      <c r="H12" s="471">
        <f>計算シート!H22</f>
        <v>261197578.125</v>
      </c>
      <c r="I12" s="471">
        <f>計算シート!I22</f>
        <v>261197578.125</v>
      </c>
      <c r="J12" s="471">
        <f>計算シート!J22</f>
        <v>261197578.125</v>
      </c>
      <c r="K12" s="471">
        <f>計算シート!K22</f>
        <v>261197578.125</v>
      </c>
      <c r="L12" s="471">
        <f>計算シート!L22</f>
        <v>261197578.125</v>
      </c>
      <c r="M12" s="471">
        <f>計算シート!M22</f>
        <v>261197578.125</v>
      </c>
      <c r="N12" s="471">
        <f>計算シート!N22</f>
        <v>261197578.125</v>
      </c>
      <c r="O12" s="471">
        <f>計算シート!O22</f>
        <v>261197578.125</v>
      </c>
      <c r="P12" s="471">
        <f>計算シート!P22</f>
        <v>261197578.125</v>
      </c>
      <c r="Q12" s="471">
        <f>計算シート!Q22</f>
        <v>261197578.125</v>
      </c>
      <c r="R12" s="471">
        <f>計算シート!R22</f>
        <v>261197578.125</v>
      </c>
      <c r="S12" s="471">
        <f>計算シート!S22</f>
        <v>261197578.125</v>
      </c>
      <c r="T12" s="471">
        <f>計算シート!T22</f>
        <v>261197578.125</v>
      </c>
      <c r="U12" s="471">
        <f>計算シート!U22</f>
        <v>261197578.125</v>
      </c>
      <c r="V12" s="471">
        <f>計算シート!V22</f>
        <v>261197578.125</v>
      </c>
      <c r="W12" s="471">
        <f>計算シート!W22</f>
        <v>261197578.125</v>
      </c>
      <c r="X12" s="471">
        <f>計算シート!X22</f>
        <v>261197578.125</v>
      </c>
      <c r="Y12" s="471">
        <f>計算シート!Y22</f>
        <v>261197578.125</v>
      </c>
      <c r="Z12" s="471">
        <f>計算シート!Z22</f>
        <v>261197578.125</v>
      </c>
      <c r="AA12" s="471">
        <f>計算シート!AA22</f>
        <v>261197578.125</v>
      </c>
      <c r="AB12" s="471">
        <f>計算シート!AB22</f>
        <v>261197578.125</v>
      </c>
      <c r="AC12" s="471">
        <f>計算シート!AC22</f>
        <v>261197578.125</v>
      </c>
      <c r="AD12" s="471">
        <f>計算シート!AD22</f>
        <v>261197578.125</v>
      </c>
      <c r="AE12" s="471">
        <f>計算シート!AE22</f>
        <v>261197578.125</v>
      </c>
      <c r="AF12" s="471">
        <f>計算シート!AF22</f>
        <v>261197578.125</v>
      </c>
      <c r="AG12" s="471">
        <f>計算シート!AG22</f>
        <v>261197578.125</v>
      </c>
      <c r="AH12" s="471">
        <f>計算シート!AH22</f>
        <v>261197578.125</v>
      </c>
      <c r="AI12" s="497">
        <f t="shared" si="3"/>
        <v>2611975781.25</v>
      </c>
      <c r="AJ12" s="497">
        <f t="shared" si="4"/>
        <v>5223951562.5</v>
      </c>
      <c r="AK12" s="497">
        <f t="shared" si="5"/>
        <v>7835927343.75</v>
      </c>
    </row>
    <row r="13" spans="1:37" s="443" customFormat="1" ht="11.5" x14ac:dyDescent="0.25">
      <c r="A13" s="477" t="s">
        <v>250</v>
      </c>
      <c r="B13" s="349"/>
      <c r="C13" s="472" t="s">
        <v>245</v>
      </c>
      <c r="D13" s="583"/>
      <c r="E13" s="471">
        <f>計算シート!E23</f>
        <v>208958062.5</v>
      </c>
      <c r="F13" s="471">
        <f>計算シート!F23</f>
        <v>208958062.5</v>
      </c>
      <c r="G13" s="471">
        <f>計算シート!G23</f>
        <v>208958062.5</v>
      </c>
      <c r="H13" s="471">
        <f>計算シート!H23</f>
        <v>208958062.5</v>
      </c>
      <c r="I13" s="471">
        <f>計算シート!I23</f>
        <v>208958062.5</v>
      </c>
      <c r="J13" s="471">
        <f>計算シート!J23</f>
        <v>208958062.5</v>
      </c>
      <c r="K13" s="471">
        <f>計算シート!K23</f>
        <v>208958062.5</v>
      </c>
      <c r="L13" s="471">
        <f>計算シート!L23</f>
        <v>208958062.5</v>
      </c>
      <c r="M13" s="471">
        <f>計算シート!M23</f>
        <v>208958062.5</v>
      </c>
      <c r="N13" s="471">
        <f>計算シート!N23</f>
        <v>208958062.5</v>
      </c>
      <c r="O13" s="471">
        <f>計算シート!O23</f>
        <v>208958062.5</v>
      </c>
      <c r="P13" s="471">
        <f>計算シート!P23</f>
        <v>208958062.5</v>
      </c>
      <c r="Q13" s="471">
        <f>計算シート!Q23</f>
        <v>208958062.5</v>
      </c>
      <c r="R13" s="471">
        <f>計算シート!R23</f>
        <v>208958062.5</v>
      </c>
      <c r="S13" s="471">
        <f>計算シート!S23</f>
        <v>208958062.5</v>
      </c>
      <c r="T13" s="471">
        <f>計算シート!T23</f>
        <v>208958062.5</v>
      </c>
      <c r="U13" s="471">
        <f>計算シート!U23</f>
        <v>208958062.5</v>
      </c>
      <c r="V13" s="471">
        <f>計算シート!V23</f>
        <v>208958062.5</v>
      </c>
      <c r="W13" s="471">
        <f>計算シート!W23</f>
        <v>208958062.5</v>
      </c>
      <c r="X13" s="471">
        <f>計算シート!X23</f>
        <v>208958062.5</v>
      </c>
      <c r="Y13" s="471">
        <f>計算シート!Y23</f>
        <v>208958062.5</v>
      </c>
      <c r="Z13" s="471">
        <f>計算シート!Z23</f>
        <v>208958062.5</v>
      </c>
      <c r="AA13" s="471">
        <f>計算シート!AA23</f>
        <v>208958062.5</v>
      </c>
      <c r="AB13" s="471">
        <f>計算シート!AB23</f>
        <v>208958062.5</v>
      </c>
      <c r="AC13" s="471">
        <f>計算シート!AC23</f>
        <v>208958062.5</v>
      </c>
      <c r="AD13" s="471">
        <f>計算シート!AD23</f>
        <v>208958062.5</v>
      </c>
      <c r="AE13" s="471">
        <f>計算シート!AE23</f>
        <v>208958062.5</v>
      </c>
      <c r="AF13" s="471">
        <f>計算シート!AF23</f>
        <v>208958062.5</v>
      </c>
      <c r="AG13" s="471">
        <f>計算シート!AG23</f>
        <v>208958062.5</v>
      </c>
      <c r="AH13" s="471">
        <f>計算シート!AH23</f>
        <v>208958062.5</v>
      </c>
      <c r="AI13" s="497">
        <f t="shared" si="3"/>
        <v>2089580625</v>
      </c>
      <c r="AJ13" s="497">
        <f t="shared" si="4"/>
        <v>4179161250</v>
      </c>
      <c r="AK13" s="497">
        <f t="shared" si="5"/>
        <v>6268741875</v>
      </c>
    </row>
    <row r="14" spans="1:37" s="443" customFormat="1" ht="11.5" x14ac:dyDescent="0.25">
      <c r="A14" s="477" t="s">
        <v>251</v>
      </c>
      <c r="B14" s="349"/>
      <c r="C14" s="472" t="s">
        <v>245</v>
      </c>
      <c r="D14" s="583"/>
      <c r="E14" s="471">
        <f>計算シート!E25</f>
        <v>52239515.625</v>
      </c>
      <c r="F14" s="471">
        <f>計算シート!F25</f>
        <v>52239515.625</v>
      </c>
      <c r="G14" s="471">
        <f>計算シート!G25</f>
        <v>52239515.625</v>
      </c>
      <c r="H14" s="471">
        <f>計算シート!H25</f>
        <v>52239515.625</v>
      </c>
      <c r="I14" s="471">
        <f>計算シート!I25</f>
        <v>52239515.625</v>
      </c>
      <c r="J14" s="471">
        <f>計算シート!J25</f>
        <v>52239515.625</v>
      </c>
      <c r="K14" s="471">
        <f>計算シート!K25</f>
        <v>52239515.625</v>
      </c>
      <c r="L14" s="471">
        <f>計算シート!L25</f>
        <v>52239515.625</v>
      </c>
      <c r="M14" s="471">
        <f>計算シート!M25</f>
        <v>52239515.625</v>
      </c>
      <c r="N14" s="471">
        <f>計算シート!N25</f>
        <v>52239515.625</v>
      </c>
      <c r="O14" s="471">
        <f>計算シート!O25</f>
        <v>52239515.625</v>
      </c>
      <c r="P14" s="471">
        <f>計算シート!P25</f>
        <v>52239515.625</v>
      </c>
      <c r="Q14" s="471">
        <f>計算シート!Q25</f>
        <v>52239515.625</v>
      </c>
      <c r="R14" s="471">
        <f>計算シート!R25</f>
        <v>52239515.625</v>
      </c>
      <c r="S14" s="471">
        <f>計算シート!S25</f>
        <v>52239515.625</v>
      </c>
      <c r="T14" s="471">
        <f>計算シート!T25</f>
        <v>52239515.625</v>
      </c>
      <c r="U14" s="471">
        <f>計算シート!U25</f>
        <v>52239515.625</v>
      </c>
      <c r="V14" s="471">
        <f>計算シート!V25</f>
        <v>52239515.625</v>
      </c>
      <c r="W14" s="471">
        <f>計算シート!W25</f>
        <v>52239515.625</v>
      </c>
      <c r="X14" s="471">
        <f>計算シート!X25</f>
        <v>52239515.625</v>
      </c>
      <c r="Y14" s="471">
        <f>計算シート!Y25</f>
        <v>52239515.625</v>
      </c>
      <c r="Z14" s="471">
        <f>計算シート!Z25</f>
        <v>52239515.625</v>
      </c>
      <c r="AA14" s="471">
        <f>計算シート!AA25</f>
        <v>52239515.625</v>
      </c>
      <c r="AB14" s="471">
        <f>計算シート!AB25</f>
        <v>52239515.625</v>
      </c>
      <c r="AC14" s="471">
        <f>計算シート!AC25</f>
        <v>52239515.625</v>
      </c>
      <c r="AD14" s="471">
        <f>計算シート!AD25</f>
        <v>52239515.625</v>
      </c>
      <c r="AE14" s="471">
        <f>計算シート!AE25</f>
        <v>52239515.625</v>
      </c>
      <c r="AF14" s="471">
        <f>計算シート!AF25</f>
        <v>52239515.625</v>
      </c>
      <c r="AG14" s="471">
        <f>計算シート!AG25</f>
        <v>52239515.625</v>
      </c>
      <c r="AH14" s="471">
        <f>計算シート!AH25</f>
        <v>52239515.625</v>
      </c>
      <c r="AI14" s="497">
        <f t="shared" si="3"/>
        <v>522395156.25</v>
      </c>
      <c r="AJ14" s="497">
        <f t="shared" si="4"/>
        <v>1044790312.5</v>
      </c>
      <c r="AK14" s="497">
        <f t="shared" si="5"/>
        <v>1567185468.75</v>
      </c>
    </row>
    <row r="15" spans="1:37" s="443" customFormat="1" ht="11.5" x14ac:dyDescent="0.25">
      <c r="A15" s="478" t="s">
        <v>252</v>
      </c>
      <c r="B15" s="473"/>
      <c r="C15" s="474" t="s">
        <v>246</v>
      </c>
      <c r="D15" s="585"/>
      <c r="E15" s="475">
        <f>計算シート!E26</f>
        <v>5</v>
      </c>
      <c r="F15" s="475">
        <f>計算シート!F26</f>
        <v>5</v>
      </c>
      <c r="G15" s="475">
        <f>計算シート!G26</f>
        <v>5</v>
      </c>
      <c r="H15" s="475">
        <f>計算シート!H26</f>
        <v>5</v>
      </c>
      <c r="I15" s="475">
        <f>計算シート!I26</f>
        <v>5</v>
      </c>
      <c r="J15" s="475">
        <f>計算シート!J26</f>
        <v>5</v>
      </c>
      <c r="K15" s="475">
        <f>計算シート!K26</f>
        <v>5</v>
      </c>
      <c r="L15" s="475">
        <f>計算シート!L26</f>
        <v>5</v>
      </c>
      <c r="M15" s="475">
        <f>計算シート!M26</f>
        <v>5</v>
      </c>
      <c r="N15" s="475">
        <f>計算シート!N26</f>
        <v>5</v>
      </c>
      <c r="O15" s="475">
        <f>計算シート!O26</f>
        <v>5</v>
      </c>
      <c r="P15" s="475">
        <f>計算シート!P26</f>
        <v>5</v>
      </c>
      <c r="Q15" s="475">
        <f>計算シート!Q26</f>
        <v>5</v>
      </c>
      <c r="R15" s="475">
        <f>計算シート!R26</f>
        <v>5</v>
      </c>
      <c r="S15" s="475">
        <f>計算シート!S26</f>
        <v>5</v>
      </c>
      <c r="T15" s="475">
        <f>計算シート!T26</f>
        <v>5</v>
      </c>
      <c r="U15" s="475">
        <f>計算シート!U26</f>
        <v>5</v>
      </c>
      <c r="V15" s="475">
        <f>計算シート!V26</f>
        <v>5</v>
      </c>
      <c r="W15" s="475">
        <f>計算シート!W26</f>
        <v>5</v>
      </c>
      <c r="X15" s="475">
        <f>計算シート!X26</f>
        <v>5</v>
      </c>
      <c r="Y15" s="475">
        <f>計算シート!Y26</f>
        <v>5</v>
      </c>
      <c r="Z15" s="475">
        <f>計算シート!Z26</f>
        <v>5</v>
      </c>
      <c r="AA15" s="475">
        <f>計算シート!AA26</f>
        <v>5</v>
      </c>
      <c r="AB15" s="475">
        <f>計算シート!AB26</f>
        <v>5</v>
      </c>
      <c r="AC15" s="475">
        <f>計算シート!AC26</f>
        <v>5</v>
      </c>
      <c r="AD15" s="475">
        <f>計算シート!AD26</f>
        <v>5</v>
      </c>
      <c r="AE15" s="475">
        <f>計算シート!AE26</f>
        <v>5</v>
      </c>
      <c r="AF15" s="475">
        <f>計算シート!AF26</f>
        <v>5</v>
      </c>
      <c r="AG15" s="475">
        <f>計算シート!AG26</f>
        <v>5</v>
      </c>
      <c r="AH15" s="475">
        <f>計算シート!AH26</f>
        <v>5</v>
      </c>
      <c r="AI15" s="520">
        <f>SUM(D15:N15)/10</f>
        <v>5</v>
      </c>
      <c r="AJ15" s="520">
        <f>SUM(D15:X15)/20</f>
        <v>5</v>
      </c>
      <c r="AK15" s="520">
        <f>SUM(D15:AH15)/30</f>
        <v>5</v>
      </c>
    </row>
    <row r="16" spans="1:37" s="443" customFormat="1" ht="11.5" x14ac:dyDescent="0.25">
      <c r="A16" s="1454" t="s">
        <v>1138</v>
      </c>
      <c r="B16" s="1455"/>
      <c r="C16" s="1456" t="s">
        <v>37</v>
      </c>
      <c r="D16" s="1457"/>
      <c r="E16" s="1458">
        <f>SUM(計算シート!E206:E210)</f>
        <v>0</v>
      </c>
      <c r="F16" s="1458">
        <f>SUM(計算シート!F206:F210)</f>
        <v>0</v>
      </c>
      <c r="G16" s="1458">
        <f>SUM(計算シート!G206:G210)</f>
        <v>0</v>
      </c>
      <c r="H16" s="1458">
        <f>SUM(計算シート!H206:H210)</f>
        <v>0</v>
      </c>
      <c r="I16" s="1458">
        <f>SUM(計算シート!I206:I210)</f>
        <v>0</v>
      </c>
      <c r="J16" s="1458">
        <f>SUM(計算シート!J206:J210)</f>
        <v>0</v>
      </c>
      <c r="K16" s="1458">
        <f>SUM(計算シート!K206:K210)</f>
        <v>0</v>
      </c>
      <c r="L16" s="1458">
        <f>SUM(計算シート!L206:L210)</f>
        <v>0</v>
      </c>
      <c r="M16" s="1458">
        <f>SUM(計算シート!M206:M210)</f>
        <v>0</v>
      </c>
      <c r="N16" s="1458">
        <f>SUM(計算シート!N206:N210)</f>
        <v>0</v>
      </c>
      <c r="O16" s="1458">
        <f>SUM(計算シート!O206:O210)</f>
        <v>0</v>
      </c>
      <c r="P16" s="1458">
        <f>SUM(計算シート!P206:P210)</f>
        <v>0</v>
      </c>
      <c r="Q16" s="1458">
        <f>SUM(計算シート!Q206:Q210)</f>
        <v>0</v>
      </c>
      <c r="R16" s="1458">
        <f>SUM(計算シート!R206:R210)</f>
        <v>0</v>
      </c>
      <c r="S16" s="1458">
        <f>SUM(計算シート!S206:S210)</f>
        <v>0</v>
      </c>
      <c r="T16" s="1458">
        <f>SUM(計算シート!T206:T210)</f>
        <v>0</v>
      </c>
      <c r="U16" s="1458">
        <f>SUM(計算シート!U206:U210)</f>
        <v>0</v>
      </c>
      <c r="V16" s="1458">
        <f>SUM(計算シート!V206:V210)</f>
        <v>0</v>
      </c>
      <c r="W16" s="1458">
        <f>SUM(計算シート!W206:W210)</f>
        <v>0</v>
      </c>
      <c r="X16" s="1458">
        <f>SUM(計算シート!X206:X210)</f>
        <v>0</v>
      </c>
      <c r="Y16" s="1458">
        <f>SUM(計算シート!Y206:Y210)</f>
        <v>0</v>
      </c>
      <c r="Z16" s="1458">
        <f>SUM(計算シート!Z206:Z210)</f>
        <v>0</v>
      </c>
      <c r="AA16" s="1458">
        <f>SUM(計算シート!AA206:AA210)</f>
        <v>0</v>
      </c>
      <c r="AB16" s="1458">
        <f>SUM(計算シート!AB206:AB210)</f>
        <v>0</v>
      </c>
      <c r="AC16" s="1458">
        <f>SUM(計算シート!AC206:AC210)</f>
        <v>0</v>
      </c>
      <c r="AD16" s="1458">
        <f>SUM(計算シート!AD206:AD210)</f>
        <v>0</v>
      </c>
      <c r="AE16" s="1458">
        <f>SUM(計算シート!AE206:AE210)</f>
        <v>0</v>
      </c>
      <c r="AF16" s="1458">
        <f>SUM(計算シート!AF206:AF210)</f>
        <v>0</v>
      </c>
      <c r="AG16" s="1458">
        <f>SUM(計算シート!AG206:AG210)</f>
        <v>0</v>
      </c>
      <c r="AH16" s="1458">
        <f>SUM(計算シート!AH206:AH210)</f>
        <v>0</v>
      </c>
      <c r="AI16" s="704">
        <f t="shared" ref="AI16" si="6">SUM(D16:N16)</f>
        <v>0</v>
      </c>
      <c r="AJ16" s="704">
        <f t="shared" ref="AJ16" si="7">SUM(D16:X16)</f>
        <v>0</v>
      </c>
      <c r="AK16" s="704">
        <f t="shared" ref="AK16" si="8">SUM(D16:AH16)</f>
        <v>0</v>
      </c>
    </row>
    <row r="17" spans="1:37" s="443" customFormat="1" ht="11.5" x14ac:dyDescent="0.25">
      <c r="A17" s="477" t="s">
        <v>295</v>
      </c>
      <c r="B17" s="349"/>
      <c r="C17" s="451" t="s">
        <v>239</v>
      </c>
      <c r="D17" s="583"/>
      <c r="E17" s="471">
        <f>計算シート!E104</f>
        <v>148712155.2258352</v>
      </c>
      <c r="F17" s="471">
        <f>計算シート!F104</f>
        <v>152530254.07775769</v>
      </c>
      <c r="G17" s="471">
        <f>計算シート!G104</f>
        <v>156348352.92968017</v>
      </c>
      <c r="H17" s="471">
        <f>計算シート!H104</f>
        <v>160166451.78160262</v>
      </c>
      <c r="I17" s="471">
        <f>計算シート!I104</f>
        <v>163984550.6335251</v>
      </c>
      <c r="J17" s="471">
        <f>計算シート!J104</f>
        <v>167802649.48544759</v>
      </c>
      <c r="K17" s="471">
        <f>計算シート!K104</f>
        <v>171620748.33737004</v>
      </c>
      <c r="L17" s="471">
        <f>計算シート!L104</f>
        <v>175438847.18929252</v>
      </c>
      <c r="M17" s="471">
        <f>計算シート!M104</f>
        <v>179256946.04121497</v>
      </c>
      <c r="N17" s="471">
        <f>計算シート!N104</f>
        <v>183075044.89313745</v>
      </c>
      <c r="O17" s="471">
        <f>計算シート!O104</f>
        <v>186893143.74505991</v>
      </c>
      <c r="P17" s="471">
        <f>計算シート!P104</f>
        <v>190711242.59698239</v>
      </c>
      <c r="Q17" s="471">
        <f>計算シート!Q104</f>
        <v>194529341.44890487</v>
      </c>
      <c r="R17" s="471">
        <f>計算シート!R104</f>
        <v>198347440.30082732</v>
      </c>
      <c r="S17" s="471">
        <f>計算シート!S104</f>
        <v>202165539.15274981</v>
      </c>
      <c r="T17" s="471">
        <f>計算シート!T104</f>
        <v>446993200.08615714</v>
      </c>
      <c r="U17" s="471">
        <f>計算シート!U104</f>
        <v>447437165.06893879</v>
      </c>
      <c r="V17" s="471">
        <f>計算シート!V104</f>
        <v>447881130.0517205</v>
      </c>
      <c r="W17" s="471">
        <f>計算シート!W104</f>
        <v>448325095.03450215</v>
      </c>
      <c r="X17" s="471">
        <f>計算シート!X104</f>
        <v>448769060.01728386</v>
      </c>
      <c r="Y17" s="471">
        <f>計算シート!Y104</f>
        <v>449213025.00006557</v>
      </c>
      <c r="Z17" s="471">
        <f>計算シート!Z104</f>
        <v>449656989.98284721</v>
      </c>
      <c r="AA17" s="471">
        <f>計算シート!AA104</f>
        <v>450100954.96562892</v>
      </c>
      <c r="AB17" s="471">
        <f>計算シート!AB104</f>
        <v>450544919.94841057</v>
      </c>
      <c r="AC17" s="471">
        <f>計算シート!AC104</f>
        <v>450988884.93119228</v>
      </c>
      <c r="AD17" s="471">
        <f>計算シート!AD104</f>
        <v>451432849.91397393</v>
      </c>
      <c r="AE17" s="471">
        <f>計算シート!AE104</f>
        <v>451876814.89675564</v>
      </c>
      <c r="AF17" s="471">
        <f>計算シート!AF104</f>
        <v>452320779.87953734</v>
      </c>
      <c r="AG17" s="471">
        <f>計算シート!AG104</f>
        <v>452764744.86231899</v>
      </c>
      <c r="AH17" s="471">
        <f>計算シート!AH104</f>
        <v>453208709.8451007</v>
      </c>
      <c r="AI17" s="497">
        <f t="shared" si="3"/>
        <v>1658936000.5948634</v>
      </c>
      <c r="AJ17" s="497">
        <f t="shared" si="4"/>
        <v>4870988358.097991</v>
      </c>
      <c r="AK17" s="497">
        <f t="shared" si="5"/>
        <v>9383097032.323822</v>
      </c>
    </row>
    <row r="18" spans="1:37" s="1443" customFormat="1" ht="11.5" x14ac:dyDescent="0.25">
      <c r="A18" s="1437" t="s">
        <v>1144</v>
      </c>
      <c r="B18" s="1438"/>
      <c r="C18" s="1439" t="s">
        <v>1090</v>
      </c>
      <c r="D18" s="1440"/>
      <c r="E18" s="1441">
        <f>E17*波及効果シート!$D$54</f>
        <v>22306823.283875279</v>
      </c>
      <c r="F18" s="1441">
        <f>F17*波及効果シート!$D$54</f>
        <v>22879538.111663651</v>
      </c>
      <c r="G18" s="1441">
        <f>G17*波及効果シート!$D$54</f>
        <v>23452252.939452026</v>
      </c>
      <c r="H18" s="1441">
        <f>H17*波及効果シート!$D$54</f>
        <v>24024967.767240394</v>
      </c>
      <c r="I18" s="1441">
        <f>I17*波及効果シート!$D$54</f>
        <v>24597682.595028765</v>
      </c>
      <c r="J18" s="1441">
        <f>J17*波及効果シート!$D$54</f>
        <v>25170397.422817137</v>
      </c>
      <c r="K18" s="1441">
        <f>K17*波及効果シート!$D$54</f>
        <v>25743112.250605505</v>
      </c>
      <c r="L18" s="1441">
        <f>L17*波及効果シート!$D$54</f>
        <v>26315827.078393877</v>
      </c>
      <c r="M18" s="1441">
        <f>M17*波及効果シート!$D$54</f>
        <v>26888541.906182244</v>
      </c>
      <c r="N18" s="1441">
        <f>N17*波及効果シート!$D$54</f>
        <v>27461256.733970616</v>
      </c>
      <c r="O18" s="1441">
        <f>O17*波及効果シート!$D$54</f>
        <v>28033971.561758984</v>
      </c>
      <c r="P18" s="1441">
        <f>P17*波及効果シート!$D$54</f>
        <v>28606686.389547359</v>
      </c>
      <c r="Q18" s="1441">
        <f>Q17*波及効果シート!$D$54</f>
        <v>29179401.217335731</v>
      </c>
      <c r="R18" s="1441">
        <f>R17*波及効果シート!$D$54</f>
        <v>29752116.045124099</v>
      </c>
      <c r="S18" s="1441">
        <f>S17*波及効果シート!$D$54</f>
        <v>30324830.87291247</v>
      </c>
      <c r="T18" s="1441">
        <f>T17*波及効果シート!$D$54</f>
        <v>67048980.012923568</v>
      </c>
      <c r="U18" s="1441">
        <f>U17*波及効果シート!$D$54</f>
        <v>67115574.76034081</v>
      </c>
      <c r="V18" s="1441">
        <f>V17*波及効果シート!$D$54</f>
        <v>67182169.507758066</v>
      </c>
      <c r="W18" s="1441">
        <f>W17*波及効果シート!$D$54</f>
        <v>67248764.255175322</v>
      </c>
      <c r="X18" s="1441">
        <f>X17*波及効果シート!$D$54</f>
        <v>67315359.002592579</v>
      </c>
      <c r="Y18" s="1441">
        <f>Y17*波及効果シート!$D$54</f>
        <v>67381953.750009835</v>
      </c>
      <c r="Z18" s="1441">
        <f>Z17*波及効果シート!$D$54</f>
        <v>67448548.497427076</v>
      </c>
      <c r="AA18" s="1441">
        <f>AA17*波及効果シート!$D$54</f>
        <v>67515143.244844332</v>
      </c>
      <c r="AB18" s="1441">
        <f>AB17*波及効果シート!$D$54</f>
        <v>67581737.992261589</v>
      </c>
      <c r="AC18" s="1441">
        <f>AC17*波及効果シート!$D$54</f>
        <v>67648332.739678845</v>
      </c>
      <c r="AD18" s="1441">
        <f>AD17*波及効果シート!$D$54</f>
        <v>67714927.487096086</v>
      </c>
      <c r="AE18" s="1441">
        <f>AE17*波及効果シート!$D$54</f>
        <v>67781522.234513342</v>
      </c>
      <c r="AF18" s="1441">
        <f>AF17*波及効果シート!$D$54</f>
        <v>67848116.981930599</v>
      </c>
      <c r="AG18" s="1441">
        <f>AG17*波及効果シート!$D$54</f>
        <v>67914711.72934784</v>
      </c>
      <c r="AH18" s="1441">
        <f>AH17*波及効果シート!$D$54</f>
        <v>67981306.476765096</v>
      </c>
      <c r="AI18" s="1442">
        <f>AI17*波及効果シート!$D$54</f>
        <v>248840400.08922949</v>
      </c>
      <c r="AJ18" s="1442">
        <f>AJ17*波及効果シート!$D$54</f>
        <v>730648253.71469867</v>
      </c>
      <c r="AK18" s="1442">
        <f>AK17*波及効果シート!$D$54</f>
        <v>1407464554.8485732</v>
      </c>
    </row>
    <row r="19" spans="1:37" s="1443" customFormat="1" ht="11.5" x14ac:dyDescent="0.25">
      <c r="A19" s="1437" t="s">
        <v>1145</v>
      </c>
      <c r="B19" s="1438"/>
      <c r="C19" s="1439" t="s">
        <v>1090</v>
      </c>
      <c r="D19" s="1440"/>
      <c r="E19" s="1441">
        <f>IF(E17&lt;=0,0,E17*(波及効果シート!$D$54*波及効果シート!$D$60*(1+波及効果シート!$D$62)+波及効果シート!$D$60+波及効果シート!$D$65))</f>
        <v>4521195.7538662003</v>
      </c>
      <c r="F19" s="1441">
        <f>IF(F17&lt;=0,0,F17*(波及効果シート!$D$54*波及効果シート!$D$60*(1+波及効果シート!$D$62)+波及効果シート!$D$60+波及効果シート!$D$65))</f>
        <v>4637274.8483486827</v>
      </c>
      <c r="G19" s="1441">
        <f>IF(G17&lt;=0,0,G17*(波及効果シート!$D$54*波及効果シート!$D$60*(1+波及効果シート!$D$62)+波及効果シート!$D$60+波及効果シート!$D$65))</f>
        <v>4753353.9428311652</v>
      </c>
      <c r="H19" s="1441">
        <f>IF(H17&lt;=0,0,H17*(波及効果シート!$D$54*波及効果シート!$D$60*(1+波及効果シート!$D$62)+波及効果シート!$D$60+波及効果シート!$D$65))</f>
        <v>4869433.0373136466</v>
      </c>
      <c r="I19" s="1441">
        <f>IF(I17&lt;=0,0,I17*(波及効果シート!$D$54*波及効果シート!$D$60*(1+波及効果シート!$D$62)+波及効果シート!$D$60+波及効果シート!$D$65))</f>
        <v>4985512.131796129</v>
      </c>
      <c r="J19" s="1441">
        <f>IF(J17&lt;=0,0,J17*(波及効果シート!$D$54*波及効果シート!$D$60*(1+波及効果シート!$D$62)+波及効果シート!$D$60+波及効果シート!$D$65))</f>
        <v>5101591.2262786115</v>
      </c>
      <c r="K19" s="1441">
        <f>IF(K17&lt;=0,0,K17*(波及効果シート!$D$54*波及効果シート!$D$60*(1+波及効果シート!$D$62)+波及効果シート!$D$60+波及効果シート!$D$65))</f>
        <v>5217670.3207610939</v>
      </c>
      <c r="L19" s="1441">
        <f>IF(L17&lt;=0,0,L17*(波及効果シート!$D$54*波及効果シート!$D$60*(1+波及効果シート!$D$62)+波及効果シート!$D$60+波及効果シート!$D$65))</f>
        <v>5333749.4152435763</v>
      </c>
      <c r="M19" s="1441">
        <f>IF(M17&lt;=0,0,M17*(波及効果シート!$D$54*波及効果シート!$D$60*(1+波及効果シート!$D$62)+波及効果シート!$D$60+波及効果シート!$D$65))</f>
        <v>5449828.5097260578</v>
      </c>
      <c r="N19" s="1441">
        <f>IF(N17&lt;=0,0,N17*(波及効果シート!$D$54*波及効果シート!$D$60*(1+波及効果シート!$D$62)+波及効果シート!$D$60+波及効果シート!$D$65))</f>
        <v>5565907.6042085402</v>
      </c>
      <c r="O19" s="1441">
        <f>IF(O17&lt;=0,0,O17*(波及効果シート!$D$54*波及効果シート!$D$60*(1+波及効果シート!$D$62)+波及効果シート!$D$60+波及効果シート!$D$65))</f>
        <v>5681986.6986910217</v>
      </c>
      <c r="P19" s="1441">
        <f>IF(P17&lt;=0,0,P17*(波及効果シート!$D$54*波及効果シート!$D$60*(1+波及効果シート!$D$62)+波及効果シート!$D$60+波及効果シート!$D$65))</f>
        <v>5798065.793173505</v>
      </c>
      <c r="Q19" s="1441">
        <f>IF(Q17&lt;=0,0,Q17*(波及効果シート!$D$54*波及効果シート!$D$60*(1+波及効果シート!$D$62)+波及効果シート!$D$60+波及効果シート!$D$65))</f>
        <v>5914144.8876559874</v>
      </c>
      <c r="R19" s="1441">
        <f>IF(R17&lt;=0,0,R17*(波及効果シート!$D$54*波及効果シート!$D$60*(1+波及効果シート!$D$62)+波及効果シート!$D$60+波及効果シート!$D$65))</f>
        <v>6030223.9821384689</v>
      </c>
      <c r="S19" s="1441">
        <f>IF(S17&lt;=0,0,S17*(波及効果シート!$D$54*波及効果シート!$D$60*(1+波及効果シート!$D$62)+波及効果シート!$D$60+波及効果シート!$D$65))</f>
        <v>6146303.0766209513</v>
      </c>
      <c r="T19" s="1441">
        <f>IF(T17&lt;=0,0,T17*(波及効果シート!$D$54*波及効果シート!$D$60*(1+波及効果シート!$D$62)+波及効果シート!$D$60+波及効果シート!$D$65))</f>
        <v>13589633.98229002</v>
      </c>
      <c r="U19" s="1441">
        <f>IF(U17&lt;=0,0,U17*(波及効果シート!$D$54*波及効果シート!$D$60*(1+波及効果シート!$D$62)+波及効果シート!$D$60+波及効果シート!$D$65))</f>
        <v>13603131.551415889</v>
      </c>
      <c r="V19" s="1441">
        <f>IF(V17&lt;=0,0,V17*(波及効果シート!$D$54*波及効果シート!$D$60*(1+波及効果シート!$D$62)+波及効果シート!$D$60+波及効果シート!$D$65))</f>
        <v>13616629.120541759</v>
      </c>
      <c r="W19" s="1441">
        <f>IF(W17&lt;=0,0,W17*(波及効果シート!$D$54*波及効果シート!$D$60*(1+波及効果シート!$D$62)+波及効果シート!$D$60+波及効果シート!$D$65))</f>
        <v>13630126.689667627</v>
      </c>
      <c r="X19" s="1441">
        <f>IF(X17&lt;=0,0,X17*(波及効果シート!$D$54*波及効果シート!$D$60*(1+波及効果シート!$D$62)+波及効果シート!$D$60+波及効果シート!$D$65))</f>
        <v>13643624.258793499</v>
      </c>
      <c r="Y19" s="1441">
        <f>IF(Y17&lt;=0,0,Y17*(波及効果シート!$D$54*波及効果シート!$D$60*(1+波及効果シート!$D$62)+波及効果シート!$D$60+波及効果シート!$D$65))</f>
        <v>13657121.82791937</v>
      </c>
      <c r="Z19" s="1441">
        <f>IF(Z17&lt;=0,0,Z17*(波及効果シート!$D$54*波及効果シート!$D$60*(1+波及効果シート!$D$62)+波及効果シート!$D$60+波及効果シート!$D$65))</f>
        <v>13670619.397045238</v>
      </c>
      <c r="AA19" s="1441">
        <f>IF(AA17&lt;=0,0,AA17*(波及効果シート!$D$54*波及効果シート!$D$60*(1+波及効果シート!$D$62)+波及効果シート!$D$60+波及効果シート!$D$65))</f>
        <v>13684116.96617111</v>
      </c>
      <c r="AB19" s="1441">
        <f>IF(AB17&lt;=0,0,AB17*(波及効果シート!$D$54*波及効果シート!$D$60*(1+波及効果シート!$D$62)+波及効果シート!$D$60+波及効果シート!$D$65))</f>
        <v>13697614.535296978</v>
      </c>
      <c r="AC19" s="1441">
        <f>IF(AC17&lt;=0,0,AC17*(波及効果シート!$D$54*波及効果シート!$D$60*(1+波及効果シート!$D$62)+波及効果シート!$D$60+波及効果シート!$D$65))</f>
        <v>13711112.104422849</v>
      </c>
      <c r="AD19" s="1441">
        <f>IF(AD17&lt;=0,0,AD17*(波及効果シート!$D$54*波及効果シート!$D$60*(1+波及効果シート!$D$62)+波及効果シート!$D$60+波及効果シート!$D$65))</f>
        <v>13724609.673548719</v>
      </c>
      <c r="AE19" s="1441">
        <f>IF(AE17&lt;=0,0,AE17*(波及効果シート!$D$54*波及効果シート!$D$60*(1+波及効果シート!$D$62)+波及効果シート!$D$60+波及効果シート!$D$65))</f>
        <v>13738107.242674589</v>
      </c>
      <c r="AF19" s="1441">
        <f>IF(AF17&lt;=0,0,AF17*(波及効果シート!$D$54*波及効果シート!$D$60*(1+波及効果シート!$D$62)+波及効果シート!$D$60+波及効果シート!$D$65))</f>
        <v>13751604.811800459</v>
      </c>
      <c r="AG19" s="1441">
        <f>IF(AG17&lt;=0,0,AG17*(波及効果シート!$D$54*波及効果シート!$D$60*(1+波及効果シート!$D$62)+波及効果シート!$D$60+波及効果シート!$D$65))</f>
        <v>13765102.38092633</v>
      </c>
      <c r="AH19" s="1441">
        <f>IF(AH17&lt;=0,0,AH17*(波及効果シート!$D$54*波及効果シート!$D$60*(1+波及効果シート!$D$62)+波及効果シート!$D$60+波及効果シート!$D$65))</f>
        <v>13778599.9500522</v>
      </c>
      <c r="AI19" s="1442">
        <f>IF(AI17&lt;=0,0,AI17*(波及効果シート!$D$60*(1+波及効果シート!$D$62)+波及効果シート!$D$60+波及効果シート!$D$65))</f>
        <v>68318614.506420925</v>
      </c>
      <c r="AJ19" s="1442">
        <f>IF(AJ17&lt;=0,0,AJ17*(波及効果シート!$D$60*(1+波及効果シート!$D$62)+波及効果シート!$D$60+波及効果シート!$D$65))</f>
        <v>200597959.0429242</v>
      </c>
      <c r="AK19" s="1442">
        <f>IF(AK17&lt;=0,0,AK17*(波及効果シート!$D$60*(1+波及効果シート!$D$62)+波及効果シート!$D$60+波及効果シート!$D$65))</f>
        <v>386416467.42117143</v>
      </c>
    </row>
    <row r="20" spans="1:37" s="1443" customFormat="1" ht="11.5" x14ac:dyDescent="0.25">
      <c r="A20" s="1437" t="s">
        <v>1146</v>
      </c>
      <c r="B20" s="1438"/>
      <c r="C20" s="1439" t="s">
        <v>1090</v>
      </c>
      <c r="D20" s="1440"/>
      <c r="E20" s="1441">
        <f>IF(E17&lt;=0,0,E17*(波及効果シート!$D$54*波及効果シート!$D$61*(1+波及効果シート!$D$63)))</f>
        <v>1690163.3871301156</v>
      </c>
      <c r="F20" s="1441">
        <f>IF(F17&lt;=0,0,F17*(波及効果シート!$D$54*波及効果シート!$D$61*(1+波及効果シート!$D$63)))</f>
        <v>1733557.357704767</v>
      </c>
      <c r="G20" s="1441">
        <f>IF(G17&lt;=0,0,G17*(波及効果シート!$D$54*波及効果シート!$D$61*(1+波及効果シート!$D$63)))</f>
        <v>1776951.3282794186</v>
      </c>
      <c r="H20" s="1441">
        <f>IF(H17&lt;=0,0,H17*(波及効果シート!$D$54*波及効果シート!$D$61*(1+波及効果シート!$D$63)))</f>
        <v>1820345.29885407</v>
      </c>
      <c r="I20" s="1441">
        <f>IF(I17&lt;=0,0,I17*(波及効果シート!$D$54*波及効果シート!$D$61*(1+波及効果シート!$D$63)))</f>
        <v>1863739.2694287214</v>
      </c>
      <c r="J20" s="1441">
        <f>IF(J17&lt;=0,0,J17*(波及効果シート!$D$54*波及効果シート!$D$61*(1+波及効果シート!$D$63)))</f>
        <v>1907133.240003373</v>
      </c>
      <c r="K20" s="1441">
        <f>IF(K17&lt;=0,0,K17*(波及効果シート!$D$54*波及効果シート!$D$61*(1+波及効果シート!$D$63)))</f>
        <v>1950527.2105780242</v>
      </c>
      <c r="L20" s="1441">
        <f>IF(L17&lt;=0,0,L17*(波及効果シート!$D$54*波及効果シート!$D$61*(1+波及効果シート!$D$63)))</f>
        <v>1993921.1811526758</v>
      </c>
      <c r="M20" s="1441">
        <f>IF(M17&lt;=0,0,M17*(波及効果シート!$D$54*波及効果シート!$D$61*(1+波及効果シート!$D$63)))</f>
        <v>2037315.1517273271</v>
      </c>
      <c r="N20" s="1441">
        <f>IF(N17&lt;=0,0,N17*(波及効果シート!$D$54*波及効果シート!$D$61*(1+波及効果シート!$D$63)))</f>
        <v>2080709.1223019785</v>
      </c>
      <c r="O20" s="1441">
        <f>IF(O17&lt;=0,0,O17*(波及効果シート!$D$54*波及効果シート!$D$61*(1+波及効果シート!$D$63)))</f>
        <v>2124103.0928766299</v>
      </c>
      <c r="P20" s="1441">
        <f>IF(P17&lt;=0,0,P17*(波及効果シート!$D$54*波及効果シート!$D$61*(1+波及効果シート!$D$63)))</f>
        <v>2167497.0634512813</v>
      </c>
      <c r="Q20" s="1441">
        <f>IF(Q17&lt;=0,0,Q17*(波及効果シート!$D$54*波及効果シート!$D$61*(1+波及効果シート!$D$63)))</f>
        <v>2210891.0340259331</v>
      </c>
      <c r="R20" s="1441">
        <f>IF(R17&lt;=0,0,R17*(波及効果シート!$D$54*波及効果シート!$D$61*(1+波及効果シート!$D$63)))</f>
        <v>2254285.004600584</v>
      </c>
      <c r="S20" s="1441">
        <f>IF(S17&lt;=0,0,S17*(波及効果シート!$D$54*波及効果シート!$D$61*(1+波及効果シート!$D$63)))</f>
        <v>2297678.9751752359</v>
      </c>
      <c r="T20" s="1441">
        <f>IF(T17&lt;=0,0,T17*(波及効果シート!$D$54*波及効果シート!$D$61*(1+波及効果シート!$D$63)))</f>
        <v>5080227.23451526</v>
      </c>
      <c r="U20" s="1441">
        <f>IF(U17&lt;=0,0,U17*(波及効果シート!$D$54*波及効果シート!$D$61*(1+波及効果シート!$D$63)))</f>
        <v>5085273.0450471956</v>
      </c>
      <c r="V20" s="1441">
        <f>IF(V17&lt;=0,0,V17*(波及効果シート!$D$54*波及効果シート!$D$61*(1+波及効果シート!$D$63)))</f>
        <v>5090318.8555791322</v>
      </c>
      <c r="W20" s="1441">
        <f>IF(W17&lt;=0,0,W17*(波及効果シート!$D$54*波及効果シート!$D$61*(1+波及効果シート!$D$63)))</f>
        <v>5095364.6661110679</v>
      </c>
      <c r="X20" s="1441">
        <f>IF(X17&lt;=0,0,X17*(波及効果シート!$D$54*波及効果シート!$D$61*(1+波及効果シート!$D$63)))</f>
        <v>5100410.4766430045</v>
      </c>
      <c r="Y20" s="1441">
        <f>IF(Y17&lt;=0,0,Y17*(波及効果シート!$D$54*波及効果シート!$D$61*(1+波及効果シート!$D$63)))</f>
        <v>5105456.287174941</v>
      </c>
      <c r="Z20" s="1441">
        <f>IF(Z17&lt;=0,0,Z17*(波及効果シート!$D$54*波及効果シート!$D$61*(1+波及効果シート!$D$63)))</f>
        <v>5110502.0977068767</v>
      </c>
      <c r="AA20" s="1441">
        <f>IF(AA17&lt;=0,0,AA17*(波及効果シート!$D$54*波及効果シート!$D$61*(1+波及効果シート!$D$63)))</f>
        <v>5115547.9082388133</v>
      </c>
      <c r="AB20" s="1441">
        <f>IF(AB17&lt;=0,0,AB17*(波及効果シート!$D$54*波及効果シート!$D$61*(1+波及効果シート!$D$63)))</f>
        <v>5120593.7187707489</v>
      </c>
      <c r="AC20" s="1441">
        <f>IF(AC17&lt;=0,0,AC17*(波及効果シート!$D$54*波及効果シート!$D$61*(1+波及効果シート!$D$63)))</f>
        <v>5125639.5293026855</v>
      </c>
      <c r="AD20" s="1441">
        <f>IF(AD17&lt;=0,0,AD17*(波及効果シート!$D$54*波及効果シート!$D$61*(1+波及効果シート!$D$63)))</f>
        <v>5130685.3398346212</v>
      </c>
      <c r="AE20" s="1441">
        <f>IF(AE17&lt;=0,0,AE17*(波及効果シート!$D$54*波及効果シート!$D$61*(1+波及効果シート!$D$63)))</f>
        <v>5135731.1503665578</v>
      </c>
      <c r="AF20" s="1441">
        <f>IF(AF17&lt;=0,0,AF17*(波及効果シート!$D$54*波及効果シート!$D$61*(1+波及効果シート!$D$63)))</f>
        <v>5140776.9608984943</v>
      </c>
      <c r="AG20" s="1441">
        <f>IF(AG17&lt;=0,0,AG17*(波及効果シート!$D$54*波及効果シート!$D$61*(1+波及効果シート!$D$63)))</f>
        <v>5145822.77143043</v>
      </c>
      <c r="AH20" s="1441">
        <f>IF(AH17&lt;=0,0,AH17*(波及効果シート!$D$54*波及効果シート!$D$61*(1+波及効果シート!$D$63)))</f>
        <v>5150868.5819623666</v>
      </c>
      <c r="AI20" s="1442">
        <f>IF(AI17&lt;=0,0,AI17*(波及効果シート!$D$61*(1+波及効果シート!$D$63)))</f>
        <v>125695750.31440315</v>
      </c>
      <c r="AJ20" s="1442">
        <f>IF(AJ17&lt;=0,0,AJ17*(波及効果シート!$D$61*(1+波及効果シート!$D$63)))</f>
        <v>369069413.30123872</v>
      </c>
      <c r="AK20" s="1442">
        <f>IF(AK17&lt;=0,0,AK17*(波及効果シート!$D$61*(1+波及効果シート!$D$63)))</f>
        <v>710946908.93914902</v>
      </c>
    </row>
    <row r="21" spans="1:37" s="1443" customFormat="1" ht="11.5" x14ac:dyDescent="0.25">
      <c r="A21" s="1437" t="s">
        <v>253</v>
      </c>
      <c r="B21" s="1438"/>
      <c r="C21" s="1439" t="s">
        <v>239</v>
      </c>
      <c r="D21" s="1440"/>
      <c r="E21" s="1441">
        <f>E8*波及効果シート!$D$64*(1+波及効果シート!$D$66)</f>
        <v>12835248.989062499</v>
      </c>
      <c r="F21" s="1441">
        <f>F8*波及効果シート!$D$64*(1+波及効果シート!$D$66)</f>
        <v>12835248.989062499</v>
      </c>
      <c r="G21" s="1441">
        <f>G8*波及効果シート!$D$64*(1+波及効果シート!$D$66)</f>
        <v>12835248.989062499</v>
      </c>
      <c r="H21" s="1441">
        <f>H8*波及効果シート!$D$64*(1+波及効果シート!$D$66)</f>
        <v>12835248.989062499</v>
      </c>
      <c r="I21" s="1441">
        <f>I8*波及効果シート!$D$64*(1+波及効果シート!$D$66)</f>
        <v>12835248.989062499</v>
      </c>
      <c r="J21" s="1441">
        <f>J8*波及効果シート!$D$64*(1+波及効果シート!$D$66)</f>
        <v>12835248.989062499</v>
      </c>
      <c r="K21" s="1441">
        <f>K8*波及効果シート!$D$64*(1+波及効果シート!$D$66)</f>
        <v>12835248.989062499</v>
      </c>
      <c r="L21" s="1441">
        <f>L8*波及効果シート!$D$64*(1+波及効果シート!$D$66)</f>
        <v>12835248.989062499</v>
      </c>
      <c r="M21" s="1441">
        <f>M8*波及効果シート!$D$64*(1+波及効果シート!$D$66)</f>
        <v>12835248.989062499</v>
      </c>
      <c r="N21" s="1441">
        <f>N8*波及効果シート!$D$64*(1+波及効果シート!$D$66)</f>
        <v>12835248.989062499</v>
      </c>
      <c r="O21" s="1441">
        <f>O8*波及効果シート!$D$64*(1+波及効果シート!$D$66)</f>
        <v>12835248.989062499</v>
      </c>
      <c r="P21" s="1441">
        <f>P8*波及効果シート!$D$64*(1+波及効果シート!$D$66)</f>
        <v>12835248.989062499</v>
      </c>
      <c r="Q21" s="1441">
        <f>Q8*波及効果シート!$D$64*(1+波及効果シート!$D$66)</f>
        <v>12835248.989062499</v>
      </c>
      <c r="R21" s="1441">
        <f>R8*波及効果シート!$D$64*(1+波及効果シート!$D$66)</f>
        <v>12835248.989062499</v>
      </c>
      <c r="S21" s="1441">
        <f>S8*波及効果シート!$D$64*(1+波及効果シート!$D$66)</f>
        <v>12835248.989062499</v>
      </c>
      <c r="T21" s="1441">
        <f>T8*波及効果シート!$D$64*(1+波及効果シート!$D$66)</f>
        <v>12835248.989062499</v>
      </c>
      <c r="U21" s="1441">
        <f>U8*波及効果シート!$D$64*(1+波及効果シート!$D$66)</f>
        <v>12835248.989062499</v>
      </c>
      <c r="V21" s="1441">
        <f>V8*波及効果シート!$D$64*(1+波及効果シート!$D$66)</f>
        <v>12835248.989062499</v>
      </c>
      <c r="W21" s="1441">
        <f>W8*波及効果シート!$D$64*(1+波及効果シート!$D$66)</f>
        <v>12835248.989062499</v>
      </c>
      <c r="X21" s="1441">
        <f>X8*波及効果シート!$D$64*(1+波及効果シート!$D$66)</f>
        <v>12835248.989062499</v>
      </c>
      <c r="Y21" s="1441">
        <f>Y8*波及効果シート!$D$64*(1+波及効果シート!$D$66)</f>
        <v>12835248.989062499</v>
      </c>
      <c r="Z21" s="1441">
        <f>Z8*波及効果シート!$D$64*(1+波及効果シート!$D$66)</f>
        <v>12835248.989062499</v>
      </c>
      <c r="AA21" s="1441">
        <f>AA8*波及効果シート!$D$64*(1+波及効果シート!$D$66)</f>
        <v>12835248.989062499</v>
      </c>
      <c r="AB21" s="1441">
        <f>AB8*波及効果シート!$D$64*(1+波及効果シート!$D$66)</f>
        <v>12835248.989062499</v>
      </c>
      <c r="AC21" s="1441">
        <f>AC8*波及効果シート!$D$64*(1+波及効果シート!$D$66)</f>
        <v>12835248.989062499</v>
      </c>
      <c r="AD21" s="1441">
        <f>AD8*波及効果シート!$D$64*(1+波及効果シート!$D$66)</f>
        <v>12835248.989062499</v>
      </c>
      <c r="AE21" s="1441">
        <f>AE8*波及効果シート!$D$64*(1+波及効果シート!$D$66)</f>
        <v>12835248.989062499</v>
      </c>
      <c r="AF21" s="1441">
        <f>AF8*波及効果シート!$D$64*(1+波及効果シート!$D$66)</f>
        <v>12835248.989062499</v>
      </c>
      <c r="AG21" s="1441">
        <f>AG8*波及効果シート!$D$64*(1+波及効果シート!$D$66)</f>
        <v>12835248.989062499</v>
      </c>
      <c r="AH21" s="1441">
        <f>AH8*波及効果シート!$D$64*(1+波及効果シート!$D$66)</f>
        <v>12835248.989062499</v>
      </c>
      <c r="AI21" s="1442">
        <f t="shared" si="3"/>
        <v>128352489.89062501</v>
      </c>
      <c r="AJ21" s="1442">
        <f t="shared" si="4"/>
        <v>256704979.78124991</v>
      </c>
      <c r="AK21" s="1442">
        <f t="shared" si="5"/>
        <v>385057469.67187482</v>
      </c>
    </row>
    <row r="22" spans="1:37" s="443" customFormat="1" ht="11.5" x14ac:dyDescent="0.25">
      <c r="A22" s="477" t="s">
        <v>273</v>
      </c>
      <c r="B22" s="349"/>
      <c r="C22" s="451" t="s">
        <v>37</v>
      </c>
      <c r="D22" s="583"/>
      <c r="E22" s="471">
        <f>-計算シート!E82</f>
        <v>67482677.382815763</v>
      </c>
      <c r="F22" s="471">
        <f>-計算シート!F82</f>
        <v>63664578.530893296</v>
      </c>
      <c r="G22" s="471">
        <f>-計算シート!G82</f>
        <v>59846479.678970814</v>
      </c>
      <c r="H22" s="471">
        <f>-計算シート!H82</f>
        <v>56028380.827048354</v>
      </c>
      <c r="I22" s="471">
        <f>-計算シート!I82</f>
        <v>52210281.975125872</v>
      </c>
      <c r="J22" s="471">
        <f>-計算シート!J82</f>
        <v>48392183.123203412</v>
      </c>
      <c r="K22" s="471">
        <f>-計算シート!K82</f>
        <v>44574084.271280937</v>
      </c>
      <c r="L22" s="471">
        <f>-計算シート!L82</f>
        <v>40755985.41935847</v>
      </c>
      <c r="M22" s="471">
        <f>-計算シート!M82</f>
        <v>36937886.567436002</v>
      </c>
      <c r="N22" s="471">
        <f>-計算シート!N82</f>
        <v>33119787.715513531</v>
      </c>
      <c r="O22" s="471">
        <f>-計算シート!O82</f>
        <v>29301688.86359106</v>
      </c>
      <c r="P22" s="471">
        <f>-計算シート!P82</f>
        <v>25483590.011668589</v>
      </c>
      <c r="Q22" s="471">
        <f>-計算シート!Q82</f>
        <v>21665491.159746122</v>
      </c>
      <c r="R22" s="471">
        <f>-計算シート!R82</f>
        <v>17847392.307823651</v>
      </c>
      <c r="S22" s="471">
        <f>-計算シート!S82</f>
        <v>14029293.455901179</v>
      </c>
      <c r="T22" s="471">
        <f>-計算シート!T82</f>
        <v>10211194.60397871</v>
      </c>
      <c r="U22" s="471">
        <f>-計算シート!U82</f>
        <v>9767229.6211970262</v>
      </c>
      <c r="V22" s="471">
        <f>-計算シート!V82</f>
        <v>9323264.6384153459</v>
      </c>
      <c r="W22" s="471">
        <f>-計算シート!W82</f>
        <v>8879299.6556336619</v>
      </c>
      <c r="X22" s="471">
        <f>-計算シート!X82</f>
        <v>8435334.6728519816</v>
      </c>
      <c r="Y22" s="471">
        <f>-計算シート!Y82</f>
        <v>7991369.6900702976</v>
      </c>
      <c r="Z22" s="471">
        <f>-計算シート!Z82</f>
        <v>7547404.7072886173</v>
      </c>
      <c r="AA22" s="471">
        <f>-計算シート!AA82</f>
        <v>7103439.7245069342</v>
      </c>
      <c r="AB22" s="471">
        <f>-計算シート!AB82</f>
        <v>6659474.7417252511</v>
      </c>
      <c r="AC22" s="471">
        <f>-計算シート!AC82</f>
        <v>6215509.7589435689</v>
      </c>
      <c r="AD22" s="471">
        <f>-計算シート!AD82</f>
        <v>5771544.7761618868</v>
      </c>
      <c r="AE22" s="471">
        <f>-計算シート!AE82</f>
        <v>5327579.7933802046</v>
      </c>
      <c r="AF22" s="471">
        <f>-計算シート!AF82</f>
        <v>4883614.8105985224</v>
      </c>
      <c r="AG22" s="471">
        <f>-計算シート!AG82</f>
        <v>4439649.8278168403</v>
      </c>
      <c r="AH22" s="476">
        <f>-計算シート!AH82</f>
        <v>3995684.8450351581</v>
      </c>
      <c r="AI22" s="497">
        <f t="shared" si="3"/>
        <v>503012325.49164641</v>
      </c>
      <c r="AJ22" s="497">
        <f t="shared" si="4"/>
        <v>657956104.48245382</v>
      </c>
      <c r="AK22" s="497">
        <f t="shared" si="5"/>
        <v>717891377.15798116</v>
      </c>
    </row>
    <row r="23" spans="1:37" s="443" customFormat="1" ht="12" thickBot="1" x14ac:dyDescent="0.3">
      <c r="A23" s="479" t="s">
        <v>264</v>
      </c>
      <c r="B23" s="485"/>
      <c r="C23" s="467" t="s">
        <v>239</v>
      </c>
      <c r="D23" s="586"/>
      <c r="E23" s="480">
        <f>E17-SUM(E18:E22)</f>
        <v>39876046.429085344</v>
      </c>
      <c r="F23" s="480">
        <f t="shared" ref="F23:AK23" si="9">F17-SUM(F18:F22)</f>
        <v>46780056.240084797</v>
      </c>
      <c r="G23" s="480">
        <f t="shared" si="9"/>
        <v>53684066.05108425</v>
      </c>
      <c r="H23" s="480">
        <f t="shared" si="9"/>
        <v>60588075.862083644</v>
      </c>
      <c r="I23" s="480">
        <f t="shared" si="9"/>
        <v>67492085.673083127</v>
      </c>
      <c r="J23" s="480">
        <f t="shared" si="9"/>
        <v>74396095.48408255</v>
      </c>
      <c r="K23" s="480">
        <f t="shared" si="9"/>
        <v>81300105.295081973</v>
      </c>
      <c r="L23" s="480">
        <f t="shared" si="9"/>
        <v>88204115.106081426</v>
      </c>
      <c r="M23" s="480">
        <f t="shared" si="9"/>
        <v>95108124.917080849</v>
      </c>
      <c r="N23" s="480">
        <f t="shared" si="9"/>
        <v>102012134.72808029</v>
      </c>
      <c r="O23" s="480">
        <f t="shared" si="9"/>
        <v>108916144.53907971</v>
      </c>
      <c r="P23" s="480">
        <f t="shared" si="9"/>
        <v>115820154.35007915</v>
      </c>
      <c r="Q23" s="480">
        <f t="shared" si="9"/>
        <v>122724164.1610786</v>
      </c>
      <c r="R23" s="480">
        <f t="shared" si="9"/>
        <v>129628173.97207803</v>
      </c>
      <c r="S23" s="480">
        <f t="shared" si="9"/>
        <v>136532183.78307748</v>
      </c>
      <c r="T23" s="480">
        <f t="shared" si="9"/>
        <v>338227915.26338708</v>
      </c>
      <c r="U23" s="480">
        <f t="shared" si="9"/>
        <v>339030707.10187536</v>
      </c>
      <c r="V23" s="480">
        <f t="shared" si="9"/>
        <v>339833498.94036365</v>
      </c>
      <c r="W23" s="480">
        <f t="shared" si="9"/>
        <v>340636290.77885199</v>
      </c>
      <c r="X23" s="480">
        <f t="shared" si="9"/>
        <v>341439082.61734027</v>
      </c>
      <c r="Y23" s="480">
        <f t="shared" si="9"/>
        <v>342241874.45582861</v>
      </c>
      <c r="Z23" s="480">
        <f t="shared" si="9"/>
        <v>343044666.29431689</v>
      </c>
      <c r="AA23" s="480">
        <f t="shared" si="9"/>
        <v>343847458.13280523</v>
      </c>
      <c r="AB23" s="480">
        <f t="shared" si="9"/>
        <v>344650249.97129351</v>
      </c>
      <c r="AC23" s="480">
        <f t="shared" si="9"/>
        <v>345453041.80978179</v>
      </c>
      <c r="AD23" s="480">
        <f t="shared" si="9"/>
        <v>346255833.64827013</v>
      </c>
      <c r="AE23" s="480">
        <f t="shared" si="9"/>
        <v>347058625.48675847</v>
      </c>
      <c r="AF23" s="480">
        <f t="shared" si="9"/>
        <v>347861417.32524675</v>
      </c>
      <c r="AG23" s="480">
        <f t="shared" si="9"/>
        <v>348664209.16373503</v>
      </c>
      <c r="AH23" s="481">
        <f t="shared" si="9"/>
        <v>349467001.00222337</v>
      </c>
      <c r="AI23" s="518">
        <f t="shared" si="9"/>
        <v>584716420.30253839</v>
      </c>
      <c r="AJ23" s="518">
        <f t="shared" si="9"/>
        <v>2656011647.7754259</v>
      </c>
      <c r="AK23" s="498">
        <f t="shared" si="9"/>
        <v>5775320254.2850723</v>
      </c>
    </row>
    <row r="24" spans="1:37" s="443" customFormat="1" ht="11.5" x14ac:dyDescent="0.25">
      <c r="A24" s="444"/>
      <c r="B24" s="349"/>
      <c r="C24" s="470"/>
      <c r="D24" s="583"/>
      <c r="E24" s="471"/>
      <c r="F24" s="471"/>
      <c r="G24" s="471"/>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c r="AE24" s="471"/>
      <c r="AF24" s="471"/>
      <c r="AG24" s="471"/>
      <c r="AH24" s="471"/>
      <c r="AI24" s="499"/>
      <c r="AJ24" s="499"/>
    </row>
    <row r="25" spans="1:37" ht="11.5" thickBot="1" x14ac:dyDescent="0.25">
      <c r="E25" s="501"/>
    </row>
    <row r="26" spans="1:37" ht="12" thickBot="1" x14ac:dyDescent="0.3">
      <c r="A26" s="484"/>
      <c r="B26" s="484" t="s">
        <v>240</v>
      </c>
      <c r="C26" s="447"/>
      <c r="D26" s="584">
        <v>0</v>
      </c>
      <c r="E26" s="448">
        <v>1</v>
      </c>
      <c r="F26" s="448">
        <v>2</v>
      </c>
      <c r="G26" s="448">
        <v>3</v>
      </c>
      <c r="H26" s="448">
        <v>4</v>
      </c>
      <c r="I26" s="448">
        <v>5</v>
      </c>
      <c r="J26" s="448">
        <v>6</v>
      </c>
      <c r="K26" s="448">
        <v>7</v>
      </c>
      <c r="L26" s="448">
        <v>8</v>
      </c>
      <c r="M26" s="448">
        <v>9</v>
      </c>
      <c r="N26" s="448">
        <v>10</v>
      </c>
      <c r="O26" s="448">
        <v>11</v>
      </c>
      <c r="P26" s="448">
        <v>12</v>
      </c>
      <c r="Q26" s="448">
        <v>13</v>
      </c>
      <c r="R26" s="448">
        <v>14</v>
      </c>
      <c r="S26" s="448">
        <v>15</v>
      </c>
      <c r="T26" s="448">
        <v>16</v>
      </c>
      <c r="U26" s="448">
        <v>17</v>
      </c>
      <c r="V26" s="448">
        <v>18</v>
      </c>
      <c r="W26" s="448">
        <v>19</v>
      </c>
      <c r="X26" s="449">
        <v>20</v>
      </c>
      <c r="Y26" s="449">
        <v>21</v>
      </c>
      <c r="Z26" s="449">
        <v>22</v>
      </c>
      <c r="AA26" s="449">
        <v>23</v>
      </c>
      <c r="AB26" s="449">
        <v>24</v>
      </c>
      <c r="AC26" s="449">
        <v>25</v>
      </c>
      <c r="AD26" s="449">
        <v>26</v>
      </c>
      <c r="AE26" s="449">
        <v>27</v>
      </c>
      <c r="AF26" s="449">
        <v>28</v>
      </c>
      <c r="AG26" s="449">
        <v>29</v>
      </c>
      <c r="AH26" s="463">
        <v>30</v>
      </c>
      <c r="AI26" s="500" t="s">
        <v>298</v>
      </c>
      <c r="AJ26" s="500" t="s">
        <v>261</v>
      </c>
      <c r="AK26" s="500" t="s">
        <v>262</v>
      </c>
    </row>
    <row r="27" spans="1:37" x14ac:dyDescent="0.2">
      <c r="B27" s="439" t="s">
        <v>203</v>
      </c>
      <c r="C27" s="452" t="s">
        <v>299</v>
      </c>
      <c r="D27" s="493">
        <f>SUM(D28:D29)</f>
        <v>4820191241.6296968</v>
      </c>
      <c r="E27" s="465">
        <f t="shared" ref="E27:AH27" si="10">SUM(E29:E29)</f>
        <v>0</v>
      </c>
      <c r="F27" s="465">
        <f t="shared" si="10"/>
        <v>0</v>
      </c>
      <c r="G27" s="465">
        <f t="shared" si="10"/>
        <v>0</v>
      </c>
      <c r="H27" s="465">
        <f t="shared" si="10"/>
        <v>0</v>
      </c>
      <c r="I27" s="465">
        <f t="shared" si="10"/>
        <v>0</v>
      </c>
      <c r="J27" s="465">
        <f t="shared" si="10"/>
        <v>0</v>
      </c>
      <c r="K27" s="465">
        <f t="shared" si="10"/>
        <v>0</v>
      </c>
      <c r="L27" s="465">
        <f t="shared" si="10"/>
        <v>0</v>
      </c>
      <c r="M27" s="465">
        <f t="shared" si="10"/>
        <v>0</v>
      </c>
      <c r="N27" s="465">
        <f t="shared" si="10"/>
        <v>0</v>
      </c>
      <c r="O27" s="465">
        <f t="shared" si="10"/>
        <v>0</v>
      </c>
      <c r="P27" s="465">
        <f t="shared" si="10"/>
        <v>0</v>
      </c>
      <c r="Q27" s="465">
        <f t="shared" si="10"/>
        <v>0</v>
      </c>
      <c r="R27" s="465">
        <f t="shared" si="10"/>
        <v>0</v>
      </c>
      <c r="S27" s="465">
        <f t="shared" si="10"/>
        <v>0</v>
      </c>
      <c r="T27" s="465">
        <f t="shared" si="10"/>
        <v>0</v>
      </c>
      <c r="U27" s="465">
        <f t="shared" si="10"/>
        <v>0</v>
      </c>
      <c r="V27" s="465">
        <f t="shared" si="10"/>
        <v>0</v>
      </c>
      <c r="W27" s="465">
        <f t="shared" si="10"/>
        <v>0</v>
      </c>
      <c r="X27" s="465">
        <f t="shared" si="10"/>
        <v>0</v>
      </c>
      <c r="Y27" s="465">
        <f t="shared" si="10"/>
        <v>0</v>
      </c>
      <c r="Z27" s="465">
        <f t="shared" si="10"/>
        <v>0</v>
      </c>
      <c r="AA27" s="465">
        <f t="shared" si="10"/>
        <v>0</v>
      </c>
      <c r="AB27" s="465">
        <f t="shared" si="10"/>
        <v>0</v>
      </c>
      <c r="AC27" s="465">
        <f t="shared" si="10"/>
        <v>0</v>
      </c>
      <c r="AD27" s="465">
        <f t="shared" si="10"/>
        <v>0</v>
      </c>
      <c r="AE27" s="465">
        <f t="shared" si="10"/>
        <v>0</v>
      </c>
      <c r="AF27" s="465">
        <f t="shared" si="10"/>
        <v>0</v>
      </c>
      <c r="AG27" s="465">
        <f t="shared" si="10"/>
        <v>0</v>
      </c>
      <c r="AH27" s="465">
        <f t="shared" si="10"/>
        <v>0</v>
      </c>
      <c r="AI27" s="503">
        <f>SUM(D27:N27)</f>
        <v>4820191241.6296968</v>
      </c>
      <c r="AJ27" s="503">
        <f>SUM(D27:X27)</f>
        <v>4820191241.6296968</v>
      </c>
      <c r="AK27" s="503">
        <f>SUM(D27:AH27)</f>
        <v>4820191241.6296968</v>
      </c>
    </row>
    <row r="28" spans="1:37" x14ac:dyDescent="0.2">
      <c r="B28" s="438" t="str">
        <f>地域経済性分析・初期条件!B9</f>
        <v>設備費用</v>
      </c>
      <c r="C28" s="451" t="s">
        <v>37</v>
      </c>
      <c r="D28" s="493">
        <f>地域経済性分析・初期条件!D9</f>
        <v>3615143431.2222729</v>
      </c>
      <c r="E28" s="466">
        <v>0</v>
      </c>
      <c r="F28" s="466">
        <v>0</v>
      </c>
      <c r="G28" s="466">
        <v>0</v>
      </c>
      <c r="H28" s="466">
        <v>0</v>
      </c>
      <c r="I28" s="466">
        <v>0</v>
      </c>
      <c r="J28" s="466">
        <v>0</v>
      </c>
      <c r="K28" s="466">
        <v>0</v>
      </c>
      <c r="L28" s="466">
        <v>0</v>
      </c>
      <c r="M28" s="466">
        <v>0</v>
      </c>
      <c r="N28" s="466">
        <v>0</v>
      </c>
      <c r="O28" s="466">
        <v>0</v>
      </c>
      <c r="P28" s="466">
        <v>0</v>
      </c>
      <c r="Q28" s="466">
        <v>0</v>
      </c>
      <c r="R28" s="466">
        <v>0</v>
      </c>
      <c r="S28" s="466">
        <v>0</v>
      </c>
      <c r="T28" s="466">
        <v>0</v>
      </c>
      <c r="U28" s="466">
        <v>0</v>
      </c>
      <c r="V28" s="466">
        <v>0</v>
      </c>
      <c r="W28" s="466">
        <v>0</v>
      </c>
      <c r="X28" s="466">
        <v>0</v>
      </c>
      <c r="Y28" s="466">
        <v>0</v>
      </c>
      <c r="Z28" s="466">
        <v>0</v>
      </c>
      <c r="AA28" s="466">
        <v>0</v>
      </c>
      <c r="AB28" s="466">
        <v>0</v>
      </c>
      <c r="AC28" s="466">
        <v>0</v>
      </c>
      <c r="AD28" s="466">
        <v>0</v>
      </c>
      <c r="AE28" s="466">
        <v>0</v>
      </c>
      <c r="AF28" s="466">
        <v>0</v>
      </c>
      <c r="AG28" s="466">
        <v>0</v>
      </c>
      <c r="AH28" s="464">
        <v>0</v>
      </c>
      <c r="AI28" s="503">
        <f t="shared" ref="AI28:AI36" si="11">SUM(D28:N28)</f>
        <v>3615143431.2222729</v>
      </c>
      <c r="AJ28" s="503">
        <f t="shared" ref="AJ28:AJ36" si="12">SUM(D28:X28)</f>
        <v>3615143431.2222729</v>
      </c>
      <c r="AK28" s="503">
        <f t="shared" ref="AK28:AK43" si="13">SUM(D28:AH28)</f>
        <v>3615143431.2222729</v>
      </c>
    </row>
    <row r="29" spans="1:37" x14ac:dyDescent="0.2">
      <c r="A29" s="1394"/>
      <c r="B29" s="1395" t="str">
        <f>地域経済性分析・初期条件!B13</f>
        <v>工事費</v>
      </c>
      <c r="C29" s="1396" t="s">
        <v>37</v>
      </c>
      <c r="D29" s="1397">
        <f>地域経済性分析・初期条件!D13</f>
        <v>1205047810.4074242</v>
      </c>
      <c r="E29" s="1398">
        <v>0</v>
      </c>
      <c r="F29" s="1398">
        <v>0</v>
      </c>
      <c r="G29" s="1398">
        <v>0</v>
      </c>
      <c r="H29" s="1398">
        <v>0</v>
      </c>
      <c r="I29" s="1398">
        <v>0</v>
      </c>
      <c r="J29" s="1398">
        <v>0</v>
      </c>
      <c r="K29" s="1398">
        <v>0</v>
      </c>
      <c r="L29" s="1398">
        <v>0</v>
      </c>
      <c r="M29" s="1398">
        <v>0</v>
      </c>
      <c r="N29" s="1398">
        <v>0</v>
      </c>
      <c r="O29" s="1398">
        <v>0</v>
      </c>
      <c r="P29" s="1398">
        <v>0</v>
      </c>
      <c r="Q29" s="1398">
        <v>0</v>
      </c>
      <c r="R29" s="1398">
        <v>0</v>
      </c>
      <c r="S29" s="1398">
        <v>0</v>
      </c>
      <c r="T29" s="1398">
        <v>0</v>
      </c>
      <c r="U29" s="1398">
        <v>0</v>
      </c>
      <c r="V29" s="1398">
        <v>0</v>
      </c>
      <c r="W29" s="1398">
        <v>0</v>
      </c>
      <c r="X29" s="1398">
        <v>0</v>
      </c>
      <c r="Y29" s="1398">
        <v>0</v>
      </c>
      <c r="Z29" s="1398">
        <v>0</v>
      </c>
      <c r="AA29" s="1398">
        <v>0</v>
      </c>
      <c r="AB29" s="1398">
        <v>0</v>
      </c>
      <c r="AC29" s="1398">
        <v>0</v>
      </c>
      <c r="AD29" s="1398">
        <v>0</v>
      </c>
      <c r="AE29" s="1398">
        <v>0</v>
      </c>
      <c r="AF29" s="1398">
        <v>0</v>
      </c>
      <c r="AG29" s="1398">
        <v>0</v>
      </c>
      <c r="AH29" s="1398">
        <v>0</v>
      </c>
      <c r="AI29" s="1399">
        <f t="shared" si="11"/>
        <v>1205047810.4074242</v>
      </c>
      <c r="AJ29" s="1399">
        <f t="shared" si="12"/>
        <v>1205047810.4074242</v>
      </c>
      <c r="AK29" s="1399">
        <f t="shared" si="13"/>
        <v>1205047810.4074242</v>
      </c>
    </row>
    <row r="30" spans="1:37" x14ac:dyDescent="0.2">
      <c r="B30" s="439" t="s">
        <v>284</v>
      </c>
      <c r="C30" s="452"/>
      <c r="D30" s="493"/>
      <c r="E30" s="465"/>
      <c r="F30" s="465"/>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503">
        <f t="shared" si="11"/>
        <v>0</v>
      </c>
      <c r="AJ30" s="503">
        <f t="shared" si="12"/>
        <v>0</v>
      </c>
      <c r="AK30" s="503">
        <f t="shared" si="13"/>
        <v>0</v>
      </c>
    </row>
    <row r="31" spans="1:37" x14ac:dyDescent="0.2">
      <c r="B31" s="438" t="str">
        <f>地域経済性分析・初期条件!B17</f>
        <v>燃料　調達</v>
      </c>
      <c r="C31" s="451" t="s">
        <v>37</v>
      </c>
      <c r="D31" s="493">
        <v>0</v>
      </c>
      <c r="E31" s="466">
        <f>地域経済性分析・初期条件!D17</f>
        <v>495000000</v>
      </c>
      <c r="F31" s="466">
        <f>E31</f>
        <v>495000000</v>
      </c>
      <c r="G31" s="466">
        <f t="shared" ref="G31:AH31" si="14">F31</f>
        <v>495000000</v>
      </c>
      <c r="H31" s="466">
        <f t="shared" si="14"/>
        <v>495000000</v>
      </c>
      <c r="I31" s="466">
        <f t="shared" si="14"/>
        <v>495000000</v>
      </c>
      <c r="J31" s="466">
        <f t="shared" si="14"/>
        <v>495000000</v>
      </c>
      <c r="K31" s="466">
        <f t="shared" si="14"/>
        <v>495000000</v>
      </c>
      <c r="L31" s="466">
        <f t="shared" si="14"/>
        <v>495000000</v>
      </c>
      <c r="M31" s="466">
        <f t="shared" si="14"/>
        <v>495000000</v>
      </c>
      <c r="N31" s="466">
        <f t="shared" si="14"/>
        <v>495000000</v>
      </c>
      <c r="O31" s="466">
        <f t="shared" si="14"/>
        <v>495000000</v>
      </c>
      <c r="P31" s="466">
        <f t="shared" si="14"/>
        <v>495000000</v>
      </c>
      <c r="Q31" s="466">
        <f t="shared" si="14"/>
        <v>495000000</v>
      </c>
      <c r="R31" s="466">
        <f t="shared" si="14"/>
        <v>495000000</v>
      </c>
      <c r="S31" s="466">
        <f t="shared" si="14"/>
        <v>495000000</v>
      </c>
      <c r="T31" s="466">
        <f t="shared" si="14"/>
        <v>495000000</v>
      </c>
      <c r="U31" s="466">
        <f t="shared" si="14"/>
        <v>495000000</v>
      </c>
      <c r="V31" s="466">
        <f t="shared" si="14"/>
        <v>495000000</v>
      </c>
      <c r="W31" s="466">
        <f t="shared" si="14"/>
        <v>495000000</v>
      </c>
      <c r="X31" s="466">
        <f t="shared" si="14"/>
        <v>495000000</v>
      </c>
      <c r="Y31" s="466">
        <f t="shared" si="14"/>
        <v>495000000</v>
      </c>
      <c r="Z31" s="466">
        <f t="shared" si="14"/>
        <v>495000000</v>
      </c>
      <c r="AA31" s="466">
        <f t="shared" si="14"/>
        <v>495000000</v>
      </c>
      <c r="AB31" s="466">
        <f t="shared" si="14"/>
        <v>495000000</v>
      </c>
      <c r="AC31" s="466">
        <f t="shared" si="14"/>
        <v>495000000</v>
      </c>
      <c r="AD31" s="466">
        <f t="shared" si="14"/>
        <v>495000000</v>
      </c>
      <c r="AE31" s="466">
        <f t="shared" si="14"/>
        <v>495000000</v>
      </c>
      <c r="AF31" s="466">
        <f t="shared" si="14"/>
        <v>495000000</v>
      </c>
      <c r="AG31" s="466">
        <f t="shared" si="14"/>
        <v>495000000</v>
      </c>
      <c r="AH31" s="466">
        <f t="shared" si="14"/>
        <v>495000000</v>
      </c>
      <c r="AI31" s="503">
        <f t="shared" si="11"/>
        <v>4950000000</v>
      </c>
      <c r="AJ31" s="503">
        <f t="shared" si="12"/>
        <v>9900000000</v>
      </c>
      <c r="AK31" s="503">
        <f t="shared" si="13"/>
        <v>14850000000</v>
      </c>
    </row>
    <row r="32" spans="1:37" x14ac:dyDescent="0.2">
      <c r="B32" s="438" t="str">
        <f>地域経済性分析・初期条件!B21</f>
        <v>ユーティリティー費用</v>
      </c>
      <c r="C32" s="451" t="s">
        <v>37</v>
      </c>
      <c r="D32" s="493">
        <v>0</v>
      </c>
      <c r="E32" s="466">
        <f>地域経済性分析・初期条件!D21</f>
        <v>84281810.798385695</v>
      </c>
      <c r="F32" s="466">
        <f t="shared" ref="F32:F36" si="15">E32</f>
        <v>84281810.798385695</v>
      </c>
      <c r="G32" s="466">
        <f t="shared" ref="G32:U32" si="16">F32</f>
        <v>84281810.798385695</v>
      </c>
      <c r="H32" s="466">
        <f t="shared" si="16"/>
        <v>84281810.798385695</v>
      </c>
      <c r="I32" s="466">
        <f t="shared" si="16"/>
        <v>84281810.798385695</v>
      </c>
      <c r="J32" s="466">
        <f t="shared" si="16"/>
        <v>84281810.798385695</v>
      </c>
      <c r="K32" s="466">
        <f t="shared" si="16"/>
        <v>84281810.798385695</v>
      </c>
      <c r="L32" s="466">
        <f t="shared" si="16"/>
        <v>84281810.798385695</v>
      </c>
      <c r="M32" s="466">
        <f t="shared" si="16"/>
        <v>84281810.798385695</v>
      </c>
      <c r="N32" s="466">
        <f t="shared" si="16"/>
        <v>84281810.798385695</v>
      </c>
      <c r="O32" s="466">
        <f t="shared" si="16"/>
        <v>84281810.798385695</v>
      </c>
      <c r="P32" s="466">
        <f t="shared" si="16"/>
        <v>84281810.798385695</v>
      </c>
      <c r="Q32" s="466">
        <f t="shared" si="16"/>
        <v>84281810.798385695</v>
      </c>
      <c r="R32" s="466">
        <f t="shared" si="16"/>
        <v>84281810.798385695</v>
      </c>
      <c r="S32" s="466">
        <f t="shared" si="16"/>
        <v>84281810.798385695</v>
      </c>
      <c r="T32" s="466">
        <f t="shared" si="16"/>
        <v>84281810.798385695</v>
      </c>
      <c r="U32" s="466">
        <f t="shared" si="16"/>
        <v>84281810.798385695</v>
      </c>
      <c r="V32" s="466">
        <f t="shared" ref="G32:AH33" si="17">U32</f>
        <v>84281810.798385695</v>
      </c>
      <c r="W32" s="466">
        <f t="shared" si="17"/>
        <v>84281810.798385695</v>
      </c>
      <c r="X32" s="466">
        <f t="shared" si="17"/>
        <v>84281810.798385695</v>
      </c>
      <c r="Y32" s="466">
        <f t="shared" si="17"/>
        <v>84281810.798385695</v>
      </c>
      <c r="Z32" s="466">
        <f t="shared" si="17"/>
        <v>84281810.798385695</v>
      </c>
      <c r="AA32" s="466">
        <f t="shared" si="17"/>
        <v>84281810.798385695</v>
      </c>
      <c r="AB32" s="466">
        <f t="shared" si="17"/>
        <v>84281810.798385695</v>
      </c>
      <c r="AC32" s="466">
        <f t="shared" si="17"/>
        <v>84281810.798385695</v>
      </c>
      <c r="AD32" s="466">
        <f t="shared" si="17"/>
        <v>84281810.798385695</v>
      </c>
      <c r="AE32" s="466">
        <f t="shared" si="17"/>
        <v>84281810.798385695</v>
      </c>
      <c r="AF32" s="466">
        <f t="shared" si="17"/>
        <v>84281810.798385695</v>
      </c>
      <c r="AG32" s="466">
        <f t="shared" si="17"/>
        <v>84281810.798385695</v>
      </c>
      <c r="AH32" s="466">
        <f t="shared" si="17"/>
        <v>84281810.798385695</v>
      </c>
      <c r="AI32" s="503">
        <f t="shared" si="11"/>
        <v>842818107.98385704</v>
      </c>
      <c r="AJ32" s="503">
        <f t="shared" si="12"/>
        <v>1685636215.9677136</v>
      </c>
      <c r="AK32" s="503">
        <f t="shared" si="13"/>
        <v>2528454323.95157</v>
      </c>
    </row>
    <row r="33" spans="1:37" x14ac:dyDescent="0.2">
      <c r="A33" s="1394"/>
      <c r="B33" s="1395" t="str">
        <f>地域経済性分析・初期条件!B25</f>
        <v>灰処理費用</v>
      </c>
      <c r="C33" s="1396" t="s">
        <v>37</v>
      </c>
      <c r="D33" s="1397">
        <v>0</v>
      </c>
      <c r="E33" s="1398">
        <f>地域経済性分析・初期条件!D25</f>
        <v>60201293.427418359</v>
      </c>
      <c r="F33" s="1398">
        <f t="shared" si="15"/>
        <v>60201293.427418359</v>
      </c>
      <c r="G33" s="1398">
        <f t="shared" si="17"/>
        <v>60201293.427418359</v>
      </c>
      <c r="H33" s="1398">
        <f t="shared" si="17"/>
        <v>60201293.427418359</v>
      </c>
      <c r="I33" s="1398">
        <f t="shared" si="17"/>
        <v>60201293.427418359</v>
      </c>
      <c r="J33" s="1398">
        <f t="shared" si="17"/>
        <v>60201293.427418359</v>
      </c>
      <c r="K33" s="1398">
        <f t="shared" si="17"/>
        <v>60201293.427418359</v>
      </c>
      <c r="L33" s="1398">
        <f t="shared" si="17"/>
        <v>60201293.427418359</v>
      </c>
      <c r="M33" s="1398">
        <f t="shared" si="17"/>
        <v>60201293.427418359</v>
      </c>
      <c r="N33" s="1398">
        <f t="shared" si="17"/>
        <v>60201293.427418359</v>
      </c>
      <c r="O33" s="1398">
        <f t="shared" si="17"/>
        <v>60201293.427418359</v>
      </c>
      <c r="P33" s="1398">
        <f t="shared" si="17"/>
        <v>60201293.427418359</v>
      </c>
      <c r="Q33" s="1398">
        <f t="shared" si="17"/>
        <v>60201293.427418359</v>
      </c>
      <c r="R33" s="1398">
        <f t="shared" si="17"/>
        <v>60201293.427418359</v>
      </c>
      <c r="S33" s="1398">
        <f t="shared" si="17"/>
        <v>60201293.427418359</v>
      </c>
      <c r="T33" s="1398">
        <f t="shared" si="17"/>
        <v>60201293.427418359</v>
      </c>
      <c r="U33" s="1398">
        <f t="shared" si="17"/>
        <v>60201293.427418359</v>
      </c>
      <c r="V33" s="1398">
        <f t="shared" si="17"/>
        <v>60201293.427418359</v>
      </c>
      <c r="W33" s="1398">
        <f t="shared" si="17"/>
        <v>60201293.427418359</v>
      </c>
      <c r="X33" s="1398">
        <f t="shared" si="17"/>
        <v>60201293.427418359</v>
      </c>
      <c r="Y33" s="1398">
        <f t="shared" si="17"/>
        <v>60201293.427418359</v>
      </c>
      <c r="Z33" s="1398">
        <f t="shared" si="17"/>
        <v>60201293.427418359</v>
      </c>
      <c r="AA33" s="1398">
        <f t="shared" si="17"/>
        <v>60201293.427418359</v>
      </c>
      <c r="AB33" s="1398">
        <f t="shared" si="17"/>
        <v>60201293.427418359</v>
      </c>
      <c r="AC33" s="1398">
        <f t="shared" si="17"/>
        <v>60201293.427418359</v>
      </c>
      <c r="AD33" s="1398">
        <f t="shared" si="17"/>
        <v>60201293.427418359</v>
      </c>
      <c r="AE33" s="1398">
        <f t="shared" si="17"/>
        <v>60201293.427418359</v>
      </c>
      <c r="AF33" s="1398">
        <f t="shared" si="17"/>
        <v>60201293.427418359</v>
      </c>
      <c r="AG33" s="1398">
        <f t="shared" si="17"/>
        <v>60201293.427418359</v>
      </c>
      <c r="AH33" s="1398">
        <f t="shared" si="17"/>
        <v>60201293.427418359</v>
      </c>
      <c r="AI33" s="1399">
        <f t="shared" si="11"/>
        <v>602012934.27418363</v>
      </c>
      <c r="AJ33" s="1399">
        <f t="shared" si="12"/>
        <v>1204025868.5483675</v>
      </c>
      <c r="AK33" s="1399">
        <f t="shared" si="13"/>
        <v>1806038802.8225522</v>
      </c>
    </row>
    <row r="34" spans="1:37" x14ac:dyDescent="0.2">
      <c r="B34" s="439" t="s">
        <v>15</v>
      </c>
      <c r="C34" s="452"/>
      <c r="D34" s="493"/>
      <c r="E34" s="465"/>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503">
        <f>SUM(D34:N34)</f>
        <v>0</v>
      </c>
      <c r="AJ34" s="503">
        <f>SUM(D34:X34)</f>
        <v>0</v>
      </c>
      <c r="AK34" s="503">
        <f>SUM(D34:AH34)</f>
        <v>0</v>
      </c>
    </row>
    <row r="35" spans="1:37" x14ac:dyDescent="0.2">
      <c r="B35" s="438" t="str">
        <f>地域経済性分析・初期条件!B29</f>
        <v>人件費（他地域）</v>
      </c>
      <c r="C35" s="451" t="s">
        <v>37</v>
      </c>
      <c r="D35" s="493">
        <v>0</v>
      </c>
      <c r="E35" s="466">
        <f>地域経済性分析・初期条件!D29</f>
        <v>72241552.11290203</v>
      </c>
      <c r="F35" s="466">
        <f t="shared" ref="F35:AH35" si="18">E35</f>
        <v>72241552.11290203</v>
      </c>
      <c r="G35" s="466">
        <f t="shared" si="18"/>
        <v>72241552.11290203</v>
      </c>
      <c r="H35" s="466">
        <f t="shared" si="18"/>
        <v>72241552.11290203</v>
      </c>
      <c r="I35" s="466">
        <f t="shared" si="18"/>
        <v>72241552.11290203</v>
      </c>
      <c r="J35" s="466">
        <f t="shared" si="18"/>
        <v>72241552.11290203</v>
      </c>
      <c r="K35" s="466">
        <f t="shared" si="18"/>
        <v>72241552.11290203</v>
      </c>
      <c r="L35" s="466">
        <f t="shared" si="18"/>
        <v>72241552.11290203</v>
      </c>
      <c r="M35" s="466">
        <f t="shared" si="18"/>
        <v>72241552.11290203</v>
      </c>
      <c r="N35" s="466">
        <f t="shared" si="18"/>
        <v>72241552.11290203</v>
      </c>
      <c r="O35" s="466">
        <f t="shared" si="18"/>
        <v>72241552.11290203</v>
      </c>
      <c r="P35" s="466">
        <f t="shared" si="18"/>
        <v>72241552.11290203</v>
      </c>
      <c r="Q35" s="466">
        <f t="shared" si="18"/>
        <v>72241552.11290203</v>
      </c>
      <c r="R35" s="466">
        <f t="shared" si="18"/>
        <v>72241552.11290203</v>
      </c>
      <c r="S35" s="466">
        <f t="shared" si="18"/>
        <v>72241552.11290203</v>
      </c>
      <c r="T35" s="466">
        <f t="shared" si="18"/>
        <v>72241552.11290203</v>
      </c>
      <c r="U35" s="466">
        <f t="shared" si="18"/>
        <v>72241552.11290203</v>
      </c>
      <c r="V35" s="466">
        <f t="shared" si="18"/>
        <v>72241552.11290203</v>
      </c>
      <c r="W35" s="466">
        <f t="shared" si="18"/>
        <v>72241552.11290203</v>
      </c>
      <c r="X35" s="466">
        <f t="shared" si="18"/>
        <v>72241552.11290203</v>
      </c>
      <c r="Y35" s="466">
        <f t="shared" si="18"/>
        <v>72241552.11290203</v>
      </c>
      <c r="Z35" s="466">
        <f t="shared" si="18"/>
        <v>72241552.11290203</v>
      </c>
      <c r="AA35" s="466">
        <f t="shared" si="18"/>
        <v>72241552.11290203</v>
      </c>
      <c r="AB35" s="466">
        <f t="shared" si="18"/>
        <v>72241552.11290203</v>
      </c>
      <c r="AC35" s="466">
        <f t="shared" si="18"/>
        <v>72241552.11290203</v>
      </c>
      <c r="AD35" s="466">
        <f t="shared" si="18"/>
        <v>72241552.11290203</v>
      </c>
      <c r="AE35" s="466">
        <f t="shared" si="18"/>
        <v>72241552.11290203</v>
      </c>
      <c r="AF35" s="466">
        <f t="shared" si="18"/>
        <v>72241552.11290203</v>
      </c>
      <c r="AG35" s="466">
        <f t="shared" si="18"/>
        <v>72241552.11290203</v>
      </c>
      <c r="AH35" s="466">
        <f t="shared" si="18"/>
        <v>72241552.11290203</v>
      </c>
      <c r="AI35" s="503">
        <f>SUM(D35:N35)</f>
        <v>722415521.12902033</v>
      </c>
      <c r="AJ35" s="503">
        <f>SUM(D35:X35)</f>
        <v>1444831042.2580402</v>
      </c>
      <c r="AK35" s="503">
        <f>SUM(D35:AH35)</f>
        <v>2167246563.3870597</v>
      </c>
    </row>
    <row r="36" spans="1:37" x14ac:dyDescent="0.2">
      <c r="B36" s="438" t="str">
        <f>地域経済性分析・初期条件!B33</f>
        <v>メンテナンス費</v>
      </c>
      <c r="C36" s="451" t="s">
        <v>37</v>
      </c>
      <c r="D36" s="493">
        <v>0</v>
      </c>
      <c r="E36" s="466">
        <f>地域経済性分析・初期条件!D33</f>
        <v>258880890.86578479</v>
      </c>
      <c r="F36" s="466">
        <f t="shared" si="15"/>
        <v>258880890.86578479</v>
      </c>
      <c r="G36" s="466">
        <f t="shared" ref="G36:AH36" si="19">F36</f>
        <v>258880890.86578479</v>
      </c>
      <c r="H36" s="466">
        <f t="shared" si="19"/>
        <v>258880890.86578479</v>
      </c>
      <c r="I36" s="466">
        <f t="shared" si="19"/>
        <v>258880890.86578479</v>
      </c>
      <c r="J36" s="466">
        <f t="shared" si="19"/>
        <v>258880890.86578479</v>
      </c>
      <c r="K36" s="466">
        <f t="shared" si="19"/>
        <v>258880890.86578479</v>
      </c>
      <c r="L36" s="466">
        <f t="shared" si="19"/>
        <v>258880890.86578479</v>
      </c>
      <c r="M36" s="466">
        <f t="shared" si="19"/>
        <v>258880890.86578479</v>
      </c>
      <c r="N36" s="466">
        <f t="shared" si="19"/>
        <v>258880890.86578479</v>
      </c>
      <c r="O36" s="466">
        <f t="shared" si="19"/>
        <v>258880890.86578479</v>
      </c>
      <c r="P36" s="466">
        <f t="shared" si="19"/>
        <v>258880890.86578479</v>
      </c>
      <c r="Q36" s="466">
        <f t="shared" si="19"/>
        <v>258880890.86578479</v>
      </c>
      <c r="R36" s="466">
        <f t="shared" si="19"/>
        <v>258880890.86578479</v>
      </c>
      <c r="S36" s="466">
        <f t="shared" si="19"/>
        <v>258880890.86578479</v>
      </c>
      <c r="T36" s="466">
        <f t="shared" si="19"/>
        <v>258880890.86578479</v>
      </c>
      <c r="U36" s="466">
        <f t="shared" si="19"/>
        <v>258880890.86578479</v>
      </c>
      <c r="V36" s="466">
        <f t="shared" si="19"/>
        <v>258880890.86578479</v>
      </c>
      <c r="W36" s="466">
        <f t="shared" si="19"/>
        <v>258880890.86578479</v>
      </c>
      <c r="X36" s="466">
        <f t="shared" si="19"/>
        <v>258880890.86578479</v>
      </c>
      <c r="Y36" s="466">
        <f t="shared" si="19"/>
        <v>258880890.86578479</v>
      </c>
      <c r="Z36" s="466">
        <f t="shared" si="19"/>
        <v>258880890.86578479</v>
      </c>
      <c r="AA36" s="466">
        <f t="shared" si="19"/>
        <v>258880890.86578479</v>
      </c>
      <c r="AB36" s="466">
        <f t="shared" si="19"/>
        <v>258880890.86578479</v>
      </c>
      <c r="AC36" s="466">
        <f t="shared" si="19"/>
        <v>258880890.86578479</v>
      </c>
      <c r="AD36" s="466">
        <f t="shared" si="19"/>
        <v>258880890.86578479</v>
      </c>
      <c r="AE36" s="466">
        <f t="shared" si="19"/>
        <v>258880890.86578479</v>
      </c>
      <c r="AF36" s="466">
        <f t="shared" si="19"/>
        <v>258880890.86578479</v>
      </c>
      <c r="AG36" s="466">
        <f t="shared" si="19"/>
        <v>258880890.86578479</v>
      </c>
      <c r="AH36" s="466">
        <f t="shared" si="19"/>
        <v>258880890.86578479</v>
      </c>
      <c r="AI36" s="503">
        <f t="shared" si="11"/>
        <v>2588808908.6578479</v>
      </c>
      <c r="AJ36" s="503">
        <f t="shared" si="12"/>
        <v>5177617817.3156948</v>
      </c>
      <c r="AK36" s="503">
        <f t="shared" si="13"/>
        <v>7766426725.9735413</v>
      </c>
    </row>
    <row r="37" spans="1:37" x14ac:dyDescent="0.2">
      <c r="A37" s="1394"/>
      <c r="B37" s="1395" t="str">
        <f>地域経済性分析・初期条件!B37</f>
        <v>一般管理費</v>
      </c>
      <c r="C37" s="1396" t="s">
        <v>37</v>
      </c>
      <c r="D37" s="1397">
        <v>0</v>
      </c>
      <c r="E37" s="1398">
        <f>地域経済性分析・初期条件!D37</f>
        <v>24080517.37096734</v>
      </c>
      <c r="F37" s="1398">
        <f t="shared" ref="F37:AH37" si="20">E37</f>
        <v>24080517.37096734</v>
      </c>
      <c r="G37" s="1398">
        <f t="shared" si="20"/>
        <v>24080517.37096734</v>
      </c>
      <c r="H37" s="1398">
        <f t="shared" si="20"/>
        <v>24080517.37096734</v>
      </c>
      <c r="I37" s="1398">
        <f t="shared" si="20"/>
        <v>24080517.37096734</v>
      </c>
      <c r="J37" s="1398">
        <f t="shared" si="20"/>
        <v>24080517.37096734</v>
      </c>
      <c r="K37" s="1398">
        <f t="shared" si="20"/>
        <v>24080517.37096734</v>
      </c>
      <c r="L37" s="1398">
        <f t="shared" si="20"/>
        <v>24080517.37096734</v>
      </c>
      <c r="M37" s="1398">
        <f t="shared" si="20"/>
        <v>24080517.37096734</v>
      </c>
      <c r="N37" s="1398">
        <f t="shared" si="20"/>
        <v>24080517.37096734</v>
      </c>
      <c r="O37" s="1398">
        <f t="shared" si="20"/>
        <v>24080517.37096734</v>
      </c>
      <c r="P37" s="1398">
        <f t="shared" si="20"/>
        <v>24080517.37096734</v>
      </c>
      <c r="Q37" s="1398">
        <f t="shared" si="20"/>
        <v>24080517.37096734</v>
      </c>
      <c r="R37" s="1398">
        <f t="shared" si="20"/>
        <v>24080517.37096734</v>
      </c>
      <c r="S37" s="1398">
        <f t="shared" si="20"/>
        <v>24080517.37096734</v>
      </c>
      <c r="T37" s="1398">
        <f t="shared" si="20"/>
        <v>24080517.37096734</v>
      </c>
      <c r="U37" s="1398">
        <f t="shared" si="20"/>
        <v>24080517.37096734</v>
      </c>
      <c r="V37" s="1398">
        <f t="shared" si="20"/>
        <v>24080517.37096734</v>
      </c>
      <c r="W37" s="1398">
        <f t="shared" si="20"/>
        <v>24080517.37096734</v>
      </c>
      <c r="X37" s="1398">
        <f t="shared" si="20"/>
        <v>24080517.37096734</v>
      </c>
      <c r="Y37" s="1398">
        <f t="shared" si="20"/>
        <v>24080517.37096734</v>
      </c>
      <c r="Z37" s="1398">
        <f t="shared" si="20"/>
        <v>24080517.37096734</v>
      </c>
      <c r="AA37" s="1398">
        <f t="shared" si="20"/>
        <v>24080517.37096734</v>
      </c>
      <c r="AB37" s="1398">
        <f t="shared" si="20"/>
        <v>24080517.37096734</v>
      </c>
      <c r="AC37" s="1398">
        <f t="shared" si="20"/>
        <v>24080517.37096734</v>
      </c>
      <c r="AD37" s="1398">
        <f t="shared" si="20"/>
        <v>24080517.37096734</v>
      </c>
      <c r="AE37" s="1398">
        <f t="shared" si="20"/>
        <v>24080517.37096734</v>
      </c>
      <c r="AF37" s="1398">
        <f t="shared" si="20"/>
        <v>24080517.37096734</v>
      </c>
      <c r="AG37" s="1398">
        <f t="shared" si="20"/>
        <v>24080517.37096734</v>
      </c>
      <c r="AH37" s="1398">
        <f t="shared" si="20"/>
        <v>24080517.37096734</v>
      </c>
      <c r="AI37" s="1399">
        <f>SUM(D37:N37)</f>
        <v>240805173.70967335</v>
      </c>
      <c r="AJ37" s="1399">
        <f>SUM(D37:X37)</f>
        <v>481610347.41934663</v>
      </c>
      <c r="AK37" s="1399">
        <f>SUM(D37:AH37)</f>
        <v>722415521.12902033</v>
      </c>
    </row>
    <row r="38" spans="1:37" x14ac:dyDescent="0.2">
      <c r="B38" s="439" t="s">
        <v>206</v>
      </c>
      <c r="C38" s="452"/>
      <c r="D38" s="493"/>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503"/>
      <c r="AJ38" s="503"/>
      <c r="AK38" s="503">
        <f t="shared" si="13"/>
        <v>0</v>
      </c>
    </row>
    <row r="39" spans="1:37" x14ac:dyDescent="0.2">
      <c r="B39" s="438" t="s">
        <v>607</v>
      </c>
      <c r="C39" s="451" t="s">
        <v>37</v>
      </c>
      <c r="D39" s="493">
        <v>0</v>
      </c>
      <c r="E39" s="466">
        <f>-計算シート!E189</f>
        <v>0</v>
      </c>
      <c r="F39" s="466">
        <f>-計算シート!F189</f>
        <v>0</v>
      </c>
      <c r="G39" s="466">
        <f>-計算シート!G189</f>
        <v>0</v>
      </c>
      <c r="H39" s="466">
        <f>-計算シート!H189</f>
        <v>0</v>
      </c>
      <c r="I39" s="466">
        <f>-計算シート!I189</f>
        <v>0</v>
      </c>
      <c r="J39" s="466">
        <f>-計算シート!J189</f>
        <v>0</v>
      </c>
      <c r="K39" s="466">
        <f>-計算シート!K189</f>
        <v>0</v>
      </c>
      <c r="L39" s="466">
        <f>-計算シート!L189</f>
        <v>0</v>
      </c>
      <c r="M39" s="466">
        <f>-計算シート!M189</f>
        <v>0</v>
      </c>
      <c r="N39" s="466">
        <f>-計算シート!N189</f>
        <v>0</v>
      </c>
      <c r="O39" s="466">
        <f>-計算シート!O189</f>
        <v>0</v>
      </c>
      <c r="P39" s="466">
        <f>-計算シート!P189</f>
        <v>0</v>
      </c>
      <c r="Q39" s="466">
        <f>-計算シート!Q189</f>
        <v>0</v>
      </c>
      <c r="R39" s="466">
        <f>-計算シート!R189</f>
        <v>0</v>
      </c>
      <c r="S39" s="466">
        <f>-計算シート!S189</f>
        <v>0</v>
      </c>
      <c r="T39" s="466">
        <f>-計算シート!T189</f>
        <v>0</v>
      </c>
      <c r="U39" s="466">
        <f>-計算シート!U189</f>
        <v>0</v>
      </c>
      <c r="V39" s="466">
        <f>-計算シート!V189</f>
        <v>0</v>
      </c>
      <c r="W39" s="466">
        <f>-計算シート!W189</f>
        <v>0</v>
      </c>
      <c r="X39" s="466">
        <f>-計算シート!X189</f>
        <v>0</v>
      </c>
      <c r="Y39" s="466">
        <f>-計算シート!Y189</f>
        <v>0</v>
      </c>
      <c r="Z39" s="466">
        <f>-計算シート!Z189</f>
        <v>0</v>
      </c>
      <c r="AA39" s="466">
        <f>-計算シート!AA189</f>
        <v>0</v>
      </c>
      <c r="AB39" s="466">
        <f>-計算シート!AB189</f>
        <v>0</v>
      </c>
      <c r="AC39" s="466">
        <f>-計算シート!AC189</f>
        <v>0</v>
      </c>
      <c r="AD39" s="466">
        <f>-計算シート!AD189</f>
        <v>0</v>
      </c>
      <c r="AE39" s="466">
        <f>-計算シート!AE189</f>
        <v>0</v>
      </c>
      <c r="AF39" s="466">
        <f>-計算シート!AF189</f>
        <v>0</v>
      </c>
      <c r="AG39" s="466">
        <f>-計算シート!AG189</f>
        <v>0</v>
      </c>
      <c r="AH39" s="466">
        <f>-計算シート!AH189</f>
        <v>0</v>
      </c>
      <c r="AI39" s="503">
        <f>SUM(D39:N39)</f>
        <v>0</v>
      </c>
      <c r="AJ39" s="503">
        <f>SUM(D39:X39)</f>
        <v>0</v>
      </c>
      <c r="AK39" s="503">
        <f t="shared" si="13"/>
        <v>0</v>
      </c>
    </row>
    <row r="40" spans="1:37" x14ac:dyDescent="0.2">
      <c r="B40" s="438" t="s">
        <v>608</v>
      </c>
      <c r="C40" s="451" t="s">
        <v>37</v>
      </c>
      <c r="D40" s="493">
        <v>0</v>
      </c>
      <c r="E40" s="466">
        <f>計算シート!E193</f>
        <v>0</v>
      </c>
      <c r="F40" s="466">
        <f>計算シート!F193</f>
        <v>0</v>
      </c>
      <c r="G40" s="466">
        <f>計算シート!G193</f>
        <v>0</v>
      </c>
      <c r="H40" s="466">
        <f>計算シート!H193</f>
        <v>0</v>
      </c>
      <c r="I40" s="466">
        <f>計算シート!I193</f>
        <v>0</v>
      </c>
      <c r="J40" s="466">
        <f>計算シート!J193</f>
        <v>0</v>
      </c>
      <c r="K40" s="466">
        <f>計算シート!K193</f>
        <v>0</v>
      </c>
      <c r="L40" s="466">
        <f>計算シート!L193</f>
        <v>0</v>
      </c>
      <c r="M40" s="466">
        <f>計算シート!M193</f>
        <v>0</v>
      </c>
      <c r="N40" s="466">
        <f>計算シート!N193</f>
        <v>0</v>
      </c>
      <c r="O40" s="466">
        <f>計算シート!O193</f>
        <v>0</v>
      </c>
      <c r="P40" s="466">
        <f>計算シート!P193</f>
        <v>0</v>
      </c>
      <c r="Q40" s="466">
        <f>計算シート!Q193</f>
        <v>0</v>
      </c>
      <c r="R40" s="466">
        <f>計算シート!R193</f>
        <v>0</v>
      </c>
      <c r="S40" s="466">
        <f>計算シート!S193</f>
        <v>0</v>
      </c>
      <c r="T40" s="466">
        <f>計算シート!T193</f>
        <v>0</v>
      </c>
      <c r="U40" s="466">
        <f>計算シート!U193</f>
        <v>0</v>
      </c>
      <c r="V40" s="466">
        <f>計算シート!V193</f>
        <v>0</v>
      </c>
      <c r="W40" s="466">
        <f>計算シート!W193</f>
        <v>0</v>
      </c>
      <c r="X40" s="466">
        <f>計算シート!X193</f>
        <v>0</v>
      </c>
      <c r="Y40" s="466">
        <f>計算シート!Y193</f>
        <v>0</v>
      </c>
      <c r="Z40" s="466">
        <f>計算シート!Z193</f>
        <v>0</v>
      </c>
      <c r="AA40" s="466">
        <f>計算シート!AA193</f>
        <v>0</v>
      </c>
      <c r="AB40" s="466">
        <f>計算シート!AB193</f>
        <v>0</v>
      </c>
      <c r="AC40" s="466">
        <f>計算シート!AC193</f>
        <v>0</v>
      </c>
      <c r="AD40" s="466">
        <f>計算シート!AD193</f>
        <v>0</v>
      </c>
      <c r="AE40" s="466">
        <f>計算シート!AE193</f>
        <v>0</v>
      </c>
      <c r="AF40" s="466">
        <f>計算シート!AF193</f>
        <v>0</v>
      </c>
      <c r="AG40" s="466">
        <f>計算シート!AG193</f>
        <v>0</v>
      </c>
      <c r="AH40" s="466">
        <f>計算シート!AH193</f>
        <v>0</v>
      </c>
      <c r="AI40" s="503">
        <f>SUM(D40:N40)</f>
        <v>0</v>
      </c>
      <c r="AJ40" s="503">
        <f>SUM(D40:X40)</f>
        <v>0</v>
      </c>
      <c r="AK40" s="503">
        <f>SUM(D40:AH40)</f>
        <v>0</v>
      </c>
    </row>
    <row r="41" spans="1:37" x14ac:dyDescent="0.2">
      <c r="B41" s="438" t="s">
        <v>47</v>
      </c>
      <c r="C41" s="451" t="s">
        <v>37</v>
      </c>
      <c r="D41" s="493">
        <v>0</v>
      </c>
      <c r="E41" s="466">
        <f>-計算シート!E82</f>
        <v>67482677.382815763</v>
      </c>
      <c r="F41" s="466">
        <f>-計算シート!F82</f>
        <v>63664578.530893296</v>
      </c>
      <c r="G41" s="466">
        <f>-計算シート!G82</f>
        <v>59846479.678970814</v>
      </c>
      <c r="H41" s="466">
        <f>-計算シート!H82</f>
        <v>56028380.827048354</v>
      </c>
      <c r="I41" s="466">
        <f>-計算シート!I82</f>
        <v>52210281.975125872</v>
      </c>
      <c r="J41" s="466">
        <f>-計算シート!J82</f>
        <v>48392183.123203412</v>
      </c>
      <c r="K41" s="466">
        <f>-計算シート!K82</f>
        <v>44574084.271280937</v>
      </c>
      <c r="L41" s="466">
        <f>-計算シート!L82</f>
        <v>40755985.41935847</v>
      </c>
      <c r="M41" s="466">
        <f>-計算シート!M82</f>
        <v>36937886.567436002</v>
      </c>
      <c r="N41" s="466">
        <f>-計算シート!N82</f>
        <v>33119787.715513531</v>
      </c>
      <c r="O41" s="466">
        <f>-計算シート!O82</f>
        <v>29301688.86359106</v>
      </c>
      <c r="P41" s="466">
        <f>-計算シート!P82</f>
        <v>25483590.011668589</v>
      </c>
      <c r="Q41" s="466">
        <f>-計算シート!Q82</f>
        <v>21665491.159746122</v>
      </c>
      <c r="R41" s="466">
        <f>-計算シート!R82</f>
        <v>17847392.307823651</v>
      </c>
      <c r="S41" s="466">
        <f>-計算シート!S82</f>
        <v>14029293.455901179</v>
      </c>
      <c r="T41" s="466">
        <f>-計算シート!T82</f>
        <v>10211194.60397871</v>
      </c>
      <c r="U41" s="466">
        <f>-計算シート!U82</f>
        <v>9767229.6211970262</v>
      </c>
      <c r="V41" s="466">
        <f>-計算シート!V82</f>
        <v>9323264.6384153459</v>
      </c>
      <c r="W41" s="466">
        <f>-計算シート!W82</f>
        <v>8879299.6556336619</v>
      </c>
      <c r="X41" s="466">
        <f>-計算シート!X82</f>
        <v>8435334.6728519816</v>
      </c>
      <c r="Y41" s="466">
        <f>-計算シート!Y82</f>
        <v>7991369.6900702976</v>
      </c>
      <c r="Z41" s="466">
        <f>-計算シート!Z82</f>
        <v>7547404.7072886173</v>
      </c>
      <c r="AA41" s="466">
        <f>-計算シート!AA82</f>
        <v>7103439.7245069342</v>
      </c>
      <c r="AB41" s="466">
        <f>-計算シート!AB82</f>
        <v>6659474.7417252511</v>
      </c>
      <c r="AC41" s="466">
        <f>-計算シート!AC82</f>
        <v>6215509.7589435689</v>
      </c>
      <c r="AD41" s="466">
        <f>-計算シート!AD82</f>
        <v>5771544.7761618868</v>
      </c>
      <c r="AE41" s="466">
        <f>-計算シート!AE82</f>
        <v>5327579.7933802046</v>
      </c>
      <c r="AF41" s="466">
        <f>-計算シート!AF82</f>
        <v>4883614.8105985224</v>
      </c>
      <c r="AG41" s="466">
        <f>-計算シート!AG82</f>
        <v>4439649.8278168403</v>
      </c>
      <c r="AH41" s="466">
        <f>-計算シート!AH82</f>
        <v>3995684.8450351581</v>
      </c>
      <c r="AI41" s="503">
        <f>SUM(D41:N41)</f>
        <v>503012325.49164641</v>
      </c>
      <c r="AJ41" s="503">
        <f>SUM(D41:X41)</f>
        <v>657956104.48245382</v>
      </c>
      <c r="AK41" s="503">
        <f t="shared" si="13"/>
        <v>717891377.15798116</v>
      </c>
    </row>
    <row r="42" spans="1:37" x14ac:dyDescent="0.2">
      <c r="B42" s="438" t="s">
        <v>208</v>
      </c>
      <c r="C42" s="451" t="s">
        <v>37</v>
      </c>
      <c r="D42" s="493">
        <f t="shared" ref="D42:AH42" si="21">D21</f>
        <v>0</v>
      </c>
      <c r="E42" s="493">
        <f t="shared" si="21"/>
        <v>12835248.989062499</v>
      </c>
      <c r="F42" s="493">
        <f t="shared" si="21"/>
        <v>12835248.989062499</v>
      </c>
      <c r="G42" s="493">
        <f t="shared" si="21"/>
        <v>12835248.989062499</v>
      </c>
      <c r="H42" s="493">
        <f t="shared" si="21"/>
        <v>12835248.989062499</v>
      </c>
      <c r="I42" s="493">
        <f t="shared" si="21"/>
        <v>12835248.989062499</v>
      </c>
      <c r="J42" s="493">
        <f t="shared" si="21"/>
        <v>12835248.989062499</v>
      </c>
      <c r="K42" s="493">
        <f t="shared" si="21"/>
        <v>12835248.989062499</v>
      </c>
      <c r="L42" s="493">
        <f t="shared" si="21"/>
        <v>12835248.989062499</v>
      </c>
      <c r="M42" s="493">
        <f t="shared" si="21"/>
        <v>12835248.989062499</v>
      </c>
      <c r="N42" s="493">
        <f t="shared" si="21"/>
        <v>12835248.989062499</v>
      </c>
      <c r="O42" s="493">
        <f t="shared" si="21"/>
        <v>12835248.989062499</v>
      </c>
      <c r="P42" s="493">
        <f t="shared" si="21"/>
        <v>12835248.989062499</v>
      </c>
      <c r="Q42" s="493">
        <f t="shared" si="21"/>
        <v>12835248.989062499</v>
      </c>
      <c r="R42" s="493">
        <f t="shared" si="21"/>
        <v>12835248.989062499</v>
      </c>
      <c r="S42" s="493">
        <f t="shared" si="21"/>
        <v>12835248.989062499</v>
      </c>
      <c r="T42" s="493">
        <f t="shared" si="21"/>
        <v>12835248.989062499</v>
      </c>
      <c r="U42" s="493">
        <f t="shared" si="21"/>
        <v>12835248.989062499</v>
      </c>
      <c r="V42" s="493">
        <f t="shared" si="21"/>
        <v>12835248.989062499</v>
      </c>
      <c r="W42" s="493">
        <f t="shared" si="21"/>
        <v>12835248.989062499</v>
      </c>
      <c r="X42" s="493">
        <f t="shared" si="21"/>
        <v>12835248.989062499</v>
      </c>
      <c r="Y42" s="493">
        <f t="shared" si="21"/>
        <v>12835248.989062499</v>
      </c>
      <c r="Z42" s="493">
        <f t="shared" si="21"/>
        <v>12835248.989062499</v>
      </c>
      <c r="AA42" s="493">
        <f t="shared" si="21"/>
        <v>12835248.989062499</v>
      </c>
      <c r="AB42" s="493">
        <f t="shared" si="21"/>
        <v>12835248.989062499</v>
      </c>
      <c r="AC42" s="493">
        <f t="shared" si="21"/>
        <v>12835248.989062499</v>
      </c>
      <c r="AD42" s="493">
        <f t="shared" si="21"/>
        <v>12835248.989062499</v>
      </c>
      <c r="AE42" s="493">
        <f t="shared" si="21"/>
        <v>12835248.989062499</v>
      </c>
      <c r="AF42" s="493">
        <f t="shared" si="21"/>
        <v>12835248.989062499</v>
      </c>
      <c r="AG42" s="493">
        <f t="shared" si="21"/>
        <v>12835248.989062499</v>
      </c>
      <c r="AH42" s="493">
        <f t="shared" si="21"/>
        <v>12835248.989062499</v>
      </c>
      <c r="AI42" s="503">
        <f>SUM(D42:N42)</f>
        <v>128352489.89062501</v>
      </c>
      <c r="AJ42" s="503">
        <f>SUM(D42:X42)</f>
        <v>256704979.78124991</v>
      </c>
      <c r="AK42" s="503">
        <f>SUM(D42:AH42)</f>
        <v>385057469.67187482</v>
      </c>
    </row>
    <row r="43" spans="1:37" ht="11.5" thickBot="1" x14ac:dyDescent="0.25">
      <c r="A43" s="468"/>
      <c r="B43" s="486"/>
      <c r="C43" s="467"/>
      <c r="D43" s="507"/>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c r="AF43" s="468"/>
      <c r="AG43" s="468"/>
      <c r="AH43" s="468"/>
      <c r="AI43" s="504"/>
      <c r="AJ43" s="504"/>
      <c r="AK43" s="504">
        <f t="shared" si="13"/>
        <v>0</v>
      </c>
    </row>
    <row r="44" spans="1:37" ht="11.5" thickBot="1" x14ac:dyDescent="0.25"/>
    <row r="45" spans="1:37" ht="12" thickBot="1" x14ac:dyDescent="0.3">
      <c r="A45" s="484"/>
      <c r="B45" s="484" t="s">
        <v>240</v>
      </c>
      <c r="C45" s="447"/>
      <c r="D45" s="584">
        <v>0</v>
      </c>
      <c r="E45" s="448">
        <v>1</v>
      </c>
      <c r="F45" s="448">
        <v>2</v>
      </c>
      <c r="G45" s="448">
        <v>3</v>
      </c>
      <c r="H45" s="448">
        <v>4</v>
      </c>
      <c r="I45" s="448">
        <v>5</v>
      </c>
      <c r="J45" s="448">
        <v>6</v>
      </c>
      <c r="K45" s="448">
        <v>7</v>
      </c>
      <c r="L45" s="448">
        <v>8</v>
      </c>
      <c r="M45" s="448">
        <v>9</v>
      </c>
      <c r="N45" s="448">
        <v>10</v>
      </c>
      <c r="O45" s="448">
        <v>11</v>
      </c>
      <c r="P45" s="448">
        <v>12</v>
      </c>
      <c r="Q45" s="448">
        <v>13</v>
      </c>
      <c r="R45" s="448">
        <v>14</v>
      </c>
      <c r="S45" s="448">
        <v>15</v>
      </c>
      <c r="T45" s="448">
        <v>16</v>
      </c>
      <c r="U45" s="448">
        <v>17</v>
      </c>
      <c r="V45" s="448">
        <v>18</v>
      </c>
      <c r="W45" s="448">
        <v>19</v>
      </c>
      <c r="X45" s="449">
        <v>20</v>
      </c>
      <c r="Y45" s="449">
        <v>21</v>
      </c>
      <c r="Z45" s="449">
        <v>22</v>
      </c>
      <c r="AA45" s="449">
        <v>23</v>
      </c>
      <c r="AB45" s="449">
        <v>24</v>
      </c>
      <c r="AC45" s="449">
        <v>25</v>
      </c>
      <c r="AD45" s="449">
        <v>26</v>
      </c>
      <c r="AE45" s="449">
        <v>27</v>
      </c>
      <c r="AF45" s="449">
        <v>28</v>
      </c>
      <c r="AG45" s="449">
        <v>29</v>
      </c>
      <c r="AH45" s="534">
        <v>30</v>
      </c>
      <c r="AI45" s="536" t="s">
        <v>298</v>
      </c>
      <c r="AJ45" s="536" t="s">
        <v>261</v>
      </c>
      <c r="AK45" s="526" t="s">
        <v>262</v>
      </c>
    </row>
    <row r="46" spans="1:37" ht="11.5" x14ac:dyDescent="0.25">
      <c r="A46" s="439" t="s">
        <v>203</v>
      </c>
      <c r="C46" s="450"/>
      <c r="D46" s="493"/>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535"/>
      <c r="AJ46" s="535"/>
      <c r="AK46" s="497"/>
    </row>
    <row r="47" spans="1:37" ht="11.5" x14ac:dyDescent="0.25">
      <c r="A47" s="439" t="str">
        <f>B28</f>
        <v>設備費用</v>
      </c>
      <c r="C47" s="451" t="s">
        <v>37</v>
      </c>
      <c r="D47" s="493">
        <f t="shared" ref="D47:AH47" si="22">D28</f>
        <v>3615143431.2222729</v>
      </c>
      <c r="E47" s="466">
        <f t="shared" si="22"/>
        <v>0</v>
      </c>
      <c r="F47" s="466">
        <f t="shared" si="22"/>
        <v>0</v>
      </c>
      <c r="G47" s="466">
        <f t="shared" si="22"/>
        <v>0</v>
      </c>
      <c r="H47" s="466">
        <f t="shared" si="22"/>
        <v>0</v>
      </c>
      <c r="I47" s="466">
        <f t="shared" si="22"/>
        <v>0</v>
      </c>
      <c r="J47" s="466">
        <f t="shared" si="22"/>
        <v>0</v>
      </c>
      <c r="K47" s="466">
        <f t="shared" si="22"/>
        <v>0</v>
      </c>
      <c r="L47" s="466">
        <f t="shared" si="22"/>
        <v>0</v>
      </c>
      <c r="M47" s="466">
        <f t="shared" si="22"/>
        <v>0</v>
      </c>
      <c r="N47" s="466">
        <f t="shared" si="22"/>
        <v>0</v>
      </c>
      <c r="O47" s="466">
        <f t="shared" si="22"/>
        <v>0</v>
      </c>
      <c r="P47" s="466">
        <f t="shared" si="22"/>
        <v>0</v>
      </c>
      <c r="Q47" s="466">
        <f t="shared" si="22"/>
        <v>0</v>
      </c>
      <c r="R47" s="466">
        <f t="shared" si="22"/>
        <v>0</v>
      </c>
      <c r="S47" s="466">
        <f t="shared" si="22"/>
        <v>0</v>
      </c>
      <c r="T47" s="466">
        <f t="shared" si="22"/>
        <v>0</v>
      </c>
      <c r="U47" s="466">
        <f t="shared" si="22"/>
        <v>0</v>
      </c>
      <c r="V47" s="466">
        <f t="shared" si="22"/>
        <v>0</v>
      </c>
      <c r="W47" s="466">
        <f t="shared" si="22"/>
        <v>0</v>
      </c>
      <c r="X47" s="466">
        <f t="shared" si="22"/>
        <v>0</v>
      </c>
      <c r="Y47" s="466">
        <f t="shared" si="22"/>
        <v>0</v>
      </c>
      <c r="Z47" s="466">
        <f t="shared" si="22"/>
        <v>0</v>
      </c>
      <c r="AA47" s="466">
        <f t="shared" si="22"/>
        <v>0</v>
      </c>
      <c r="AB47" s="466">
        <f t="shared" si="22"/>
        <v>0</v>
      </c>
      <c r="AC47" s="466">
        <f t="shared" si="22"/>
        <v>0</v>
      </c>
      <c r="AD47" s="466">
        <f t="shared" si="22"/>
        <v>0</v>
      </c>
      <c r="AE47" s="466">
        <f t="shared" si="22"/>
        <v>0</v>
      </c>
      <c r="AF47" s="466">
        <f t="shared" si="22"/>
        <v>0</v>
      </c>
      <c r="AG47" s="466">
        <f t="shared" si="22"/>
        <v>0</v>
      </c>
      <c r="AH47" s="466">
        <f t="shared" si="22"/>
        <v>0</v>
      </c>
      <c r="AI47" s="535">
        <f>SUM(D47:N47)</f>
        <v>3615143431.2222729</v>
      </c>
      <c r="AJ47" s="535">
        <f>SUM(D47:X47)</f>
        <v>3615143431.2222729</v>
      </c>
      <c r="AK47" s="497">
        <f>SUM(D47:AH47)</f>
        <v>3615143431.2222729</v>
      </c>
    </row>
    <row r="48" spans="1:37" ht="11.5" x14ac:dyDescent="0.25">
      <c r="A48" s="488" t="str">
        <f>地域経済性分析・初期条件!G9</f>
        <v>はん用機械器具製造業</v>
      </c>
      <c r="C48" s="452"/>
      <c r="D48" s="493"/>
      <c r="E48" s="465"/>
      <c r="F48" s="465"/>
      <c r="G48" s="465"/>
      <c r="H48" s="465"/>
      <c r="I48" s="465"/>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535"/>
      <c r="AJ48" s="535"/>
      <c r="AK48" s="497"/>
    </row>
    <row r="49" spans="1:37" ht="11.5" x14ac:dyDescent="0.25">
      <c r="A49" s="533" t="str">
        <f>A48&amp;B49</f>
        <v>はん用機械器具製造業売上（税別）</v>
      </c>
      <c r="B49" s="439" t="s">
        <v>1092</v>
      </c>
      <c r="C49" s="451" t="s">
        <v>37</v>
      </c>
      <c r="D49" s="493">
        <f>D47*地域経済性分析・初期条件!$F$9</f>
        <v>903785857.80556822</v>
      </c>
      <c r="E49" s="493">
        <f>E47*地域経済性分析・初期条件!$F$9</f>
        <v>0</v>
      </c>
      <c r="F49" s="493">
        <f>F47*地域経済性分析・初期条件!$F$9</f>
        <v>0</v>
      </c>
      <c r="G49" s="493">
        <f>G47*地域経済性分析・初期条件!$F$9</f>
        <v>0</v>
      </c>
      <c r="H49" s="493">
        <f>H47*地域経済性分析・初期条件!$F$9</f>
        <v>0</v>
      </c>
      <c r="I49" s="493">
        <f>I47*地域経済性分析・初期条件!$F$9</f>
        <v>0</v>
      </c>
      <c r="J49" s="493">
        <f>J47*地域経済性分析・初期条件!$F$9</f>
        <v>0</v>
      </c>
      <c r="K49" s="493">
        <f>K47*地域経済性分析・初期条件!$F$9</f>
        <v>0</v>
      </c>
      <c r="L49" s="493">
        <f>L47*地域経済性分析・初期条件!$F$9</f>
        <v>0</v>
      </c>
      <c r="M49" s="493">
        <f>M47*地域経済性分析・初期条件!$F$9</f>
        <v>0</v>
      </c>
      <c r="N49" s="493">
        <f>N47*地域経済性分析・初期条件!$F$9</f>
        <v>0</v>
      </c>
      <c r="O49" s="493">
        <f>O47*地域経済性分析・初期条件!$F$9</f>
        <v>0</v>
      </c>
      <c r="P49" s="493">
        <f>P47*地域経済性分析・初期条件!$F$9</f>
        <v>0</v>
      </c>
      <c r="Q49" s="493">
        <f>Q47*地域経済性分析・初期条件!$F$9</f>
        <v>0</v>
      </c>
      <c r="R49" s="493">
        <f>R47*地域経済性分析・初期条件!$F$9</f>
        <v>0</v>
      </c>
      <c r="S49" s="493">
        <f>S47*地域経済性分析・初期条件!$F$9</f>
        <v>0</v>
      </c>
      <c r="T49" s="493">
        <f>T47*地域経済性分析・初期条件!$F$9</f>
        <v>0</v>
      </c>
      <c r="U49" s="493">
        <f>U47*地域経済性分析・初期条件!$F$9</f>
        <v>0</v>
      </c>
      <c r="V49" s="493">
        <f>V47*地域経済性分析・初期条件!$F$9</f>
        <v>0</v>
      </c>
      <c r="W49" s="493">
        <f>W47*地域経済性分析・初期条件!$F$9</f>
        <v>0</v>
      </c>
      <c r="X49" s="493">
        <f>X47*地域経済性分析・初期条件!$F$9</f>
        <v>0</v>
      </c>
      <c r="Y49" s="493">
        <f>Y47*地域経済性分析・初期条件!$F$9</f>
        <v>0</v>
      </c>
      <c r="Z49" s="493">
        <f>Z47*地域経済性分析・初期条件!$F$9</f>
        <v>0</v>
      </c>
      <c r="AA49" s="493">
        <f>AA47*地域経済性分析・初期条件!$F$9</f>
        <v>0</v>
      </c>
      <c r="AB49" s="493">
        <f>AB47*地域経済性分析・初期条件!$F$9</f>
        <v>0</v>
      </c>
      <c r="AC49" s="493">
        <f>AC47*地域経済性分析・初期条件!$F$9</f>
        <v>0</v>
      </c>
      <c r="AD49" s="493">
        <f>AD47*地域経済性分析・初期条件!$F$9</f>
        <v>0</v>
      </c>
      <c r="AE49" s="493">
        <f>AE47*地域経済性分析・初期条件!$F$9</f>
        <v>0</v>
      </c>
      <c r="AF49" s="493">
        <f>AF47*地域経済性分析・初期条件!$F$9</f>
        <v>0</v>
      </c>
      <c r="AG49" s="493">
        <f>AG47*地域経済性分析・初期条件!$F$9</f>
        <v>0</v>
      </c>
      <c r="AH49" s="493">
        <f>AH47*地域経済性分析・初期条件!$F$9</f>
        <v>0</v>
      </c>
      <c r="AI49" s="535">
        <f t="shared" ref="AI49:AI57" si="23">SUM(D49:N49)</f>
        <v>903785857.80556822</v>
      </c>
      <c r="AJ49" s="535">
        <f t="shared" ref="AJ49:AJ57" si="24">SUM(D49:X49)</f>
        <v>903785857.80556822</v>
      </c>
      <c r="AK49" s="497">
        <f t="shared" ref="AK49:AK57" si="25">SUM(D49:AH49)</f>
        <v>903785857.80556822</v>
      </c>
    </row>
    <row r="50" spans="1:37" ht="11.5" x14ac:dyDescent="0.25">
      <c r="A50" s="533"/>
      <c r="B50" s="439" t="s">
        <v>1136</v>
      </c>
      <c r="C50" s="451" t="s">
        <v>37</v>
      </c>
      <c r="D50" s="493">
        <f>D49*波及効果シート!$D$72</f>
        <v>9941644.4358612504</v>
      </c>
      <c r="E50" s="493">
        <f>E49*波及効果シート!$D$72</f>
        <v>0</v>
      </c>
      <c r="F50" s="493">
        <f>F49*波及効果シート!$D$72</f>
        <v>0</v>
      </c>
      <c r="G50" s="493">
        <f>G49*波及効果シート!$D$72</f>
        <v>0</v>
      </c>
      <c r="H50" s="493">
        <f>H49*波及効果シート!$D$72</f>
        <v>0</v>
      </c>
      <c r="I50" s="493">
        <f>I49*波及効果シート!$D$72</f>
        <v>0</v>
      </c>
      <c r="J50" s="493">
        <f>J49*波及効果シート!$D$72</f>
        <v>0</v>
      </c>
      <c r="K50" s="493">
        <f>K49*波及効果シート!$D$72</f>
        <v>0</v>
      </c>
      <c r="L50" s="493">
        <f>L49*波及効果シート!$D$72</f>
        <v>0</v>
      </c>
      <c r="M50" s="493">
        <f>M49*波及効果シート!$D$72</f>
        <v>0</v>
      </c>
      <c r="N50" s="493">
        <f>N49*波及効果シート!$D$72</f>
        <v>0</v>
      </c>
      <c r="O50" s="493">
        <f>O49*波及効果シート!$D$72</f>
        <v>0</v>
      </c>
      <c r="P50" s="493">
        <f>P49*波及効果シート!$D$72</f>
        <v>0</v>
      </c>
      <c r="Q50" s="493">
        <f>Q49*波及効果シート!$D$72</f>
        <v>0</v>
      </c>
      <c r="R50" s="493">
        <f>R49*波及効果シート!$D$72</f>
        <v>0</v>
      </c>
      <c r="S50" s="493">
        <f>S49*波及効果シート!$D$72</f>
        <v>0</v>
      </c>
      <c r="T50" s="493">
        <f>T49*波及効果シート!$D$72</f>
        <v>0</v>
      </c>
      <c r="U50" s="493">
        <f>U49*波及効果シート!$D$72</f>
        <v>0</v>
      </c>
      <c r="V50" s="493">
        <f>V49*波及効果シート!$D$72</f>
        <v>0</v>
      </c>
      <c r="W50" s="493">
        <f>W49*波及効果シート!$D$72</f>
        <v>0</v>
      </c>
      <c r="X50" s="493">
        <f>X49*波及効果シート!$D$72</f>
        <v>0</v>
      </c>
      <c r="Y50" s="493">
        <f>Y49*波及効果シート!$D$72</f>
        <v>0</v>
      </c>
      <c r="Z50" s="493">
        <f>Z49*波及効果シート!$D$72</f>
        <v>0</v>
      </c>
      <c r="AA50" s="493">
        <f>AA49*波及効果シート!$D$72</f>
        <v>0</v>
      </c>
      <c r="AB50" s="493">
        <f>AB49*波及効果シート!$D$72</f>
        <v>0</v>
      </c>
      <c r="AC50" s="493">
        <f>AC49*波及効果シート!$D$72</f>
        <v>0</v>
      </c>
      <c r="AD50" s="493">
        <f>AD49*波及効果シート!$D$72</f>
        <v>0</v>
      </c>
      <c r="AE50" s="493">
        <f>AE49*波及効果シート!$D$72</f>
        <v>0</v>
      </c>
      <c r="AF50" s="493">
        <f>AF49*波及効果シート!$D$72</f>
        <v>0</v>
      </c>
      <c r="AG50" s="493">
        <f>AG49*波及効果シート!$D$72</f>
        <v>0</v>
      </c>
      <c r="AH50" s="493">
        <f>AH49*波及効果シート!$D$72</f>
        <v>0</v>
      </c>
      <c r="AI50" s="535">
        <f t="shared" ref="AI50:AI51" si="26">SUM(D50:N50)</f>
        <v>9941644.4358612504</v>
      </c>
      <c r="AJ50" s="535">
        <f t="shared" ref="AJ50:AJ51" si="27">SUM(D50:X50)</f>
        <v>9941644.4358612504</v>
      </c>
      <c r="AK50" s="497">
        <f t="shared" ref="AK50:AK51" si="28">SUM(D50:AH50)</f>
        <v>9941644.4358612504</v>
      </c>
    </row>
    <row r="51" spans="1:37" ht="11.5" x14ac:dyDescent="0.25">
      <c r="A51" s="533"/>
      <c r="B51" s="439" t="s">
        <v>1137</v>
      </c>
      <c r="C51" s="452" t="s">
        <v>37</v>
      </c>
      <c r="D51" s="493">
        <f>D49*波及効果シート!$D$74</f>
        <v>9941644.4358612504</v>
      </c>
      <c r="E51" s="493">
        <f>E49*波及効果シート!$D$74</f>
        <v>0</v>
      </c>
      <c r="F51" s="493">
        <f>F49*波及効果シート!$D$74</f>
        <v>0</v>
      </c>
      <c r="G51" s="493">
        <f>G49*波及効果シート!$D$74</f>
        <v>0</v>
      </c>
      <c r="H51" s="493">
        <f>H49*波及効果シート!$D$74</f>
        <v>0</v>
      </c>
      <c r="I51" s="493">
        <f>I49*波及効果シート!$D$74</f>
        <v>0</v>
      </c>
      <c r="J51" s="493">
        <f>J49*波及効果シート!$D$74</f>
        <v>0</v>
      </c>
      <c r="K51" s="493">
        <f>K49*波及効果シート!$D$74</f>
        <v>0</v>
      </c>
      <c r="L51" s="493">
        <f>L49*波及効果シート!$D$74</f>
        <v>0</v>
      </c>
      <c r="M51" s="493">
        <f>M49*波及効果シート!$D$74</f>
        <v>0</v>
      </c>
      <c r="N51" s="493">
        <f>N49*波及効果シート!$D$74</f>
        <v>0</v>
      </c>
      <c r="O51" s="493">
        <f>O49*波及効果シート!$D$74</f>
        <v>0</v>
      </c>
      <c r="P51" s="493">
        <f>P49*波及効果シート!$D$74</f>
        <v>0</v>
      </c>
      <c r="Q51" s="493">
        <f>Q49*波及効果シート!$D$74</f>
        <v>0</v>
      </c>
      <c r="R51" s="493">
        <f>R49*波及効果シート!$D$74</f>
        <v>0</v>
      </c>
      <c r="S51" s="493">
        <f>S49*波及効果シート!$D$74</f>
        <v>0</v>
      </c>
      <c r="T51" s="493">
        <f>T49*波及効果シート!$D$74</f>
        <v>0</v>
      </c>
      <c r="U51" s="493">
        <f>U49*波及効果シート!$D$74</f>
        <v>0</v>
      </c>
      <c r="V51" s="493">
        <f>V49*波及効果シート!$D$74</f>
        <v>0</v>
      </c>
      <c r="W51" s="493">
        <f>W49*波及効果シート!$D$74</f>
        <v>0</v>
      </c>
      <c r="X51" s="493">
        <f>X49*波及効果シート!$D$74</f>
        <v>0</v>
      </c>
      <c r="Y51" s="493">
        <f>Y49*波及効果シート!$D$74</f>
        <v>0</v>
      </c>
      <c r="Z51" s="493">
        <f>Z49*波及効果シート!$D$74</f>
        <v>0</v>
      </c>
      <c r="AA51" s="493">
        <f>AA49*波及効果シート!$D$74</f>
        <v>0</v>
      </c>
      <c r="AB51" s="493">
        <f>AB49*波及効果シート!$D$74</f>
        <v>0</v>
      </c>
      <c r="AC51" s="493">
        <f>AC49*波及効果シート!$D$74</f>
        <v>0</v>
      </c>
      <c r="AD51" s="493">
        <f>AD49*波及効果シート!$D$74</f>
        <v>0</v>
      </c>
      <c r="AE51" s="493">
        <f>AE49*波及効果シート!$D$74</f>
        <v>0</v>
      </c>
      <c r="AF51" s="493">
        <f>AF49*波及効果シート!$D$74</f>
        <v>0</v>
      </c>
      <c r="AG51" s="493">
        <f>AG49*波及効果シート!$D$74</f>
        <v>0</v>
      </c>
      <c r="AH51" s="493">
        <f>AH49*波及効果シート!$D$74</f>
        <v>0</v>
      </c>
      <c r="AI51" s="535">
        <f t="shared" si="26"/>
        <v>9941644.4358612504</v>
      </c>
      <c r="AJ51" s="535">
        <f t="shared" si="27"/>
        <v>9941644.4358612504</v>
      </c>
      <c r="AK51" s="497">
        <f t="shared" si="28"/>
        <v>9941644.4358612504</v>
      </c>
    </row>
    <row r="52" spans="1:37" ht="11.5" x14ac:dyDescent="0.25">
      <c r="A52" s="533"/>
      <c r="B52" s="439" t="s">
        <v>351</v>
      </c>
      <c r="C52" s="452" t="s">
        <v>333</v>
      </c>
      <c r="D52" s="493">
        <f>D49*地域経済性分析・初期条件!$P$9</f>
        <v>180757171.56111366</v>
      </c>
      <c r="E52" s="493">
        <f>E49*地域経済性分析・初期条件!$P$9</f>
        <v>0</v>
      </c>
      <c r="F52" s="493">
        <f>F49*地域経済性分析・初期条件!$P$9</f>
        <v>0</v>
      </c>
      <c r="G52" s="493">
        <f>G49*地域経済性分析・初期条件!$P$9</f>
        <v>0</v>
      </c>
      <c r="H52" s="493">
        <f>H49*地域経済性分析・初期条件!$P$9</f>
        <v>0</v>
      </c>
      <c r="I52" s="493">
        <f>I49*地域経済性分析・初期条件!$P$9</f>
        <v>0</v>
      </c>
      <c r="J52" s="493">
        <f>J49*地域経済性分析・初期条件!$P$9</f>
        <v>0</v>
      </c>
      <c r="K52" s="493">
        <f>K49*地域経済性分析・初期条件!$P$9</f>
        <v>0</v>
      </c>
      <c r="L52" s="493">
        <f>L49*地域経済性分析・初期条件!$P$9</f>
        <v>0</v>
      </c>
      <c r="M52" s="493">
        <f>M49*地域経済性分析・初期条件!$P$9</f>
        <v>0</v>
      </c>
      <c r="N52" s="493">
        <f>N49*地域経済性分析・初期条件!$P$9</f>
        <v>0</v>
      </c>
      <c r="O52" s="493">
        <f>O49*地域経済性分析・初期条件!$P$9</f>
        <v>0</v>
      </c>
      <c r="P52" s="493">
        <f>P49*地域経済性分析・初期条件!$P$9</f>
        <v>0</v>
      </c>
      <c r="Q52" s="493">
        <f>Q49*地域経済性分析・初期条件!$P$9</f>
        <v>0</v>
      </c>
      <c r="R52" s="493">
        <f>R49*地域経済性分析・初期条件!$P$9</f>
        <v>0</v>
      </c>
      <c r="S52" s="493">
        <f>S49*地域経済性分析・初期条件!$P$9</f>
        <v>0</v>
      </c>
      <c r="T52" s="493">
        <f>T49*地域経済性分析・初期条件!$P$9</f>
        <v>0</v>
      </c>
      <c r="U52" s="493">
        <f>U49*地域経済性分析・初期条件!$P$9</f>
        <v>0</v>
      </c>
      <c r="V52" s="493">
        <f>V49*地域経済性分析・初期条件!$P$9</f>
        <v>0</v>
      </c>
      <c r="W52" s="493">
        <f>W49*地域経済性分析・初期条件!$P$9</f>
        <v>0</v>
      </c>
      <c r="X52" s="493">
        <f>X49*地域経済性分析・初期条件!$P$9</f>
        <v>0</v>
      </c>
      <c r="Y52" s="493">
        <f>Y49*地域経済性分析・初期条件!$P$9</f>
        <v>0</v>
      </c>
      <c r="Z52" s="493">
        <f>Z49*地域経済性分析・初期条件!$P$9</f>
        <v>0</v>
      </c>
      <c r="AA52" s="493">
        <f>AA49*地域経済性分析・初期条件!$P$9</f>
        <v>0</v>
      </c>
      <c r="AB52" s="493">
        <f>AB49*地域経済性分析・初期条件!$P$9</f>
        <v>0</v>
      </c>
      <c r="AC52" s="493">
        <f>AC49*地域経済性分析・初期条件!$P$9</f>
        <v>0</v>
      </c>
      <c r="AD52" s="493">
        <f>AD49*地域経済性分析・初期条件!$P$9</f>
        <v>0</v>
      </c>
      <c r="AE52" s="493">
        <f>AE49*地域経済性分析・初期条件!$P$9</f>
        <v>0</v>
      </c>
      <c r="AF52" s="493">
        <f>AF49*地域経済性分析・初期条件!$P$9</f>
        <v>0</v>
      </c>
      <c r="AG52" s="493">
        <f>AG49*地域経済性分析・初期条件!$P$9</f>
        <v>0</v>
      </c>
      <c r="AH52" s="493">
        <f>AH49*地域経済性分析・初期条件!$P$9</f>
        <v>0</v>
      </c>
      <c r="AI52" s="535">
        <f t="shared" si="23"/>
        <v>180757171.56111366</v>
      </c>
      <c r="AJ52" s="535">
        <f t="shared" si="24"/>
        <v>180757171.56111366</v>
      </c>
      <c r="AK52" s="497">
        <f t="shared" si="25"/>
        <v>180757171.56111366</v>
      </c>
    </row>
    <row r="53" spans="1:37" ht="11.5" x14ac:dyDescent="0.25">
      <c r="A53" s="533"/>
      <c r="B53" s="439" t="s">
        <v>350</v>
      </c>
      <c r="C53" s="452" t="s">
        <v>333</v>
      </c>
      <c r="D53" s="493">
        <f>D49*地域経済性分析・初期条件!$Q$9</f>
        <v>135567878.67083523</v>
      </c>
      <c r="E53" s="493">
        <f>E49*地域経済性分析・初期条件!$Q$9</f>
        <v>0</v>
      </c>
      <c r="F53" s="493">
        <f>F49*地域経済性分析・初期条件!$Q$9</f>
        <v>0</v>
      </c>
      <c r="G53" s="493">
        <f>G49*地域経済性分析・初期条件!$Q$9</f>
        <v>0</v>
      </c>
      <c r="H53" s="493">
        <f>H49*地域経済性分析・初期条件!$Q$9</f>
        <v>0</v>
      </c>
      <c r="I53" s="493">
        <f>I49*地域経済性分析・初期条件!$Q$9</f>
        <v>0</v>
      </c>
      <c r="J53" s="493">
        <f>J49*地域経済性分析・初期条件!$Q$9</f>
        <v>0</v>
      </c>
      <c r="K53" s="493">
        <f>K49*地域経済性分析・初期条件!$Q$9</f>
        <v>0</v>
      </c>
      <c r="L53" s="493">
        <f>L49*地域経済性分析・初期条件!$Q$9</f>
        <v>0</v>
      </c>
      <c r="M53" s="493">
        <f>M49*地域経済性分析・初期条件!$Q$9</f>
        <v>0</v>
      </c>
      <c r="N53" s="493">
        <f>N49*地域経済性分析・初期条件!$Q$9</f>
        <v>0</v>
      </c>
      <c r="O53" s="493">
        <f>O49*地域経済性分析・初期条件!$Q$9</f>
        <v>0</v>
      </c>
      <c r="P53" s="493">
        <f>P49*地域経済性分析・初期条件!$Q$9</f>
        <v>0</v>
      </c>
      <c r="Q53" s="493">
        <f>Q49*地域経済性分析・初期条件!$Q$9</f>
        <v>0</v>
      </c>
      <c r="R53" s="493">
        <f>R49*地域経済性分析・初期条件!$Q$9</f>
        <v>0</v>
      </c>
      <c r="S53" s="493">
        <f>S49*地域経済性分析・初期条件!$Q$9</f>
        <v>0</v>
      </c>
      <c r="T53" s="493">
        <f>T49*地域経済性分析・初期条件!$Q$9</f>
        <v>0</v>
      </c>
      <c r="U53" s="493">
        <f>U49*地域経済性分析・初期条件!$Q$9</f>
        <v>0</v>
      </c>
      <c r="V53" s="493">
        <f>V49*地域経済性分析・初期条件!$Q$9</f>
        <v>0</v>
      </c>
      <c r="W53" s="493">
        <f>W49*地域経済性分析・初期条件!$Q$9</f>
        <v>0</v>
      </c>
      <c r="X53" s="493">
        <f>X49*地域経済性分析・初期条件!$Q$9</f>
        <v>0</v>
      </c>
      <c r="Y53" s="493">
        <f>Y49*地域経済性分析・初期条件!$Q$9</f>
        <v>0</v>
      </c>
      <c r="Z53" s="493">
        <f>Z49*地域経済性分析・初期条件!$Q$9</f>
        <v>0</v>
      </c>
      <c r="AA53" s="493">
        <f>AA49*地域経済性分析・初期条件!$Q$9</f>
        <v>0</v>
      </c>
      <c r="AB53" s="493">
        <f>AB49*地域経済性分析・初期条件!$Q$9</f>
        <v>0</v>
      </c>
      <c r="AC53" s="493">
        <f>AC49*地域経済性分析・初期条件!$Q$9</f>
        <v>0</v>
      </c>
      <c r="AD53" s="493">
        <f>AD49*地域経済性分析・初期条件!$Q$9</f>
        <v>0</v>
      </c>
      <c r="AE53" s="493">
        <f>AE49*地域経済性分析・初期条件!$Q$9</f>
        <v>0</v>
      </c>
      <c r="AF53" s="493">
        <f>AF49*地域経済性分析・初期条件!$Q$9</f>
        <v>0</v>
      </c>
      <c r="AG53" s="493">
        <f>AG49*地域経済性分析・初期条件!$Q$9</f>
        <v>0</v>
      </c>
      <c r="AH53" s="493">
        <f>AH49*地域経済性分析・初期条件!$Q$9</f>
        <v>0</v>
      </c>
      <c r="AI53" s="535">
        <f t="shared" si="23"/>
        <v>135567878.67083523</v>
      </c>
      <c r="AJ53" s="535">
        <f t="shared" si="24"/>
        <v>135567878.67083523</v>
      </c>
      <c r="AK53" s="497">
        <f t="shared" si="25"/>
        <v>135567878.67083523</v>
      </c>
    </row>
    <row r="54" spans="1:37" ht="11.5" x14ac:dyDescent="0.25">
      <c r="A54" s="533" t="str">
        <f>A48&amp;B54</f>
        <v>はん用機械器具製造業従業員の可処分所得（一次）</v>
      </c>
      <c r="B54" s="439" t="s">
        <v>329</v>
      </c>
      <c r="C54" s="451" t="s">
        <v>37</v>
      </c>
      <c r="D54" s="493">
        <f>D49*地域経済性分析・初期条件!$H$9</f>
        <v>108771228.45387951</v>
      </c>
      <c r="E54" s="493">
        <f>E49*地域経済性分析・初期条件!$H$9</f>
        <v>0</v>
      </c>
      <c r="F54" s="493">
        <f>F49*地域経済性分析・初期条件!$H$9</f>
        <v>0</v>
      </c>
      <c r="G54" s="493">
        <f>G49*地域経済性分析・初期条件!$H$9</f>
        <v>0</v>
      </c>
      <c r="H54" s="493">
        <f>H49*地域経済性分析・初期条件!$H$9</f>
        <v>0</v>
      </c>
      <c r="I54" s="493">
        <f>I49*地域経済性分析・初期条件!$H$9</f>
        <v>0</v>
      </c>
      <c r="J54" s="493">
        <f>J49*地域経済性分析・初期条件!$H$9</f>
        <v>0</v>
      </c>
      <c r="K54" s="493">
        <f>K49*地域経済性分析・初期条件!$H$9</f>
        <v>0</v>
      </c>
      <c r="L54" s="493">
        <f>L49*地域経済性分析・初期条件!$H$9</f>
        <v>0</v>
      </c>
      <c r="M54" s="493">
        <f>M49*地域経済性分析・初期条件!$H$9</f>
        <v>0</v>
      </c>
      <c r="N54" s="493">
        <f>N49*地域経済性分析・初期条件!$H$9</f>
        <v>0</v>
      </c>
      <c r="O54" s="493">
        <f>O49*地域経済性分析・初期条件!$H$9</f>
        <v>0</v>
      </c>
      <c r="P54" s="493">
        <f>P49*地域経済性分析・初期条件!$H$9</f>
        <v>0</v>
      </c>
      <c r="Q54" s="493">
        <f>Q49*地域経済性分析・初期条件!$H$9</f>
        <v>0</v>
      </c>
      <c r="R54" s="493">
        <f>R49*地域経済性分析・初期条件!$H$9</f>
        <v>0</v>
      </c>
      <c r="S54" s="493">
        <f>S49*地域経済性分析・初期条件!$H$9</f>
        <v>0</v>
      </c>
      <c r="T54" s="493">
        <f>T49*地域経済性分析・初期条件!$H$9</f>
        <v>0</v>
      </c>
      <c r="U54" s="493">
        <f>U49*地域経済性分析・初期条件!$H$9</f>
        <v>0</v>
      </c>
      <c r="V54" s="493">
        <f>V49*地域経済性分析・初期条件!$H$9</f>
        <v>0</v>
      </c>
      <c r="W54" s="493">
        <f>W49*地域経済性分析・初期条件!$H$9</f>
        <v>0</v>
      </c>
      <c r="X54" s="493">
        <f>X49*地域経済性分析・初期条件!$H$9</f>
        <v>0</v>
      </c>
      <c r="Y54" s="493">
        <f>Y49*地域経済性分析・初期条件!$H$9</f>
        <v>0</v>
      </c>
      <c r="Z54" s="493">
        <f>Z49*地域経済性分析・初期条件!$H$9</f>
        <v>0</v>
      </c>
      <c r="AA54" s="493">
        <f>AA49*地域経済性分析・初期条件!$H$9</f>
        <v>0</v>
      </c>
      <c r="AB54" s="493">
        <f>AB49*地域経済性分析・初期条件!$H$9</f>
        <v>0</v>
      </c>
      <c r="AC54" s="493">
        <f>AC49*地域経済性分析・初期条件!$H$9</f>
        <v>0</v>
      </c>
      <c r="AD54" s="493">
        <f>AD49*地域経済性分析・初期条件!$H$9</f>
        <v>0</v>
      </c>
      <c r="AE54" s="493">
        <f>AE49*地域経済性分析・初期条件!$H$9</f>
        <v>0</v>
      </c>
      <c r="AF54" s="493">
        <f>AF49*地域経済性分析・初期条件!$H$9</f>
        <v>0</v>
      </c>
      <c r="AG54" s="493">
        <f>AG49*地域経済性分析・初期条件!$H$9</f>
        <v>0</v>
      </c>
      <c r="AH54" s="493">
        <f>AH49*地域経済性分析・初期条件!$H$9</f>
        <v>0</v>
      </c>
      <c r="AI54" s="535">
        <f t="shared" si="23"/>
        <v>108771228.45387951</v>
      </c>
      <c r="AJ54" s="535">
        <f t="shared" si="24"/>
        <v>108771228.45387951</v>
      </c>
      <c r="AK54" s="497">
        <f t="shared" si="25"/>
        <v>108771228.45387951</v>
      </c>
    </row>
    <row r="55" spans="1:37" ht="11.5" x14ac:dyDescent="0.25">
      <c r="A55" s="533" t="str">
        <f>A48&amp;B55</f>
        <v>はん用機械器具製造業企業の税引後利益（一次）</v>
      </c>
      <c r="B55" s="439" t="s">
        <v>330</v>
      </c>
      <c r="C55" s="451" t="s">
        <v>239</v>
      </c>
      <c r="D55" s="493">
        <f>D49*地域経済性分析・初期条件!$I$9</f>
        <v>46728843.063230686</v>
      </c>
      <c r="E55" s="493">
        <f>E49*地域経済性分析・初期条件!$I$9</f>
        <v>0</v>
      </c>
      <c r="F55" s="493">
        <f>F49*地域経済性分析・初期条件!$I$9</f>
        <v>0</v>
      </c>
      <c r="G55" s="493">
        <f>G49*地域経済性分析・初期条件!$I$9</f>
        <v>0</v>
      </c>
      <c r="H55" s="493">
        <f>H49*地域経済性分析・初期条件!$I$9</f>
        <v>0</v>
      </c>
      <c r="I55" s="493">
        <f>I49*地域経済性分析・初期条件!$I$9</f>
        <v>0</v>
      </c>
      <c r="J55" s="493">
        <f>J49*地域経済性分析・初期条件!$I$9</f>
        <v>0</v>
      </c>
      <c r="K55" s="493">
        <f>K49*地域経済性分析・初期条件!$I$9</f>
        <v>0</v>
      </c>
      <c r="L55" s="493">
        <f>L49*地域経済性分析・初期条件!$I$9</f>
        <v>0</v>
      </c>
      <c r="M55" s="493">
        <f>M49*地域経済性分析・初期条件!$I$9</f>
        <v>0</v>
      </c>
      <c r="N55" s="493">
        <f>N49*地域経済性分析・初期条件!$I$9</f>
        <v>0</v>
      </c>
      <c r="O55" s="493">
        <f>O49*地域経済性分析・初期条件!$I$9</f>
        <v>0</v>
      </c>
      <c r="P55" s="493">
        <f>P49*地域経済性分析・初期条件!$I$9</f>
        <v>0</v>
      </c>
      <c r="Q55" s="493">
        <f>Q49*地域経済性分析・初期条件!$I$9</f>
        <v>0</v>
      </c>
      <c r="R55" s="493">
        <f>R49*地域経済性分析・初期条件!$I$9</f>
        <v>0</v>
      </c>
      <c r="S55" s="493">
        <f>S49*地域経済性分析・初期条件!$I$9</f>
        <v>0</v>
      </c>
      <c r="T55" s="493">
        <f>T49*地域経済性分析・初期条件!$I$9</f>
        <v>0</v>
      </c>
      <c r="U55" s="493">
        <f>U49*地域経済性分析・初期条件!$I$9</f>
        <v>0</v>
      </c>
      <c r="V55" s="493">
        <f>V49*地域経済性分析・初期条件!$I$9</f>
        <v>0</v>
      </c>
      <c r="W55" s="493">
        <f>W49*地域経済性分析・初期条件!$I$9</f>
        <v>0</v>
      </c>
      <c r="X55" s="493">
        <f>X49*地域経済性分析・初期条件!$I$9</f>
        <v>0</v>
      </c>
      <c r="Y55" s="493">
        <f>Y49*地域経済性分析・初期条件!$I$9</f>
        <v>0</v>
      </c>
      <c r="Z55" s="493">
        <f>Z49*地域経済性分析・初期条件!$I$9</f>
        <v>0</v>
      </c>
      <c r="AA55" s="493">
        <f>AA49*地域経済性分析・初期条件!$I$9</f>
        <v>0</v>
      </c>
      <c r="AB55" s="493">
        <f>AB49*地域経済性分析・初期条件!$I$9</f>
        <v>0</v>
      </c>
      <c r="AC55" s="493">
        <f>AC49*地域経済性分析・初期条件!$I$9</f>
        <v>0</v>
      </c>
      <c r="AD55" s="493">
        <f>AD49*地域経済性分析・初期条件!$I$9</f>
        <v>0</v>
      </c>
      <c r="AE55" s="493">
        <f>AE49*地域経済性分析・初期条件!$I$9</f>
        <v>0</v>
      </c>
      <c r="AF55" s="493">
        <f>AF49*地域経済性分析・初期条件!$I$9</f>
        <v>0</v>
      </c>
      <c r="AG55" s="493">
        <f>AG49*地域経済性分析・初期条件!$I$9</f>
        <v>0</v>
      </c>
      <c r="AH55" s="493">
        <f>AH49*地域経済性分析・初期条件!$I$9</f>
        <v>0</v>
      </c>
      <c r="AI55" s="535">
        <f t="shared" si="23"/>
        <v>46728843.063230686</v>
      </c>
      <c r="AJ55" s="535">
        <f t="shared" si="24"/>
        <v>46728843.063230686</v>
      </c>
      <c r="AK55" s="497">
        <f t="shared" si="25"/>
        <v>46728843.063230686</v>
      </c>
    </row>
    <row r="56" spans="1:37" ht="11.5" x14ac:dyDescent="0.25">
      <c r="A56" s="533" t="str">
        <f>A48&amp;B56</f>
        <v>はん用機械器具製造業都道府県税収（一次）</v>
      </c>
      <c r="B56" s="439" t="s">
        <v>331</v>
      </c>
      <c r="C56" s="451" t="s">
        <v>239</v>
      </c>
      <c r="D56" s="493">
        <f>D49*地域経済性分析・初期条件!$J$9</f>
        <v>15728053.946262319</v>
      </c>
      <c r="E56" s="493">
        <f>E49*地域経済性分析・初期条件!$J$9</f>
        <v>0</v>
      </c>
      <c r="F56" s="493">
        <f>F49*地域経済性分析・初期条件!$J$9</f>
        <v>0</v>
      </c>
      <c r="G56" s="493">
        <f>G49*地域経済性分析・初期条件!$J$9</f>
        <v>0</v>
      </c>
      <c r="H56" s="493">
        <f>H49*地域経済性分析・初期条件!$J$9</f>
        <v>0</v>
      </c>
      <c r="I56" s="493">
        <f>I49*地域経済性分析・初期条件!$J$9</f>
        <v>0</v>
      </c>
      <c r="J56" s="493">
        <f>J49*地域経済性分析・初期条件!$J$9</f>
        <v>0</v>
      </c>
      <c r="K56" s="493">
        <f>K49*地域経済性分析・初期条件!$J$9</f>
        <v>0</v>
      </c>
      <c r="L56" s="493">
        <f>L49*地域経済性分析・初期条件!$J$9</f>
        <v>0</v>
      </c>
      <c r="M56" s="493">
        <f>M49*地域経済性分析・初期条件!$J$9</f>
        <v>0</v>
      </c>
      <c r="N56" s="493">
        <f>N49*地域経済性分析・初期条件!$J$9</f>
        <v>0</v>
      </c>
      <c r="O56" s="493">
        <f>O49*地域経済性分析・初期条件!$J$9</f>
        <v>0</v>
      </c>
      <c r="P56" s="493">
        <f>P49*地域経済性分析・初期条件!$J$9</f>
        <v>0</v>
      </c>
      <c r="Q56" s="493">
        <f>Q49*地域経済性分析・初期条件!$J$9</f>
        <v>0</v>
      </c>
      <c r="R56" s="493">
        <f>R49*地域経済性分析・初期条件!$J$9</f>
        <v>0</v>
      </c>
      <c r="S56" s="493">
        <f>S49*地域経済性分析・初期条件!$J$9</f>
        <v>0</v>
      </c>
      <c r="T56" s="493">
        <f>T49*地域経済性分析・初期条件!$J$9</f>
        <v>0</v>
      </c>
      <c r="U56" s="493">
        <f>U49*地域経済性分析・初期条件!$J$9</f>
        <v>0</v>
      </c>
      <c r="V56" s="493">
        <f>V49*地域経済性分析・初期条件!$J$9</f>
        <v>0</v>
      </c>
      <c r="W56" s="493">
        <f>W49*地域経済性分析・初期条件!$J$9</f>
        <v>0</v>
      </c>
      <c r="X56" s="493">
        <f>X49*地域経済性分析・初期条件!$J$9</f>
        <v>0</v>
      </c>
      <c r="Y56" s="493">
        <f>Y49*地域経済性分析・初期条件!$J$9</f>
        <v>0</v>
      </c>
      <c r="Z56" s="493">
        <f>Z49*地域経済性分析・初期条件!$J$9</f>
        <v>0</v>
      </c>
      <c r="AA56" s="493">
        <f>AA49*地域経済性分析・初期条件!$J$9</f>
        <v>0</v>
      </c>
      <c r="AB56" s="493">
        <f>AB49*地域経済性分析・初期条件!$J$9</f>
        <v>0</v>
      </c>
      <c r="AC56" s="493">
        <f>AC49*地域経済性分析・初期条件!$J$9</f>
        <v>0</v>
      </c>
      <c r="AD56" s="493">
        <f>AD49*地域経済性分析・初期条件!$J$9</f>
        <v>0</v>
      </c>
      <c r="AE56" s="493">
        <f>AE49*地域経済性分析・初期条件!$J$9</f>
        <v>0</v>
      </c>
      <c r="AF56" s="493">
        <f>AF49*地域経済性分析・初期条件!$J$9</f>
        <v>0</v>
      </c>
      <c r="AG56" s="493">
        <f>AG49*地域経済性分析・初期条件!$J$9</f>
        <v>0</v>
      </c>
      <c r="AH56" s="493">
        <f>AH49*地域経済性分析・初期条件!$J$9</f>
        <v>0</v>
      </c>
      <c r="AI56" s="535">
        <f t="shared" si="23"/>
        <v>15728053.946262319</v>
      </c>
      <c r="AJ56" s="535">
        <f t="shared" si="24"/>
        <v>15728053.946262319</v>
      </c>
      <c r="AK56" s="497">
        <f t="shared" si="25"/>
        <v>15728053.946262319</v>
      </c>
    </row>
    <row r="57" spans="1:37" ht="11.5" x14ac:dyDescent="0.25">
      <c r="A57" s="533" t="str">
        <f>A48&amp;B57</f>
        <v>はん用機械器具製造業市町村税収（一次）</v>
      </c>
      <c r="B57" s="439" t="s">
        <v>332</v>
      </c>
      <c r="C57" s="452" t="s">
        <v>239</v>
      </c>
      <c r="D57" s="493">
        <f>D49*地域経済性分析・初期条件!$K$9</f>
        <v>7126943.7825040342</v>
      </c>
      <c r="E57" s="493">
        <f>E49*地域経済性分析・初期条件!$K$9</f>
        <v>0</v>
      </c>
      <c r="F57" s="493">
        <f>F49*地域経済性分析・初期条件!$K$9</f>
        <v>0</v>
      </c>
      <c r="G57" s="493">
        <f>G49*地域経済性分析・初期条件!$K$9</f>
        <v>0</v>
      </c>
      <c r="H57" s="493">
        <f>H49*地域経済性分析・初期条件!$K$9</f>
        <v>0</v>
      </c>
      <c r="I57" s="493">
        <f>I49*地域経済性分析・初期条件!$K$9</f>
        <v>0</v>
      </c>
      <c r="J57" s="493">
        <f>J49*地域経済性分析・初期条件!$K$9</f>
        <v>0</v>
      </c>
      <c r="K57" s="493">
        <f>K49*地域経済性分析・初期条件!$K$9</f>
        <v>0</v>
      </c>
      <c r="L57" s="493">
        <f>L49*地域経済性分析・初期条件!$K$9</f>
        <v>0</v>
      </c>
      <c r="M57" s="493">
        <f>M49*地域経済性分析・初期条件!$K$9</f>
        <v>0</v>
      </c>
      <c r="N57" s="493">
        <f>N49*地域経済性分析・初期条件!$K$9</f>
        <v>0</v>
      </c>
      <c r="O57" s="493">
        <f>O49*地域経済性分析・初期条件!$K$9</f>
        <v>0</v>
      </c>
      <c r="P57" s="493">
        <f>P49*地域経済性分析・初期条件!$K$9</f>
        <v>0</v>
      </c>
      <c r="Q57" s="493">
        <f>Q49*地域経済性分析・初期条件!$K$9</f>
        <v>0</v>
      </c>
      <c r="R57" s="493">
        <f>R49*地域経済性分析・初期条件!$K$9</f>
        <v>0</v>
      </c>
      <c r="S57" s="493">
        <f>S49*地域経済性分析・初期条件!$K$9</f>
        <v>0</v>
      </c>
      <c r="T57" s="493">
        <f>T49*地域経済性分析・初期条件!$K$9</f>
        <v>0</v>
      </c>
      <c r="U57" s="493">
        <f>U49*地域経済性分析・初期条件!$K$9</f>
        <v>0</v>
      </c>
      <c r="V57" s="493">
        <f>V49*地域経済性分析・初期条件!$K$9</f>
        <v>0</v>
      </c>
      <c r="W57" s="493">
        <f>W49*地域経済性分析・初期条件!$K$9</f>
        <v>0</v>
      </c>
      <c r="X57" s="493">
        <f>X49*地域経済性分析・初期条件!$K$9</f>
        <v>0</v>
      </c>
      <c r="Y57" s="493">
        <f>Y49*地域経済性分析・初期条件!$K$9</f>
        <v>0</v>
      </c>
      <c r="Z57" s="493">
        <f>Z49*地域経済性分析・初期条件!$K$9</f>
        <v>0</v>
      </c>
      <c r="AA57" s="493">
        <f>AA49*地域経済性分析・初期条件!$K$9</f>
        <v>0</v>
      </c>
      <c r="AB57" s="493">
        <f>AB49*地域経済性分析・初期条件!$K$9</f>
        <v>0</v>
      </c>
      <c r="AC57" s="493">
        <f>AC49*地域経済性分析・初期条件!$K$9</f>
        <v>0</v>
      </c>
      <c r="AD57" s="493">
        <f>AD49*地域経済性分析・初期条件!$K$9</f>
        <v>0</v>
      </c>
      <c r="AE57" s="493">
        <f>AE49*地域経済性分析・初期条件!$K$9</f>
        <v>0</v>
      </c>
      <c r="AF57" s="493">
        <f>AF49*地域経済性分析・初期条件!$K$9</f>
        <v>0</v>
      </c>
      <c r="AG57" s="493">
        <f>AG49*地域経済性分析・初期条件!$K$9</f>
        <v>0</v>
      </c>
      <c r="AH57" s="493">
        <f>AH49*地域経済性分析・初期条件!$K$9</f>
        <v>0</v>
      </c>
      <c r="AI57" s="535">
        <f t="shared" si="23"/>
        <v>7126943.7825040342</v>
      </c>
      <c r="AJ57" s="535">
        <f t="shared" si="24"/>
        <v>7126943.7825040342</v>
      </c>
      <c r="AK57" s="497">
        <f t="shared" si="25"/>
        <v>7126943.7825040342</v>
      </c>
    </row>
    <row r="58" spans="1:37" ht="11.5" x14ac:dyDescent="0.25">
      <c r="A58" s="533"/>
      <c r="B58" s="439" t="s">
        <v>334</v>
      </c>
      <c r="C58" s="452" t="s">
        <v>333</v>
      </c>
      <c r="D58" s="493">
        <f>D49*地域経済性分析・初期条件!$L$9</f>
        <v>0</v>
      </c>
      <c r="E58" s="493">
        <f>E49*地域経済性分析・初期条件!$L$9</f>
        <v>0</v>
      </c>
      <c r="F58" s="493">
        <f>F49*地域経済性分析・初期条件!$L$9</f>
        <v>0</v>
      </c>
      <c r="G58" s="493">
        <f>G49*地域経済性分析・初期条件!$L$9</f>
        <v>0</v>
      </c>
      <c r="H58" s="493">
        <f>H49*地域経済性分析・初期条件!$L$9</f>
        <v>0</v>
      </c>
      <c r="I58" s="493">
        <f>I49*地域経済性分析・初期条件!$L$9</f>
        <v>0</v>
      </c>
      <c r="J58" s="493">
        <f>J49*地域経済性分析・初期条件!$L$9</f>
        <v>0</v>
      </c>
      <c r="K58" s="493">
        <f>K49*地域経済性分析・初期条件!$L$9</f>
        <v>0</v>
      </c>
      <c r="L58" s="493">
        <f>L49*地域経済性分析・初期条件!$L$9</f>
        <v>0</v>
      </c>
      <c r="M58" s="493">
        <f>M49*地域経済性分析・初期条件!$L$9</f>
        <v>0</v>
      </c>
      <c r="N58" s="493">
        <f>N49*地域経済性分析・初期条件!$L$9</f>
        <v>0</v>
      </c>
      <c r="O58" s="493">
        <f>O49*地域経済性分析・初期条件!$L$9</f>
        <v>0</v>
      </c>
      <c r="P58" s="493">
        <f>P49*地域経済性分析・初期条件!$L$9</f>
        <v>0</v>
      </c>
      <c r="Q58" s="493">
        <f>Q49*地域経済性分析・初期条件!$L$9</f>
        <v>0</v>
      </c>
      <c r="R58" s="493">
        <f>R49*地域経済性分析・初期条件!$L$9</f>
        <v>0</v>
      </c>
      <c r="S58" s="493">
        <f>S49*地域経済性分析・初期条件!$L$9</f>
        <v>0</v>
      </c>
      <c r="T58" s="493">
        <f>T49*地域経済性分析・初期条件!$L$9</f>
        <v>0</v>
      </c>
      <c r="U58" s="493">
        <f>U49*地域経済性分析・初期条件!$L$9</f>
        <v>0</v>
      </c>
      <c r="V58" s="493">
        <f>V49*地域経済性分析・初期条件!$L$9</f>
        <v>0</v>
      </c>
      <c r="W58" s="493">
        <f>W49*地域経済性分析・初期条件!$L$9</f>
        <v>0</v>
      </c>
      <c r="X58" s="493">
        <f>X49*地域経済性分析・初期条件!$L$9</f>
        <v>0</v>
      </c>
      <c r="Y58" s="493">
        <f>Y49*地域経済性分析・初期条件!$L$9</f>
        <v>0</v>
      </c>
      <c r="Z58" s="493">
        <f>Z49*地域経済性分析・初期条件!$L$9</f>
        <v>0</v>
      </c>
      <c r="AA58" s="493">
        <f>AA49*地域経済性分析・初期条件!$L$9</f>
        <v>0</v>
      </c>
      <c r="AB58" s="493">
        <f>AB49*地域経済性分析・初期条件!$L$9</f>
        <v>0</v>
      </c>
      <c r="AC58" s="493">
        <f>AC49*地域経済性分析・初期条件!$L$9</f>
        <v>0</v>
      </c>
      <c r="AD58" s="493">
        <f>AD49*地域経済性分析・初期条件!$L$9</f>
        <v>0</v>
      </c>
      <c r="AE58" s="493">
        <f>AE49*地域経済性分析・初期条件!$L$9</f>
        <v>0</v>
      </c>
      <c r="AF58" s="493">
        <f>AF49*地域経済性分析・初期条件!$L$9</f>
        <v>0</v>
      </c>
      <c r="AG58" s="493">
        <f>AG49*地域経済性分析・初期条件!$L$9</f>
        <v>0</v>
      </c>
      <c r="AH58" s="493">
        <f>AH49*地域経済性分析・初期条件!$L$9</f>
        <v>0</v>
      </c>
      <c r="AI58" s="535">
        <f>SUM(D58:N58)</f>
        <v>0</v>
      </c>
      <c r="AJ58" s="535">
        <f>SUM(D58:X58)</f>
        <v>0</v>
      </c>
      <c r="AK58" s="497">
        <f>SUM(D58:AH58)</f>
        <v>0</v>
      </c>
    </row>
    <row r="59" spans="1:37" ht="11.5" x14ac:dyDescent="0.25">
      <c r="A59" s="533"/>
      <c r="B59" s="439" t="s">
        <v>335</v>
      </c>
      <c r="C59" s="452" t="s">
        <v>333</v>
      </c>
      <c r="D59" s="493">
        <f>D49*地域経済性分析・初期条件!$M$9</f>
        <v>0</v>
      </c>
      <c r="E59" s="493">
        <f>E49*地域経済性分析・初期条件!$M$9</f>
        <v>0</v>
      </c>
      <c r="F59" s="493">
        <f>F49*地域経済性分析・初期条件!$M$9</f>
        <v>0</v>
      </c>
      <c r="G59" s="493">
        <f>G49*地域経済性分析・初期条件!$M$9</f>
        <v>0</v>
      </c>
      <c r="H59" s="493">
        <f>H49*地域経済性分析・初期条件!$M$9</f>
        <v>0</v>
      </c>
      <c r="I59" s="493">
        <f>I49*地域経済性分析・初期条件!$M$9</f>
        <v>0</v>
      </c>
      <c r="J59" s="493">
        <f>J49*地域経済性分析・初期条件!$M$9</f>
        <v>0</v>
      </c>
      <c r="K59" s="493">
        <f>K49*地域経済性分析・初期条件!$M$9</f>
        <v>0</v>
      </c>
      <c r="L59" s="493">
        <f>L49*地域経済性分析・初期条件!$M$9</f>
        <v>0</v>
      </c>
      <c r="M59" s="493">
        <f>M49*地域経済性分析・初期条件!$M$9</f>
        <v>0</v>
      </c>
      <c r="N59" s="493">
        <f>N49*地域経済性分析・初期条件!$M$9</f>
        <v>0</v>
      </c>
      <c r="O59" s="493">
        <f>O49*地域経済性分析・初期条件!$M$9</f>
        <v>0</v>
      </c>
      <c r="P59" s="493">
        <f>P49*地域経済性分析・初期条件!$M$9</f>
        <v>0</v>
      </c>
      <c r="Q59" s="493">
        <f>Q49*地域経済性分析・初期条件!$M$9</f>
        <v>0</v>
      </c>
      <c r="R59" s="493">
        <f>R49*地域経済性分析・初期条件!$M$9</f>
        <v>0</v>
      </c>
      <c r="S59" s="493">
        <f>S49*地域経済性分析・初期条件!$M$9</f>
        <v>0</v>
      </c>
      <c r="T59" s="493">
        <f>T49*地域経済性分析・初期条件!$M$9</f>
        <v>0</v>
      </c>
      <c r="U59" s="493">
        <f>U49*地域経済性分析・初期条件!$M$9</f>
        <v>0</v>
      </c>
      <c r="V59" s="493">
        <f>V49*地域経済性分析・初期条件!$M$9</f>
        <v>0</v>
      </c>
      <c r="W59" s="493">
        <f>W49*地域経済性分析・初期条件!$M$9</f>
        <v>0</v>
      </c>
      <c r="X59" s="493">
        <f>X49*地域経済性分析・初期条件!$M$9</f>
        <v>0</v>
      </c>
      <c r="Y59" s="493">
        <f>Y49*地域経済性分析・初期条件!$M$9</f>
        <v>0</v>
      </c>
      <c r="Z59" s="493">
        <f>Z49*地域経済性分析・初期条件!$M$9</f>
        <v>0</v>
      </c>
      <c r="AA59" s="493">
        <f>AA49*地域経済性分析・初期条件!$M$9</f>
        <v>0</v>
      </c>
      <c r="AB59" s="493">
        <f>AB49*地域経済性分析・初期条件!$M$9</f>
        <v>0</v>
      </c>
      <c r="AC59" s="493">
        <f>AC49*地域経済性分析・初期条件!$M$9</f>
        <v>0</v>
      </c>
      <c r="AD59" s="493">
        <f>AD49*地域経済性分析・初期条件!$M$9</f>
        <v>0</v>
      </c>
      <c r="AE59" s="493">
        <f>AE49*地域経済性分析・初期条件!$M$9</f>
        <v>0</v>
      </c>
      <c r="AF59" s="493">
        <f>AF49*地域経済性分析・初期条件!$M$9</f>
        <v>0</v>
      </c>
      <c r="AG59" s="493">
        <f>AG49*地域経済性分析・初期条件!$M$9</f>
        <v>0</v>
      </c>
      <c r="AH59" s="493">
        <f>AH49*地域経済性分析・初期条件!$M$9</f>
        <v>0</v>
      </c>
      <c r="AI59" s="535">
        <f>SUM(D59:N59)</f>
        <v>0</v>
      </c>
      <c r="AJ59" s="535">
        <f>SUM(D59:X59)</f>
        <v>0</v>
      </c>
      <c r="AK59" s="497">
        <f>SUM(D59:AH59)</f>
        <v>0</v>
      </c>
    </row>
    <row r="60" spans="1:37" ht="11.5" x14ac:dyDescent="0.25">
      <c r="A60" s="533"/>
      <c r="B60" s="439" t="s">
        <v>336</v>
      </c>
      <c r="C60" s="452" t="s">
        <v>333</v>
      </c>
      <c r="D60" s="493">
        <f>D49*地域経済性分析・初期条件!$N$9</f>
        <v>0</v>
      </c>
      <c r="E60" s="493">
        <f>E49*地域経済性分析・初期条件!$N$9</f>
        <v>0</v>
      </c>
      <c r="F60" s="493">
        <f>F49*地域経済性分析・初期条件!$N$9</f>
        <v>0</v>
      </c>
      <c r="G60" s="493">
        <f>G49*地域経済性分析・初期条件!$N$9</f>
        <v>0</v>
      </c>
      <c r="H60" s="493">
        <f>H49*地域経済性分析・初期条件!$N$9</f>
        <v>0</v>
      </c>
      <c r="I60" s="493">
        <f>I49*地域経済性分析・初期条件!$N$9</f>
        <v>0</v>
      </c>
      <c r="J60" s="493">
        <f>J49*地域経済性分析・初期条件!$N$9</f>
        <v>0</v>
      </c>
      <c r="K60" s="493">
        <f>K49*地域経済性分析・初期条件!$N$9</f>
        <v>0</v>
      </c>
      <c r="L60" s="493">
        <f>L49*地域経済性分析・初期条件!$N$9</f>
        <v>0</v>
      </c>
      <c r="M60" s="493">
        <f>M49*地域経済性分析・初期条件!$N$9</f>
        <v>0</v>
      </c>
      <c r="N60" s="493">
        <f>N49*地域経済性分析・初期条件!$N$9</f>
        <v>0</v>
      </c>
      <c r="O60" s="493">
        <f>O49*地域経済性分析・初期条件!$N$9</f>
        <v>0</v>
      </c>
      <c r="P60" s="493">
        <f>P49*地域経済性分析・初期条件!$N$9</f>
        <v>0</v>
      </c>
      <c r="Q60" s="493">
        <f>Q49*地域経済性分析・初期条件!$N$9</f>
        <v>0</v>
      </c>
      <c r="R60" s="493">
        <f>R49*地域経済性分析・初期条件!$N$9</f>
        <v>0</v>
      </c>
      <c r="S60" s="493">
        <f>S49*地域経済性分析・初期条件!$N$9</f>
        <v>0</v>
      </c>
      <c r="T60" s="493">
        <f>T49*地域経済性分析・初期条件!$N$9</f>
        <v>0</v>
      </c>
      <c r="U60" s="493">
        <f>U49*地域経済性分析・初期条件!$N$9</f>
        <v>0</v>
      </c>
      <c r="V60" s="493">
        <f>V49*地域経済性分析・初期条件!$N$9</f>
        <v>0</v>
      </c>
      <c r="W60" s="493">
        <f>W49*地域経済性分析・初期条件!$N$9</f>
        <v>0</v>
      </c>
      <c r="X60" s="493">
        <f>X49*地域経済性分析・初期条件!$N$9</f>
        <v>0</v>
      </c>
      <c r="Y60" s="493">
        <f>Y49*地域経済性分析・初期条件!$N$9</f>
        <v>0</v>
      </c>
      <c r="Z60" s="493">
        <f>Z49*地域経済性分析・初期条件!$N$9</f>
        <v>0</v>
      </c>
      <c r="AA60" s="493">
        <f>AA49*地域経済性分析・初期条件!$N$9</f>
        <v>0</v>
      </c>
      <c r="AB60" s="493">
        <f>AB49*地域経済性分析・初期条件!$N$9</f>
        <v>0</v>
      </c>
      <c r="AC60" s="493">
        <f>AC49*地域経済性分析・初期条件!$N$9</f>
        <v>0</v>
      </c>
      <c r="AD60" s="493">
        <f>AD49*地域経済性分析・初期条件!$N$9</f>
        <v>0</v>
      </c>
      <c r="AE60" s="493">
        <f>AE49*地域経済性分析・初期条件!$N$9</f>
        <v>0</v>
      </c>
      <c r="AF60" s="493">
        <f>AF49*地域経済性分析・初期条件!$N$9</f>
        <v>0</v>
      </c>
      <c r="AG60" s="493">
        <f>AG49*地域経済性分析・初期条件!$N$9</f>
        <v>0</v>
      </c>
      <c r="AH60" s="493">
        <f>AH49*地域経済性分析・初期条件!$N$9</f>
        <v>0</v>
      </c>
      <c r="AI60" s="535">
        <f>SUM(D60:N60)</f>
        <v>0</v>
      </c>
      <c r="AJ60" s="535">
        <f>SUM(D60:X60)</f>
        <v>0</v>
      </c>
      <c r="AK60" s="497">
        <f>SUM(D60:AH60)</f>
        <v>0</v>
      </c>
    </row>
    <row r="61" spans="1:37" ht="11.5" x14ac:dyDescent="0.25">
      <c r="A61" s="533"/>
      <c r="B61" s="439" t="s">
        <v>337</v>
      </c>
      <c r="C61" s="452" t="s">
        <v>333</v>
      </c>
      <c r="D61" s="493">
        <f>D49*地域経済性分析・初期条件!$O$9</f>
        <v>0</v>
      </c>
      <c r="E61" s="493">
        <f>E49*地域経済性分析・初期条件!$O$9</f>
        <v>0</v>
      </c>
      <c r="F61" s="493">
        <f>F49*地域経済性分析・初期条件!$O$9</f>
        <v>0</v>
      </c>
      <c r="G61" s="493">
        <f>G49*地域経済性分析・初期条件!$O$9</f>
        <v>0</v>
      </c>
      <c r="H61" s="493">
        <f>H49*地域経済性分析・初期条件!$O$9</f>
        <v>0</v>
      </c>
      <c r="I61" s="493">
        <f>I49*地域経済性分析・初期条件!$O$9</f>
        <v>0</v>
      </c>
      <c r="J61" s="493">
        <f>J49*地域経済性分析・初期条件!$O$9</f>
        <v>0</v>
      </c>
      <c r="K61" s="493">
        <f>K49*地域経済性分析・初期条件!$O$9</f>
        <v>0</v>
      </c>
      <c r="L61" s="493">
        <f>L49*地域経済性分析・初期条件!$O$9</f>
        <v>0</v>
      </c>
      <c r="M61" s="493">
        <f>M49*地域経済性分析・初期条件!$O$9</f>
        <v>0</v>
      </c>
      <c r="N61" s="493">
        <f>N49*地域経済性分析・初期条件!$O$9</f>
        <v>0</v>
      </c>
      <c r="O61" s="493">
        <f>O49*地域経済性分析・初期条件!$O$9</f>
        <v>0</v>
      </c>
      <c r="P61" s="493">
        <f>P49*地域経済性分析・初期条件!$O$9</f>
        <v>0</v>
      </c>
      <c r="Q61" s="493">
        <f>Q49*地域経済性分析・初期条件!$O$9</f>
        <v>0</v>
      </c>
      <c r="R61" s="493">
        <f>R49*地域経済性分析・初期条件!$O$9</f>
        <v>0</v>
      </c>
      <c r="S61" s="493">
        <f>S49*地域経済性分析・初期条件!$O$9</f>
        <v>0</v>
      </c>
      <c r="T61" s="493">
        <f>T49*地域経済性分析・初期条件!$O$9</f>
        <v>0</v>
      </c>
      <c r="U61" s="493">
        <f>U49*地域経済性分析・初期条件!$O$9</f>
        <v>0</v>
      </c>
      <c r="V61" s="493">
        <f>V49*地域経済性分析・初期条件!$O$9</f>
        <v>0</v>
      </c>
      <c r="W61" s="493">
        <f>W49*地域経済性分析・初期条件!$O$9</f>
        <v>0</v>
      </c>
      <c r="X61" s="493">
        <f>X49*地域経済性分析・初期条件!$O$9</f>
        <v>0</v>
      </c>
      <c r="Y61" s="493">
        <f>Y49*地域経済性分析・初期条件!$O$9</f>
        <v>0</v>
      </c>
      <c r="Z61" s="493">
        <f>Z49*地域経済性分析・初期条件!$O$9</f>
        <v>0</v>
      </c>
      <c r="AA61" s="493">
        <f>AA49*地域経済性分析・初期条件!$O$9</f>
        <v>0</v>
      </c>
      <c r="AB61" s="493">
        <f>AB49*地域経済性分析・初期条件!$O$9</f>
        <v>0</v>
      </c>
      <c r="AC61" s="493">
        <f>AC49*地域経済性分析・初期条件!$O$9</f>
        <v>0</v>
      </c>
      <c r="AD61" s="493">
        <f>AD49*地域経済性分析・初期条件!$O$9</f>
        <v>0</v>
      </c>
      <c r="AE61" s="493">
        <f>AE49*地域経済性分析・初期条件!$O$9</f>
        <v>0</v>
      </c>
      <c r="AF61" s="493">
        <f>AF49*地域経済性分析・初期条件!$O$9</f>
        <v>0</v>
      </c>
      <c r="AG61" s="493">
        <f>AG49*地域経済性分析・初期条件!$O$9</f>
        <v>0</v>
      </c>
      <c r="AH61" s="493">
        <f>AH49*地域経済性分析・初期条件!$O$9</f>
        <v>0</v>
      </c>
      <c r="AI61" s="535">
        <f>SUM(D61:N61)</f>
        <v>0</v>
      </c>
      <c r="AJ61" s="535">
        <f>SUM(D61:X61)</f>
        <v>0</v>
      </c>
      <c r="AK61" s="497">
        <f>SUM(D61:AH61)</f>
        <v>0</v>
      </c>
    </row>
    <row r="62" spans="1:37" ht="11.5" x14ac:dyDescent="0.25">
      <c r="A62" s="488">
        <f>地域経済性分析・初期条件!G10</f>
        <v>0</v>
      </c>
      <c r="C62" s="452"/>
      <c r="D62" s="493"/>
      <c r="E62" s="493"/>
      <c r="F62" s="465"/>
      <c r="G62" s="465"/>
      <c r="H62" s="465"/>
      <c r="I62" s="465"/>
      <c r="J62" s="465"/>
      <c r="K62" s="465"/>
      <c r="L62" s="465"/>
      <c r="M62" s="465"/>
      <c r="N62" s="465"/>
      <c r="O62" s="465"/>
      <c r="P62" s="465"/>
      <c r="Q62" s="465"/>
      <c r="R62" s="465"/>
      <c r="S62" s="465"/>
      <c r="T62" s="465"/>
      <c r="U62" s="465"/>
      <c r="V62" s="465"/>
      <c r="W62" s="465"/>
      <c r="X62" s="465"/>
      <c r="Y62" s="465"/>
      <c r="Z62" s="465"/>
      <c r="AA62" s="465"/>
      <c r="AB62" s="465"/>
      <c r="AC62" s="465"/>
      <c r="AD62" s="465"/>
      <c r="AE62" s="465"/>
      <c r="AF62" s="465"/>
      <c r="AG62" s="465"/>
      <c r="AH62" s="465"/>
      <c r="AI62" s="535"/>
      <c r="AJ62" s="535"/>
      <c r="AK62" s="497"/>
    </row>
    <row r="63" spans="1:37" ht="11.5" x14ac:dyDescent="0.25">
      <c r="A63" s="533" t="str">
        <f>A62&amp;B63</f>
        <v>0売上（税別）</v>
      </c>
      <c r="B63" s="439" t="s">
        <v>1092</v>
      </c>
      <c r="C63" s="451" t="s">
        <v>37</v>
      </c>
      <c r="D63" s="493">
        <f>D47*地域経済性分析・初期条件!$F$10</f>
        <v>0</v>
      </c>
      <c r="E63" s="493">
        <f>E47*地域経済性分析・初期条件!$F$10</f>
        <v>0</v>
      </c>
      <c r="F63" s="493">
        <f>F47*地域経済性分析・初期条件!$F$10</f>
        <v>0</v>
      </c>
      <c r="G63" s="493">
        <f>G47*地域経済性分析・初期条件!$F$10</f>
        <v>0</v>
      </c>
      <c r="H63" s="493">
        <f>H47*地域経済性分析・初期条件!$F$10</f>
        <v>0</v>
      </c>
      <c r="I63" s="493">
        <f>I47*地域経済性分析・初期条件!$F$10</f>
        <v>0</v>
      </c>
      <c r="J63" s="493">
        <f>J47*地域経済性分析・初期条件!$F$10</f>
        <v>0</v>
      </c>
      <c r="K63" s="493">
        <f>K47*地域経済性分析・初期条件!$F$10</f>
        <v>0</v>
      </c>
      <c r="L63" s="493">
        <f>L47*地域経済性分析・初期条件!$F$10</f>
        <v>0</v>
      </c>
      <c r="M63" s="493">
        <f>M47*地域経済性分析・初期条件!$F$10</f>
        <v>0</v>
      </c>
      <c r="N63" s="493">
        <f>N47*地域経済性分析・初期条件!$F$10</f>
        <v>0</v>
      </c>
      <c r="O63" s="493">
        <f>O47*地域経済性分析・初期条件!$F$10</f>
        <v>0</v>
      </c>
      <c r="P63" s="493">
        <f>P47*地域経済性分析・初期条件!$F$10</f>
        <v>0</v>
      </c>
      <c r="Q63" s="493">
        <f>Q47*地域経済性分析・初期条件!$F$10</f>
        <v>0</v>
      </c>
      <c r="R63" s="493">
        <f>R47*地域経済性分析・初期条件!$F$10</f>
        <v>0</v>
      </c>
      <c r="S63" s="493">
        <f>S47*地域経済性分析・初期条件!$F$10</f>
        <v>0</v>
      </c>
      <c r="T63" s="493">
        <f>T47*地域経済性分析・初期条件!$F$10</f>
        <v>0</v>
      </c>
      <c r="U63" s="493">
        <f>U47*地域経済性分析・初期条件!$F$10</f>
        <v>0</v>
      </c>
      <c r="V63" s="493">
        <f>V47*地域経済性分析・初期条件!$F$10</f>
        <v>0</v>
      </c>
      <c r="W63" s="493">
        <f>W47*地域経済性分析・初期条件!$F$10</f>
        <v>0</v>
      </c>
      <c r="X63" s="493">
        <f>X47*地域経済性分析・初期条件!$F$10</f>
        <v>0</v>
      </c>
      <c r="Y63" s="493">
        <f>Y47*地域経済性分析・初期条件!$F$10</f>
        <v>0</v>
      </c>
      <c r="Z63" s="493">
        <f>Z47*地域経済性分析・初期条件!$F$10</f>
        <v>0</v>
      </c>
      <c r="AA63" s="493">
        <f>AA47*地域経済性分析・初期条件!$F$10</f>
        <v>0</v>
      </c>
      <c r="AB63" s="493">
        <f>AB47*地域経済性分析・初期条件!$F$10</f>
        <v>0</v>
      </c>
      <c r="AC63" s="493">
        <f>AC47*地域経済性分析・初期条件!$F$10</f>
        <v>0</v>
      </c>
      <c r="AD63" s="493">
        <f>AD47*地域経済性分析・初期条件!$F$10</f>
        <v>0</v>
      </c>
      <c r="AE63" s="493">
        <f>AE47*地域経済性分析・初期条件!$F$10</f>
        <v>0</v>
      </c>
      <c r="AF63" s="493">
        <f>AF47*地域経済性分析・初期条件!$F$10</f>
        <v>0</v>
      </c>
      <c r="AG63" s="493">
        <f>AG47*地域経済性分析・初期条件!$F$10</f>
        <v>0</v>
      </c>
      <c r="AH63" s="493">
        <f>AH47*地域経済性分析・初期条件!$F$10</f>
        <v>0</v>
      </c>
      <c r="AI63" s="535">
        <f t="shared" ref="AI63:AI71" si="29">SUM(D63:N63)</f>
        <v>0</v>
      </c>
      <c r="AJ63" s="535">
        <f>SUM(D63:X63)</f>
        <v>0</v>
      </c>
      <c r="AK63" s="497">
        <f>SUM(D63:AH63)</f>
        <v>0</v>
      </c>
    </row>
    <row r="64" spans="1:37" ht="11.5" x14ac:dyDescent="0.25">
      <c r="A64" s="533"/>
      <c r="B64" s="439" t="s">
        <v>1136</v>
      </c>
      <c r="C64" s="451" t="s">
        <v>37</v>
      </c>
      <c r="D64" s="493">
        <f>D63*波及効果シート!$D$72</f>
        <v>0</v>
      </c>
      <c r="E64" s="493">
        <f>E63*波及効果シート!$D$72</f>
        <v>0</v>
      </c>
      <c r="F64" s="493">
        <f>F63*波及効果シート!$D$72</f>
        <v>0</v>
      </c>
      <c r="G64" s="493">
        <f>G63*波及効果シート!$D$72</f>
        <v>0</v>
      </c>
      <c r="H64" s="493">
        <f>H63*波及効果シート!$D$72</f>
        <v>0</v>
      </c>
      <c r="I64" s="493">
        <f>I63*波及効果シート!$D$72</f>
        <v>0</v>
      </c>
      <c r="J64" s="493">
        <f>J63*波及効果シート!$D$72</f>
        <v>0</v>
      </c>
      <c r="K64" s="493">
        <f>K63*波及効果シート!$D$72</f>
        <v>0</v>
      </c>
      <c r="L64" s="493">
        <f>L63*波及効果シート!$D$72</f>
        <v>0</v>
      </c>
      <c r="M64" s="493">
        <f>M63*波及効果シート!$D$72</f>
        <v>0</v>
      </c>
      <c r="N64" s="493">
        <f>N63*波及効果シート!$D$72</f>
        <v>0</v>
      </c>
      <c r="O64" s="493">
        <f>O63*波及効果シート!$D$72</f>
        <v>0</v>
      </c>
      <c r="P64" s="493">
        <f>P63*波及効果シート!$D$72</f>
        <v>0</v>
      </c>
      <c r="Q64" s="493">
        <f>Q63*波及効果シート!$D$72</f>
        <v>0</v>
      </c>
      <c r="R64" s="493">
        <f>R63*波及効果シート!$D$72</f>
        <v>0</v>
      </c>
      <c r="S64" s="493">
        <f>S63*波及効果シート!$D$72</f>
        <v>0</v>
      </c>
      <c r="T64" s="493">
        <f>T63*波及効果シート!$D$72</f>
        <v>0</v>
      </c>
      <c r="U64" s="493">
        <f>U63*波及効果シート!$D$72</f>
        <v>0</v>
      </c>
      <c r="V64" s="493">
        <f>V63*波及効果シート!$D$72</f>
        <v>0</v>
      </c>
      <c r="W64" s="493">
        <f>W63*波及効果シート!$D$72</f>
        <v>0</v>
      </c>
      <c r="X64" s="493">
        <f>X63*波及効果シート!$D$72</f>
        <v>0</v>
      </c>
      <c r="Y64" s="493">
        <f>Y63*波及効果シート!$D$72</f>
        <v>0</v>
      </c>
      <c r="Z64" s="493">
        <f>Z63*波及効果シート!$D$72</f>
        <v>0</v>
      </c>
      <c r="AA64" s="493">
        <f>AA63*波及効果シート!$D$72</f>
        <v>0</v>
      </c>
      <c r="AB64" s="493">
        <f>AB63*波及効果シート!$D$72</f>
        <v>0</v>
      </c>
      <c r="AC64" s="493">
        <f>AC63*波及効果シート!$D$72</f>
        <v>0</v>
      </c>
      <c r="AD64" s="493">
        <f>AD63*波及効果シート!$D$72</f>
        <v>0</v>
      </c>
      <c r="AE64" s="493">
        <f>AE63*波及効果シート!$D$72</f>
        <v>0</v>
      </c>
      <c r="AF64" s="493">
        <f>AF63*波及効果シート!$D$72</f>
        <v>0</v>
      </c>
      <c r="AG64" s="493">
        <f>AG63*波及効果シート!$D$72</f>
        <v>0</v>
      </c>
      <c r="AH64" s="493">
        <f>AH63*波及効果シート!$D$72</f>
        <v>0</v>
      </c>
      <c r="AI64" s="535">
        <f t="shared" ref="AI64:AI65" si="30">SUM(D64:N64)</f>
        <v>0</v>
      </c>
      <c r="AJ64" s="535">
        <f t="shared" ref="AJ64:AJ65" si="31">SUM(D64:X64)</f>
        <v>0</v>
      </c>
      <c r="AK64" s="497">
        <f t="shared" ref="AK64:AK65" si="32">SUM(D64:AH64)</f>
        <v>0</v>
      </c>
    </row>
    <row r="65" spans="1:37" ht="11.5" x14ac:dyDescent="0.25">
      <c r="A65" s="533"/>
      <c r="B65" s="439" t="s">
        <v>1137</v>
      </c>
      <c r="C65" s="452" t="s">
        <v>37</v>
      </c>
      <c r="D65" s="493">
        <f>D63*波及効果シート!$D$74</f>
        <v>0</v>
      </c>
      <c r="E65" s="493">
        <f>E63*波及効果シート!$D$74</f>
        <v>0</v>
      </c>
      <c r="F65" s="493">
        <f>F63*波及効果シート!$D$74</f>
        <v>0</v>
      </c>
      <c r="G65" s="493">
        <f>G63*波及効果シート!$D$74</f>
        <v>0</v>
      </c>
      <c r="H65" s="493">
        <f>H63*波及効果シート!$D$74</f>
        <v>0</v>
      </c>
      <c r="I65" s="493">
        <f>I63*波及効果シート!$D$74</f>
        <v>0</v>
      </c>
      <c r="J65" s="493">
        <f>J63*波及効果シート!$D$74</f>
        <v>0</v>
      </c>
      <c r="K65" s="493">
        <f>K63*波及効果シート!$D$74</f>
        <v>0</v>
      </c>
      <c r="L65" s="493">
        <f>L63*波及効果シート!$D$74</f>
        <v>0</v>
      </c>
      <c r="M65" s="493">
        <f>M63*波及効果シート!$D$74</f>
        <v>0</v>
      </c>
      <c r="N65" s="493">
        <f>N63*波及効果シート!$D$74</f>
        <v>0</v>
      </c>
      <c r="O65" s="493">
        <f>O63*波及効果シート!$D$74</f>
        <v>0</v>
      </c>
      <c r="P65" s="493">
        <f>P63*波及効果シート!$D$74</f>
        <v>0</v>
      </c>
      <c r="Q65" s="493">
        <f>Q63*波及効果シート!$D$74</f>
        <v>0</v>
      </c>
      <c r="R65" s="493">
        <f>R63*波及効果シート!$D$74</f>
        <v>0</v>
      </c>
      <c r="S65" s="493">
        <f>S63*波及効果シート!$D$74</f>
        <v>0</v>
      </c>
      <c r="T65" s="493">
        <f>T63*波及効果シート!$D$74</f>
        <v>0</v>
      </c>
      <c r="U65" s="493">
        <f>U63*波及効果シート!$D$74</f>
        <v>0</v>
      </c>
      <c r="V65" s="493">
        <f>V63*波及効果シート!$D$74</f>
        <v>0</v>
      </c>
      <c r="W65" s="493">
        <f>W63*波及効果シート!$D$74</f>
        <v>0</v>
      </c>
      <c r="X65" s="493">
        <f>X63*波及効果シート!$D$74</f>
        <v>0</v>
      </c>
      <c r="Y65" s="493">
        <f>Y63*波及効果シート!$D$74</f>
        <v>0</v>
      </c>
      <c r="Z65" s="493">
        <f>Z63*波及効果シート!$D$74</f>
        <v>0</v>
      </c>
      <c r="AA65" s="493">
        <f>AA63*波及効果シート!$D$74</f>
        <v>0</v>
      </c>
      <c r="AB65" s="493">
        <f>AB63*波及効果シート!$D$74</f>
        <v>0</v>
      </c>
      <c r="AC65" s="493">
        <f>AC63*波及効果シート!$D$74</f>
        <v>0</v>
      </c>
      <c r="AD65" s="493">
        <f>AD63*波及効果シート!$D$74</f>
        <v>0</v>
      </c>
      <c r="AE65" s="493">
        <f>AE63*波及効果シート!$D$74</f>
        <v>0</v>
      </c>
      <c r="AF65" s="493">
        <f>AF63*波及効果シート!$D$74</f>
        <v>0</v>
      </c>
      <c r="AG65" s="493">
        <f>AG63*波及効果シート!$D$74</f>
        <v>0</v>
      </c>
      <c r="AH65" s="493">
        <f>AH63*波及効果シート!$D$74</f>
        <v>0</v>
      </c>
      <c r="AI65" s="535">
        <f t="shared" si="30"/>
        <v>0</v>
      </c>
      <c r="AJ65" s="535">
        <f t="shared" si="31"/>
        <v>0</v>
      </c>
      <c r="AK65" s="497">
        <f t="shared" si="32"/>
        <v>0</v>
      </c>
    </row>
    <row r="66" spans="1:37" ht="11.5" x14ac:dyDescent="0.25">
      <c r="A66" s="533"/>
      <c r="B66" s="439" t="s">
        <v>351</v>
      </c>
      <c r="C66" s="452" t="s">
        <v>333</v>
      </c>
      <c r="D66" s="493">
        <f>D63*地域経済性分析・初期条件!$P$10</f>
        <v>0</v>
      </c>
      <c r="E66" s="493">
        <f>E63*地域経済性分析・初期条件!$P$10</f>
        <v>0</v>
      </c>
      <c r="F66" s="493">
        <f>F63*地域経済性分析・初期条件!$P$10</f>
        <v>0</v>
      </c>
      <c r="G66" s="493">
        <f>G63*地域経済性分析・初期条件!$P$10</f>
        <v>0</v>
      </c>
      <c r="H66" s="493">
        <f>H63*地域経済性分析・初期条件!$P$10</f>
        <v>0</v>
      </c>
      <c r="I66" s="493">
        <f>I63*地域経済性分析・初期条件!$P$10</f>
        <v>0</v>
      </c>
      <c r="J66" s="493">
        <f>J63*地域経済性分析・初期条件!$P$10</f>
        <v>0</v>
      </c>
      <c r="K66" s="493">
        <f>K63*地域経済性分析・初期条件!$P$10</f>
        <v>0</v>
      </c>
      <c r="L66" s="493">
        <f>L63*地域経済性分析・初期条件!$P$10</f>
        <v>0</v>
      </c>
      <c r="M66" s="493">
        <f>M63*地域経済性分析・初期条件!$P$10</f>
        <v>0</v>
      </c>
      <c r="N66" s="493">
        <f>N63*地域経済性分析・初期条件!$P$10</f>
        <v>0</v>
      </c>
      <c r="O66" s="493">
        <f>O63*地域経済性分析・初期条件!$P$10</f>
        <v>0</v>
      </c>
      <c r="P66" s="493">
        <f>P63*地域経済性分析・初期条件!$P$10</f>
        <v>0</v>
      </c>
      <c r="Q66" s="493">
        <f>Q63*地域経済性分析・初期条件!$P$10</f>
        <v>0</v>
      </c>
      <c r="R66" s="493">
        <f>R63*地域経済性分析・初期条件!$P$10</f>
        <v>0</v>
      </c>
      <c r="S66" s="493">
        <f>S63*地域経済性分析・初期条件!$P$10</f>
        <v>0</v>
      </c>
      <c r="T66" s="493">
        <f>T63*地域経済性分析・初期条件!$P$10</f>
        <v>0</v>
      </c>
      <c r="U66" s="493">
        <f>U63*地域経済性分析・初期条件!$P$10</f>
        <v>0</v>
      </c>
      <c r="V66" s="493">
        <f>V63*地域経済性分析・初期条件!$P$10</f>
        <v>0</v>
      </c>
      <c r="W66" s="493">
        <f>W63*地域経済性分析・初期条件!$P$10</f>
        <v>0</v>
      </c>
      <c r="X66" s="493">
        <f>X63*地域経済性分析・初期条件!$P$10</f>
        <v>0</v>
      </c>
      <c r="Y66" s="493">
        <f>Y63*地域経済性分析・初期条件!$P$10</f>
        <v>0</v>
      </c>
      <c r="Z66" s="493">
        <f>Z63*地域経済性分析・初期条件!$P$10</f>
        <v>0</v>
      </c>
      <c r="AA66" s="493">
        <f>AA63*地域経済性分析・初期条件!$P$10</f>
        <v>0</v>
      </c>
      <c r="AB66" s="493">
        <f>AB63*地域経済性分析・初期条件!$P$10</f>
        <v>0</v>
      </c>
      <c r="AC66" s="493">
        <f>AC63*地域経済性分析・初期条件!$P$10</f>
        <v>0</v>
      </c>
      <c r="AD66" s="493">
        <f>AD63*地域経済性分析・初期条件!$P$10</f>
        <v>0</v>
      </c>
      <c r="AE66" s="493">
        <f>AE63*地域経済性分析・初期条件!$P$10</f>
        <v>0</v>
      </c>
      <c r="AF66" s="493">
        <f>AF63*地域経済性分析・初期条件!$P$10</f>
        <v>0</v>
      </c>
      <c r="AG66" s="493">
        <f>AG63*地域経済性分析・初期条件!$P$10</f>
        <v>0</v>
      </c>
      <c r="AH66" s="493">
        <f>AH63*地域経済性分析・初期条件!$P$10</f>
        <v>0</v>
      </c>
      <c r="AI66" s="535">
        <f t="shared" si="29"/>
        <v>0</v>
      </c>
      <c r="AJ66" s="535">
        <f>SUM(D66:X66)</f>
        <v>0</v>
      </c>
      <c r="AK66" s="497">
        <f>SUM(D66:AH66)</f>
        <v>0</v>
      </c>
    </row>
    <row r="67" spans="1:37" ht="11.5" x14ac:dyDescent="0.25">
      <c r="A67" s="533"/>
      <c r="B67" s="439" t="s">
        <v>350</v>
      </c>
      <c r="C67" s="452" t="s">
        <v>333</v>
      </c>
      <c r="D67" s="493">
        <f>D63*地域経済性分析・初期条件!$Q$10</f>
        <v>0</v>
      </c>
      <c r="E67" s="493">
        <f>E63*地域経済性分析・初期条件!$Q$10</f>
        <v>0</v>
      </c>
      <c r="F67" s="493">
        <f>F63*地域経済性分析・初期条件!$Q$10</f>
        <v>0</v>
      </c>
      <c r="G67" s="493">
        <f>G63*地域経済性分析・初期条件!$Q$10</f>
        <v>0</v>
      </c>
      <c r="H67" s="493">
        <f>H63*地域経済性分析・初期条件!$Q$10</f>
        <v>0</v>
      </c>
      <c r="I67" s="493">
        <f>I63*地域経済性分析・初期条件!$Q$10</f>
        <v>0</v>
      </c>
      <c r="J67" s="493">
        <f>J63*地域経済性分析・初期条件!$Q$10</f>
        <v>0</v>
      </c>
      <c r="K67" s="493">
        <f>K63*地域経済性分析・初期条件!$Q$10</f>
        <v>0</v>
      </c>
      <c r="L67" s="493">
        <f>L63*地域経済性分析・初期条件!$Q$10</f>
        <v>0</v>
      </c>
      <c r="M67" s="493">
        <f>M63*地域経済性分析・初期条件!$Q$10</f>
        <v>0</v>
      </c>
      <c r="N67" s="493">
        <f>N63*地域経済性分析・初期条件!$Q$10</f>
        <v>0</v>
      </c>
      <c r="O67" s="493">
        <f>O63*地域経済性分析・初期条件!$Q$10</f>
        <v>0</v>
      </c>
      <c r="P67" s="493">
        <f>P63*地域経済性分析・初期条件!$Q$10</f>
        <v>0</v>
      </c>
      <c r="Q67" s="493">
        <f>Q63*地域経済性分析・初期条件!$Q$10</f>
        <v>0</v>
      </c>
      <c r="R67" s="493">
        <f>R63*地域経済性分析・初期条件!$Q$10</f>
        <v>0</v>
      </c>
      <c r="S67" s="493">
        <f>S63*地域経済性分析・初期条件!$Q$10</f>
        <v>0</v>
      </c>
      <c r="T67" s="493">
        <f>T63*地域経済性分析・初期条件!$Q$10</f>
        <v>0</v>
      </c>
      <c r="U67" s="493">
        <f>U63*地域経済性分析・初期条件!$Q$10</f>
        <v>0</v>
      </c>
      <c r="V67" s="493">
        <f>V63*地域経済性分析・初期条件!$Q$10</f>
        <v>0</v>
      </c>
      <c r="W67" s="493">
        <f>W63*地域経済性分析・初期条件!$Q$10</f>
        <v>0</v>
      </c>
      <c r="X67" s="493">
        <f>X63*地域経済性分析・初期条件!$Q$10</f>
        <v>0</v>
      </c>
      <c r="Y67" s="493">
        <f>Y63*地域経済性分析・初期条件!$Q$10</f>
        <v>0</v>
      </c>
      <c r="Z67" s="493">
        <f>Z63*地域経済性分析・初期条件!$Q$10</f>
        <v>0</v>
      </c>
      <c r="AA67" s="493">
        <f>AA63*地域経済性分析・初期条件!$Q$10</f>
        <v>0</v>
      </c>
      <c r="AB67" s="493">
        <f>AB63*地域経済性分析・初期条件!$Q$10</f>
        <v>0</v>
      </c>
      <c r="AC67" s="493">
        <f>AC63*地域経済性分析・初期条件!$Q$10</f>
        <v>0</v>
      </c>
      <c r="AD67" s="493">
        <f>AD63*地域経済性分析・初期条件!$Q$10</f>
        <v>0</v>
      </c>
      <c r="AE67" s="493">
        <f>AE63*地域経済性分析・初期条件!$Q$10</f>
        <v>0</v>
      </c>
      <c r="AF67" s="493">
        <f>AF63*地域経済性分析・初期条件!$Q$10</f>
        <v>0</v>
      </c>
      <c r="AG67" s="493">
        <f>AG63*地域経済性分析・初期条件!$Q$10</f>
        <v>0</v>
      </c>
      <c r="AH67" s="493">
        <f>AH63*地域経済性分析・初期条件!$Q$10</f>
        <v>0</v>
      </c>
      <c r="AI67" s="535">
        <f t="shared" si="29"/>
        <v>0</v>
      </c>
      <c r="AJ67" s="535">
        <f>SUM(D67:X67)</f>
        <v>0</v>
      </c>
      <c r="AK67" s="497">
        <f>SUM(D67:AH67)</f>
        <v>0</v>
      </c>
    </row>
    <row r="68" spans="1:37" ht="11.5" x14ac:dyDescent="0.25">
      <c r="A68" s="533" t="str">
        <f>A62&amp;B68</f>
        <v>0従業員の可処分所得（一次）</v>
      </c>
      <c r="B68" s="439" t="s">
        <v>329</v>
      </c>
      <c r="C68" s="451" t="s">
        <v>37</v>
      </c>
      <c r="D68" s="493">
        <f>D63*地域経済性分析・初期条件!$H$10</f>
        <v>0</v>
      </c>
      <c r="E68" s="493">
        <f>E63*地域経済性分析・初期条件!$H$10</f>
        <v>0</v>
      </c>
      <c r="F68" s="493">
        <f>F63*地域経済性分析・初期条件!$H$10</f>
        <v>0</v>
      </c>
      <c r="G68" s="493">
        <f>G63*地域経済性分析・初期条件!$H$10</f>
        <v>0</v>
      </c>
      <c r="H68" s="493">
        <f>H63*地域経済性分析・初期条件!$H$10</f>
        <v>0</v>
      </c>
      <c r="I68" s="493">
        <f>I63*地域経済性分析・初期条件!$H$10</f>
        <v>0</v>
      </c>
      <c r="J68" s="493">
        <f>J63*地域経済性分析・初期条件!$H$10</f>
        <v>0</v>
      </c>
      <c r="K68" s="493">
        <f>K63*地域経済性分析・初期条件!$H$10</f>
        <v>0</v>
      </c>
      <c r="L68" s="493">
        <f>L63*地域経済性分析・初期条件!$H$10</f>
        <v>0</v>
      </c>
      <c r="M68" s="493">
        <f>M63*地域経済性分析・初期条件!$H$10</f>
        <v>0</v>
      </c>
      <c r="N68" s="493">
        <f>N63*地域経済性分析・初期条件!$H$10</f>
        <v>0</v>
      </c>
      <c r="O68" s="493">
        <f>O63*地域経済性分析・初期条件!$H$10</f>
        <v>0</v>
      </c>
      <c r="P68" s="493">
        <f>P63*地域経済性分析・初期条件!$H$10</f>
        <v>0</v>
      </c>
      <c r="Q68" s="493">
        <f>Q63*地域経済性分析・初期条件!$H$10</f>
        <v>0</v>
      </c>
      <c r="R68" s="493">
        <f>R63*地域経済性分析・初期条件!$H$10</f>
        <v>0</v>
      </c>
      <c r="S68" s="493">
        <f>S63*地域経済性分析・初期条件!$H$10</f>
        <v>0</v>
      </c>
      <c r="T68" s="493">
        <f>T63*地域経済性分析・初期条件!$H$10</f>
        <v>0</v>
      </c>
      <c r="U68" s="493">
        <f>U63*地域経済性分析・初期条件!$H$10</f>
        <v>0</v>
      </c>
      <c r="V68" s="493">
        <f>V63*地域経済性分析・初期条件!$H$10</f>
        <v>0</v>
      </c>
      <c r="W68" s="493">
        <f>W63*地域経済性分析・初期条件!$H$10</f>
        <v>0</v>
      </c>
      <c r="X68" s="493">
        <f>X63*地域経済性分析・初期条件!$H$10</f>
        <v>0</v>
      </c>
      <c r="Y68" s="493">
        <f>Y63*地域経済性分析・初期条件!$H$10</f>
        <v>0</v>
      </c>
      <c r="Z68" s="493">
        <f>Z63*地域経済性分析・初期条件!$H$10</f>
        <v>0</v>
      </c>
      <c r="AA68" s="493">
        <f>AA63*地域経済性分析・初期条件!$H$10</f>
        <v>0</v>
      </c>
      <c r="AB68" s="493">
        <f>AB63*地域経済性分析・初期条件!$H$10</f>
        <v>0</v>
      </c>
      <c r="AC68" s="493">
        <f>AC63*地域経済性分析・初期条件!$H$10</f>
        <v>0</v>
      </c>
      <c r="AD68" s="493">
        <f>AD63*地域経済性分析・初期条件!$H$10</f>
        <v>0</v>
      </c>
      <c r="AE68" s="493">
        <f>AE63*地域経済性分析・初期条件!$H$10</f>
        <v>0</v>
      </c>
      <c r="AF68" s="493">
        <f>AF63*地域経済性分析・初期条件!$H$10</f>
        <v>0</v>
      </c>
      <c r="AG68" s="493">
        <f>AG63*地域経済性分析・初期条件!$H$10</f>
        <v>0</v>
      </c>
      <c r="AH68" s="493">
        <f>AH63*地域経済性分析・初期条件!$H$10</f>
        <v>0</v>
      </c>
      <c r="AI68" s="535">
        <f t="shared" si="29"/>
        <v>0</v>
      </c>
      <c r="AJ68" s="535">
        <f t="shared" ref="AJ68:AJ75" si="33">SUM(D68:X68)</f>
        <v>0</v>
      </c>
      <c r="AK68" s="497">
        <f t="shared" ref="AK68:AK75" si="34">SUM(D68:AH68)</f>
        <v>0</v>
      </c>
    </row>
    <row r="69" spans="1:37" ht="11.5" x14ac:dyDescent="0.25">
      <c r="A69" s="533" t="str">
        <f>A62&amp;B69</f>
        <v>0企業の税引後利益（一次）</v>
      </c>
      <c r="B69" s="439" t="s">
        <v>330</v>
      </c>
      <c r="C69" s="451" t="s">
        <v>37</v>
      </c>
      <c r="D69" s="493">
        <f>D63*地域経済性分析・初期条件!$I$10</f>
        <v>0</v>
      </c>
      <c r="E69" s="493">
        <f>E63*地域経済性分析・初期条件!$I$10</f>
        <v>0</v>
      </c>
      <c r="F69" s="493">
        <f>F63*地域経済性分析・初期条件!$I$10</f>
        <v>0</v>
      </c>
      <c r="G69" s="493">
        <f>G63*地域経済性分析・初期条件!$I$10</f>
        <v>0</v>
      </c>
      <c r="H69" s="493">
        <f>H63*地域経済性分析・初期条件!$I$10</f>
        <v>0</v>
      </c>
      <c r="I69" s="493">
        <f>I63*地域経済性分析・初期条件!$I$10</f>
        <v>0</v>
      </c>
      <c r="J69" s="493">
        <f>J63*地域経済性分析・初期条件!$I$10</f>
        <v>0</v>
      </c>
      <c r="K69" s="493">
        <f>K63*地域経済性分析・初期条件!$I$10</f>
        <v>0</v>
      </c>
      <c r="L69" s="493">
        <f>L63*地域経済性分析・初期条件!$I$10</f>
        <v>0</v>
      </c>
      <c r="M69" s="493">
        <f>M63*地域経済性分析・初期条件!$I$10</f>
        <v>0</v>
      </c>
      <c r="N69" s="493">
        <f>N63*地域経済性分析・初期条件!$I$10</f>
        <v>0</v>
      </c>
      <c r="O69" s="493">
        <f>O63*地域経済性分析・初期条件!$I$10</f>
        <v>0</v>
      </c>
      <c r="P69" s="493">
        <f>P63*地域経済性分析・初期条件!$I$10</f>
        <v>0</v>
      </c>
      <c r="Q69" s="493">
        <f>Q63*地域経済性分析・初期条件!$I$10</f>
        <v>0</v>
      </c>
      <c r="R69" s="493">
        <f>R63*地域経済性分析・初期条件!$I$10</f>
        <v>0</v>
      </c>
      <c r="S69" s="493">
        <f>S63*地域経済性分析・初期条件!$I$10</f>
        <v>0</v>
      </c>
      <c r="T69" s="493">
        <f>T63*地域経済性分析・初期条件!$I$10</f>
        <v>0</v>
      </c>
      <c r="U69" s="493">
        <f>U63*地域経済性分析・初期条件!$I$10</f>
        <v>0</v>
      </c>
      <c r="V69" s="493">
        <f>V63*地域経済性分析・初期条件!$I$10</f>
        <v>0</v>
      </c>
      <c r="W69" s="493">
        <f>W63*地域経済性分析・初期条件!$I$10</f>
        <v>0</v>
      </c>
      <c r="X69" s="493">
        <f>X63*地域経済性分析・初期条件!$I$10</f>
        <v>0</v>
      </c>
      <c r="Y69" s="493">
        <f>Y63*地域経済性分析・初期条件!$I$10</f>
        <v>0</v>
      </c>
      <c r="Z69" s="493">
        <f>Z63*地域経済性分析・初期条件!$I$10</f>
        <v>0</v>
      </c>
      <c r="AA69" s="493">
        <f>AA63*地域経済性分析・初期条件!$I$10</f>
        <v>0</v>
      </c>
      <c r="AB69" s="493">
        <f>AB63*地域経済性分析・初期条件!$I$10</f>
        <v>0</v>
      </c>
      <c r="AC69" s="493">
        <f>AC63*地域経済性分析・初期条件!$I$10</f>
        <v>0</v>
      </c>
      <c r="AD69" s="493">
        <f>AD63*地域経済性分析・初期条件!$I$10</f>
        <v>0</v>
      </c>
      <c r="AE69" s="493">
        <f>AE63*地域経済性分析・初期条件!$I$10</f>
        <v>0</v>
      </c>
      <c r="AF69" s="493">
        <f>AF63*地域経済性分析・初期条件!$I$10</f>
        <v>0</v>
      </c>
      <c r="AG69" s="493">
        <f>AG63*地域経済性分析・初期条件!$I$10</f>
        <v>0</v>
      </c>
      <c r="AH69" s="493">
        <f>AH63*地域経済性分析・初期条件!$I$10</f>
        <v>0</v>
      </c>
      <c r="AI69" s="535">
        <f t="shared" si="29"/>
        <v>0</v>
      </c>
      <c r="AJ69" s="535">
        <f t="shared" si="33"/>
        <v>0</v>
      </c>
      <c r="AK69" s="497">
        <f t="shared" si="34"/>
        <v>0</v>
      </c>
    </row>
    <row r="70" spans="1:37" ht="11.5" x14ac:dyDescent="0.25">
      <c r="A70" s="533" t="str">
        <f>A62&amp;B70</f>
        <v>0都道府県税収（一次）</v>
      </c>
      <c r="B70" s="439" t="s">
        <v>331</v>
      </c>
      <c r="C70" s="451" t="s">
        <v>37</v>
      </c>
      <c r="D70" s="493">
        <f>D63*地域経済性分析・初期条件!$J$10</f>
        <v>0</v>
      </c>
      <c r="E70" s="493">
        <f>E63*地域経済性分析・初期条件!$J$10</f>
        <v>0</v>
      </c>
      <c r="F70" s="493">
        <f>F63*地域経済性分析・初期条件!$J$10</f>
        <v>0</v>
      </c>
      <c r="G70" s="493">
        <f>G63*地域経済性分析・初期条件!$J$10</f>
        <v>0</v>
      </c>
      <c r="H70" s="493">
        <f>H63*地域経済性分析・初期条件!$J$10</f>
        <v>0</v>
      </c>
      <c r="I70" s="493">
        <f>I63*地域経済性分析・初期条件!$J$10</f>
        <v>0</v>
      </c>
      <c r="J70" s="493">
        <f>J63*地域経済性分析・初期条件!$J$10</f>
        <v>0</v>
      </c>
      <c r="K70" s="493">
        <f>K63*地域経済性分析・初期条件!$J$10</f>
        <v>0</v>
      </c>
      <c r="L70" s="493">
        <f>L63*地域経済性分析・初期条件!$J$10</f>
        <v>0</v>
      </c>
      <c r="M70" s="493">
        <f>M63*地域経済性分析・初期条件!$J$10</f>
        <v>0</v>
      </c>
      <c r="N70" s="493">
        <f>N63*地域経済性分析・初期条件!$J$10</f>
        <v>0</v>
      </c>
      <c r="O70" s="493">
        <f>O63*地域経済性分析・初期条件!$J$10</f>
        <v>0</v>
      </c>
      <c r="P70" s="493">
        <f>P63*地域経済性分析・初期条件!$J$10</f>
        <v>0</v>
      </c>
      <c r="Q70" s="493">
        <f>Q63*地域経済性分析・初期条件!$J$10</f>
        <v>0</v>
      </c>
      <c r="R70" s="493">
        <f>R63*地域経済性分析・初期条件!$J$10</f>
        <v>0</v>
      </c>
      <c r="S70" s="493">
        <f>S63*地域経済性分析・初期条件!$J$10</f>
        <v>0</v>
      </c>
      <c r="T70" s="493">
        <f>T63*地域経済性分析・初期条件!$J$10</f>
        <v>0</v>
      </c>
      <c r="U70" s="493">
        <f>U63*地域経済性分析・初期条件!$J$10</f>
        <v>0</v>
      </c>
      <c r="V70" s="493">
        <f>V63*地域経済性分析・初期条件!$J$10</f>
        <v>0</v>
      </c>
      <c r="W70" s="493">
        <f>W63*地域経済性分析・初期条件!$J$10</f>
        <v>0</v>
      </c>
      <c r="X70" s="493">
        <f>X63*地域経済性分析・初期条件!$J$10</f>
        <v>0</v>
      </c>
      <c r="Y70" s="493">
        <f>Y63*地域経済性分析・初期条件!$J$10</f>
        <v>0</v>
      </c>
      <c r="Z70" s="493">
        <f>Z63*地域経済性分析・初期条件!$J$10</f>
        <v>0</v>
      </c>
      <c r="AA70" s="493">
        <f>AA63*地域経済性分析・初期条件!$J$10</f>
        <v>0</v>
      </c>
      <c r="AB70" s="493">
        <f>AB63*地域経済性分析・初期条件!$J$10</f>
        <v>0</v>
      </c>
      <c r="AC70" s="493">
        <f>AC63*地域経済性分析・初期条件!$J$10</f>
        <v>0</v>
      </c>
      <c r="AD70" s="493">
        <f>AD63*地域経済性分析・初期条件!$J$10</f>
        <v>0</v>
      </c>
      <c r="AE70" s="493">
        <f>AE63*地域経済性分析・初期条件!$J$10</f>
        <v>0</v>
      </c>
      <c r="AF70" s="493">
        <f>AF63*地域経済性分析・初期条件!$J$10</f>
        <v>0</v>
      </c>
      <c r="AG70" s="493">
        <f>AG63*地域経済性分析・初期条件!$J$10</f>
        <v>0</v>
      </c>
      <c r="AH70" s="493">
        <f>AH63*地域経済性分析・初期条件!$J$10</f>
        <v>0</v>
      </c>
      <c r="AI70" s="535">
        <f t="shared" si="29"/>
        <v>0</v>
      </c>
      <c r="AJ70" s="535">
        <f t="shared" si="33"/>
        <v>0</v>
      </c>
      <c r="AK70" s="497">
        <f t="shared" si="34"/>
        <v>0</v>
      </c>
    </row>
    <row r="71" spans="1:37" ht="11.5" x14ac:dyDescent="0.25">
      <c r="A71" s="533" t="str">
        <f>A62&amp;B71</f>
        <v>0市町村税収（一次）</v>
      </c>
      <c r="B71" s="439" t="s">
        <v>332</v>
      </c>
      <c r="C71" s="452" t="s">
        <v>37</v>
      </c>
      <c r="D71" s="493">
        <f>D63*地域経済性分析・初期条件!$K$10</f>
        <v>0</v>
      </c>
      <c r="E71" s="493">
        <f>E63*地域経済性分析・初期条件!$K$10</f>
        <v>0</v>
      </c>
      <c r="F71" s="493">
        <f>F63*地域経済性分析・初期条件!$K$10</f>
        <v>0</v>
      </c>
      <c r="G71" s="493">
        <f>G63*地域経済性分析・初期条件!$K$10</f>
        <v>0</v>
      </c>
      <c r="H71" s="493">
        <f>H63*地域経済性分析・初期条件!$K$10</f>
        <v>0</v>
      </c>
      <c r="I71" s="493">
        <f>I63*地域経済性分析・初期条件!$K$10</f>
        <v>0</v>
      </c>
      <c r="J71" s="493">
        <f>J63*地域経済性分析・初期条件!$K$10</f>
        <v>0</v>
      </c>
      <c r="K71" s="493">
        <f>K63*地域経済性分析・初期条件!$K$10</f>
        <v>0</v>
      </c>
      <c r="L71" s="493">
        <f>L63*地域経済性分析・初期条件!$K$10</f>
        <v>0</v>
      </c>
      <c r="M71" s="493">
        <f>M63*地域経済性分析・初期条件!$K$10</f>
        <v>0</v>
      </c>
      <c r="N71" s="493">
        <f>N63*地域経済性分析・初期条件!$K$10</f>
        <v>0</v>
      </c>
      <c r="O71" s="493">
        <f>O63*地域経済性分析・初期条件!$K$10</f>
        <v>0</v>
      </c>
      <c r="P71" s="493">
        <f>P63*地域経済性分析・初期条件!$K$10</f>
        <v>0</v>
      </c>
      <c r="Q71" s="493">
        <f>Q63*地域経済性分析・初期条件!$K$10</f>
        <v>0</v>
      </c>
      <c r="R71" s="493">
        <f>R63*地域経済性分析・初期条件!$K$10</f>
        <v>0</v>
      </c>
      <c r="S71" s="493">
        <f>S63*地域経済性分析・初期条件!$K$10</f>
        <v>0</v>
      </c>
      <c r="T71" s="493">
        <f>T63*地域経済性分析・初期条件!$K$10</f>
        <v>0</v>
      </c>
      <c r="U71" s="493">
        <f>U63*地域経済性分析・初期条件!$K$10</f>
        <v>0</v>
      </c>
      <c r="V71" s="493">
        <f>V63*地域経済性分析・初期条件!$K$10</f>
        <v>0</v>
      </c>
      <c r="W71" s="493">
        <f>W63*地域経済性分析・初期条件!$K$10</f>
        <v>0</v>
      </c>
      <c r="X71" s="493">
        <f>X63*地域経済性分析・初期条件!$K$10</f>
        <v>0</v>
      </c>
      <c r="Y71" s="493">
        <f>Y63*地域経済性分析・初期条件!$K$10</f>
        <v>0</v>
      </c>
      <c r="Z71" s="493">
        <f>Z63*地域経済性分析・初期条件!$K$10</f>
        <v>0</v>
      </c>
      <c r="AA71" s="493">
        <f>AA63*地域経済性分析・初期条件!$K$10</f>
        <v>0</v>
      </c>
      <c r="AB71" s="493">
        <f>AB63*地域経済性分析・初期条件!$K$10</f>
        <v>0</v>
      </c>
      <c r="AC71" s="493">
        <f>AC63*地域経済性分析・初期条件!$K$10</f>
        <v>0</v>
      </c>
      <c r="AD71" s="493">
        <f>AD63*地域経済性分析・初期条件!$K$10</f>
        <v>0</v>
      </c>
      <c r="AE71" s="493">
        <f>AE63*地域経済性分析・初期条件!$K$10</f>
        <v>0</v>
      </c>
      <c r="AF71" s="493">
        <f>AF63*地域経済性分析・初期条件!$K$10</f>
        <v>0</v>
      </c>
      <c r="AG71" s="493">
        <f>AG63*地域経済性分析・初期条件!$K$10</f>
        <v>0</v>
      </c>
      <c r="AH71" s="493">
        <f>AH63*地域経済性分析・初期条件!$K$10</f>
        <v>0</v>
      </c>
      <c r="AI71" s="535">
        <f t="shared" si="29"/>
        <v>0</v>
      </c>
      <c r="AJ71" s="535">
        <f t="shared" si="33"/>
        <v>0</v>
      </c>
      <c r="AK71" s="497">
        <f t="shared" si="34"/>
        <v>0</v>
      </c>
    </row>
    <row r="72" spans="1:37" ht="11.5" x14ac:dyDescent="0.25">
      <c r="A72" s="533"/>
      <c r="B72" s="439" t="s">
        <v>334</v>
      </c>
      <c r="C72" s="452" t="s">
        <v>333</v>
      </c>
      <c r="D72" s="493">
        <f>D63*地域経済性分析・初期条件!$L$10</f>
        <v>0</v>
      </c>
      <c r="E72" s="493">
        <f>E63*地域経済性分析・初期条件!$L$10</f>
        <v>0</v>
      </c>
      <c r="F72" s="493">
        <f>F63*地域経済性分析・初期条件!$L$10</f>
        <v>0</v>
      </c>
      <c r="G72" s="493">
        <f>G63*地域経済性分析・初期条件!$L$10</f>
        <v>0</v>
      </c>
      <c r="H72" s="493">
        <f>H63*地域経済性分析・初期条件!$L$10</f>
        <v>0</v>
      </c>
      <c r="I72" s="493">
        <f>I63*地域経済性分析・初期条件!$L$10</f>
        <v>0</v>
      </c>
      <c r="J72" s="493">
        <f>J63*地域経済性分析・初期条件!$L$10</f>
        <v>0</v>
      </c>
      <c r="K72" s="493">
        <f>K63*地域経済性分析・初期条件!$L$10</f>
        <v>0</v>
      </c>
      <c r="L72" s="493">
        <f>L63*地域経済性分析・初期条件!$L$10</f>
        <v>0</v>
      </c>
      <c r="M72" s="493">
        <f>M63*地域経済性分析・初期条件!$L$10</f>
        <v>0</v>
      </c>
      <c r="N72" s="493">
        <f>N63*地域経済性分析・初期条件!$L$10</f>
        <v>0</v>
      </c>
      <c r="O72" s="493">
        <f>O63*地域経済性分析・初期条件!$L$10</f>
        <v>0</v>
      </c>
      <c r="P72" s="493">
        <f>P63*地域経済性分析・初期条件!$L$10</f>
        <v>0</v>
      </c>
      <c r="Q72" s="493">
        <f>Q63*地域経済性分析・初期条件!$L$10</f>
        <v>0</v>
      </c>
      <c r="R72" s="493">
        <f>R63*地域経済性分析・初期条件!$L$10</f>
        <v>0</v>
      </c>
      <c r="S72" s="493">
        <f>S63*地域経済性分析・初期条件!$L$10</f>
        <v>0</v>
      </c>
      <c r="T72" s="493">
        <f>T63*地域経済性分析・初期条件!$L$10</f>
        <v>0</v>
      </c>
      <c r="U72" s="493">
        <f>U63*地域経済性分析・初期条件!$L$10</f>
        <v>0</v>
      </c>
      <c r="V72" s="493">
        <f>V63*地域経済性分析・初期条件!$L$10</f>
        <v>0</v>
      </c>
      <c r="W72" s="493">
        <f>W63*地域経済性分析・初期条件!$L$10</f>
        <v>0</v>
      </c>
      <c r="X72" s="493">
        <f>X63*地域経済性分析・初期条件!$L$10</f>
        <v>0</v>
      </c>
      <c r="Y72" s="493">
        <f>Y63*地域経済性分析・初期条件!$L$10</f>
        <v>0</v>
      </c>
      <c r="Z72" s="493">
        <f>Z63*地域経済性分析・初期条件!$L$10</f>
        <v>0</v>
      </c>
      <c r="AA72" s="493">
        <f>AA63*地域経済性分析・初期条件!$L$10</f>
        <v>0</v>
      </c>
      <c r="AB72" s="493">
        <f>AB63*地域経済性分析・初期条件!$L$10</f>
        <v>0</v>
      </c>
      <c r="AC72" s="493">
        <f>AC63*地域経済性分析・初期条件!$L$10</f>
        <v>0</v>
      </c>
      <c r="AD72" s="493">
        <f>AD63*地域経済性分析・初期条件!$L$10</f>
        <v>0</v>
      </c>
      <c r="AE72" s="493">
        <f>AE63*地域経済性分析・初期条件!$L$10</f>
        <v>0</v>
      </c>
      <c r="AF72" s="493">
        <f>AF63*地域経済性分析・初期条件!$L$10</f>
        <v>0</v>
      </c>
      <c r="AG72" s="493">
        <f>AG63*地域経済性分析・初期条件!$L$10</f>
        <v>0</v>
      </c>
      <c r="AH72" s="493">
        <f>AH63*地域経済性分析・初期条件!$L$10</f>
        <v>0</v>
      </c>
      <c r="AI72" s="535">
        <f>SUM(D72:N72)</f>
        <v>0</v>
      </c>
      <c r="AJ72" s="535">
        <f t="shared" si="33"/>
        <v>0</v>
      </c>
      <c r="AK72" s="497">
        <f t="shared" si="34"/>
        <v>0</v>
      </c>
    </row>
    <row r="73" spans="1:37" ht="11.5" x14ac:dyDescent="0.25">
      <c r="A73" s="533"/>
      <c r="B73" s="439" t="s">
        <v>335</v>
      </c>
      <c r="C73" s="452" t="s">
        <v>333</v>
      </c>
      <c r="D73" s="493">
        <f>D63*地域経済性分析・初期条件!$M$10</f>
        <v>0</v>
      </c>
      <c r="E73" s="493">
        <f>E63*地域経済性分析・初期条件!$M$10</f>
        <v>0</v>
      </c>
      <c r="F73" s="493">
        <f>F63*地域経済性分析・初期条件!$M$10</f>
        <v>0</v>
      </c>
      <c r="G73" s="493">
        <f>G63*地域経済性分析・初期条件!$M$10</f>
        <v>0</v>
      </c>
      <c r="H73" s="493">
        <f>H63*地域経済性分析・初期条件!$M$10</f>
        <v>0</v>
      </c>
      <c r="I73" s="493">
        <f>I63*地域経済性分析・初期条件!$M$10</f>
        <v>0</v>
      </c>
      <c r="J73" s="493">
        <f>J63*地域経済性分析・初期条件!$M$10</f>
        <v>0</v>
      </c>
      <c r="K73" s="493">
        <f>K63*地域経済性分析・初期条件!$M$10</f>
        <v>0</v>
      </c>
      <c r="L73" s="493">
        <f>L63*地域経済性分析・初期条件!$M$10</f>
        <v>0</v>
      </c>
      <c r="M73" s="493">
        <f>M63*地域経済性分析・初期条件!$M$10</f>
        <v>0</v>
      </c>
      <c r="N73" s="493">
        <f>N63*地域経済性分析・初期条件!$M$10</f>
        <v>0</v>
      </c>
      <c r="O73" s="493">
        <f>O63*地域経済性分析・初期条件!$M$10</f>
        <v>0</v>
      </c>
      <c r="P73" s="493">
        <f>P63*地域経済性分析・初期条件!$M$10</f>
        <v>0</v>
      </c>
      <c r="Q73" s="493">
        <f>Q63*地域経済性分析・初期条件!$M$10</f>
        <v>0</v>
      </c>
      <c r="R73" s="493">
        <f>R63*地域経済性分析・初期条件!$M$10</f>
        <v>0</v>
      </c>
      <c r="S73" s="493">
        <f>S63*地域経済性分析・初期条件!$M$10</f>
        <v>0</v>
      </c>
      <c r="T73" s="493">
        <f>T63*地域経済性分析・初期条件!$M$10</f>
        <v>0</v>
      </c>
      <c r="U73" s="493">
        <f>U63*地域経済性分析・初期条件!$M$10</f>
        <v>0</v>
      </c>
      <c r="V73" s="493">
        <f>V63*地域経済性分析・初期条件!$M$10</f>
        <v>0</v>
      </c>
      <c r="W73" s="493">
        <f>W63*地域経済性分析・初期条件!$M$10</f>
        <v>0</v>
      </c>
      <c r="X73" s="493">
        <f>X63*地域経済性分析・初期条件!$M$10</f>
        <v>0</v>
      </c>
      <c r="Y73" s="493">
        <f>Y63*地域経済性分析・初期条件!$M$10</f>
        <v>0</v>
      </c>
      <c r="Z73" s="493">
        <f>Z63*地域経済性分析・初期条件!$M$10</f>
        <v>0</v>
      </c>
      <c r="AA73" s="493">
        <f>AA63*地域経済性分析・初期条件!$M$10</f>
        <v>0</v>
      </c>
      <c r="AB73" s="493">
        <f>AB63*地域経済性分析・初期条件!$M$10</f>
        <v>0</v>
      </c>
      <c r="AC73" s="493">
        <f>AC63*地域経済性分析・初期条件!$M$10</f>
        <v>0</v>
      </c>
      <c r="AD73" s="493">
        <f>AD63*地域経済性分析・初期条件!$M$10</f>
        <v>0</v>
      </c>
      <c r="AE73" s="493">
        <f>AE63*地域経済性分析・初期条件!$M$10</f>
        <v>0</v>
      </c>
      <c r="AF73" s="493">
        <f>AF63*地域経済性分析・初期条件!$M$10</f>
        <v>0</v>
      </c>
      <c r="AG73" s="493">
        <f>AG63*地域経済性分析・初期条件!$M$10</f>
        <v>0</v>
      </c>
      <c r="AH73" s="493">
        <f>AH63*地域経済性分析・初期条件!$M$10</f>
        <v>0</v>
      </c>
      <c r="AI73" s="535">
        <f>SUM(D73:N73)</f>
        <v>0</v>
      </c>
      <c r="AJ73" s="535">
        <f t="shared" si="33"/>
        <v>0</v>
      </c>
      <c r="AK73" s="497">
        <f t="shared" si="34"/>
        <v>0</v>
      </c>
    </row>
    <row r="74" spans="1:37" ht="11.5" x14ac:dyDescent="0.25">
      <c r="A74" s="533"/>
      <c r="B74" s="439" t="s">
        <v>336</v>
      </c>
      <c r="C74" s="452" t="s">
        <v>333</v>
      </c>
      <c r="D74" s="493">
        <f>D63*地域経済性分析・初期条件!$N$10</f>
        <v>0</v>
      </c>
      <c r="E74" s="493">
        <f>E63*地域経済性分析・初期条件!$N$10</f>
        <v>0</v>
      </c>
      <c r="F74" s="493">
        <f>F63*地域経済性分析・初期条件!$N$10</f>
        <v>0</v>
      </c>
      <c r="G74" s="493">
        <f>G63*地域経済性分析・初期条件!$N$10</f>
        <v>0</v>
      </c>
      <c r="H74" s="493">
        <f>H63*地域経済性分析・初期条件!$N$10</f>
        <v>0</v>
      </c>
      <c r="I74" s="493">
        <f>I63*地域経済性分析・初期条件!$N$10</f>
        <v>0</v>
      </c>
      <c r="J74" s="493">
        <f>J63*地域経済性分析・初期条件!$N$10</f>
        <v>0</v>
      </c>
      <c r="K74" s="493">
        <f>K63*地域経済性分析・初期条件!$N$10</f>
        <v>0</v>
      </c>
      <c r="L74" s="493">
        <f>L63*地域経済性分析・初期条件!$N$10</f>
        <v>0</v>
      </c>
      <c r="M74" s="493">
        <f>M63*地域経済性分析・初期条件!$N$10</f>
        <v>0</v>
      </c>
      <c r="N74" s="493">
        <f>N63*地域経済性分析・初期条件!$N$10</f>
        <v>0</v>
      </c>
      <c r="O74" s="493">
        <f>O63*地域経済性分析・初期条件!$N$10</f>
        <v>0</v>
      </c>
      <c r="P74" s="493">
        <f>P63*地域経済性分析・初期条件!$N$10</f>
        <v>0</v>
      </c>
      <c r="Q74" s="493">
        <f>Q63*地域経済性分析・初期条件!$N$10</f>
        <v>0</v>
      </c>
      <c r="R74" s="493">
        <f>R63*地域経済性分析・初期条件!$N$10</f>
        <v>0</v>
      </c>
      <c r="S74" s="493">
        <f>S63*地域経済性分析・初期条件!$N$10</f>
        <v>0</v>
      </c>
      <c r="T74" s="493">
        <f>T63*地域経済性分析・初期条件!$N$10</f>
        <v>0</v>
      </c>
      <c r="U74" s="493">
        <f>U63*地域経済性分析・初期条件!$N$10</f>
        <v>0</v>
      </c>
      <c r="V74" s="493">
        <f>V63*地域経済性分析・初期条件!$N$10</f>
        <v>0</v>
      </c>
      <c r="W74" s="493">
        <f>W63*地域経済性分析・初期条件!$N$10</f>
        <v>0</v>
      </c>
      <c r="X74" s="493">
        <f>X63*地域経済性分析・初期条件!$N$10</f>
        <v>0</v>
      </c>
      <c r="Y74" s="493">
        <f>Y63*地域経済性分析・初期条件!$N$10</f>
        <v>0</v>
      </c>
      <c r="Z74" s="493">
        <f>Z63*地域経済性分析・初期条件!$N$10</f>
        <v>0</v>
      </c>
      <c r="AA74" s="493">
        <f>AA63*地域経済性分析・初期条件!$N$10</f>
        <v>0</v>
      </c>
      <c r="AB74" s="493">
        <f>AB63*地域経済性分析・初期条件!$N$10</f>
        <v>0</v>
      </c>
      <c r="AC74" s="493">
        <f>AC63*地域経済性分析・初期条件!$N$10</f>
        <v>0</v>
      </c>
      <c r="AD74" s="493">
        <f>AD63*地域経済性分析・初期条件!$N$10</f>
        <v>0</v>
      </c>
      <c r="AE74" s="493">
        <f>AE63*地域経済性分析・初期条件!$N$10</f>
        <v>0</v>
      </c>
      <c r="AF74" s="493">
        <f>AF63*地域経済性分析・初期条件!$N$10</f>
        <v>0</v>
      </c>
      <c r="AG74" s="493">
        <f>AG63*地域経済性分析・初期条件!$N$10</f>
        <v>0</v>
      </c>
      <c r="AH74" s="493">
        <f>AH63*地域経済性分析・初期条件!$N$10</f>
        <v>0</v>
      </c>
      <c r="AI74" s="535">
        <f>SUM(D74:N74)</f>
        <v>0</v>
      </c>
      <c r="AJ74" s="535">
        <f t="shared" si="33"/>
        <v>0</v>
      </c>
      <c r="AK74" s="497">
        <f t="shared" si="34"/>
        <v>0</v>
      </c>
    </row>
    <row r="75" spans="1:37" ht="11.5" x14ac:dyDescent="0.25">
      <c r="A75" s="533"/>
      <c r="B75" s="439" t="s">
        <v>337</v>
      </c>
      <c r="C75" s="452" t="s">
        <v>333</v>
      </c>
      <c r="D75" s="493">
        <f>D63*地域経済性分析・初期条件!$O$10</f>
        <v>0</v>
      </c>
      <c r="E75" s="493">
        <f>E63*地域経済性分析・初期条件!$O$10</f>
        <v>0</v>
      </c>
      <c r="F75" s="493">
        <f>F63*地域経済性分析・初期条件!$O$10</f>
        <v>0</v>
      </c>
      <c r="G75" s="493">
        <f>G63*地域経済性分析・初期条件!$O$10</f>
        <v>0</v>
      </c>
      <c r="H75" s="493">
        <f>H63*地域経済性分析・初期条件!$O$10</f>
        <v>0</v>
      </c>
      <c r="I75" s="493">
        <f>I63*地域経済性分析・初期条件!$O$10</f>
        <v>0</v>
      </c>
      <c r="J75" s="493">
        <f>J63*地域経済性分析・初期条件!$O$10</f>
        <v>0</v>
      </c>
      <c r="K75" s="493">
        <f>K63*地域経済性分析・初期条件!$O$10</f>
        <v>0</v>
      </c>
      <c r="L75" s="493">
        <f>L63*地域経済性分析・初期条件!$O$10</f>
        <v>0</v>
      </c>
      <c r="M75" s="493">
        <f>M63*地域経済性分析・初期条件!$O$10</f>
        <v>0</v>
      </c>
      <c r="N75" s="493">
        <f>N63*地域経済性分析・初期条件!$O$10</f>
        <v>0</v>
      </c>
      <c r="O75" s="493">
        <f>O63*地域経済性分析・初期条件!$O$10</f>
        <v>0</v>
      </c>
      <c r="P75" s="493">
        <f>P63*地域経済性分析・初期条件!$O$10</f>
        <v>0</v>
      </c>
      <c r="Q75" s="493">
        <f>Q63*地域経済性分析・初期条件!$O$10</f>
        <v>0</v>
      </c>
      <c r="R75" s="493">
        <f>R63*地域経済性分析・初期条件!$O$10</f>
        <v>0</v>
      </c>
      <c r="S75" s="493">
        <f>S63*地域経済性分析・初期条件!$O$10</f>
        <v>0</v>
      </c>
      <c r="T75" s="493">
        <f>T63*地域経済性分析・初期条件!$O$10</f>
        <v>0</v>
      </c>
      <c r="U75" s="493">
        <f>U63*地域経済性分析・初期条件!$O$10</f>
        <v>0</v>
      </c>
      <c r="V75" s="493">
        <f>V63*地域経済性分析・初期条件!$O$10</f>
        <v>0</v>
      </c>
      <c r="W75" s="493">
        <f>W63*地域経済性分析・初期条件!$O$10</f>
        <v>0</v>
      </c>
      <c r="X75" s="493">
        <f>X63*地域経済性分析・初期条件!$O$10</f>
        <v>0</v>
      </c>
      <c r="Y75" s="493">
        <f>Y63*地域経済性分析・初期条件!$O$10</f>
        <v>0</v>
      </c>
      <c r="Z75" s="493">
        <f>Z63*地域経済性分析・初期条件!$O$10</f>
        <v>0</v>
      </c>
      <c r="AA75" s="493">
        <f>AA63*地域経済性分析・初期条件!$O$10</f>
        <v>0</v>
      </c>
      <c r="AB75" s="493">
        <f>AB63*地域経済性分析・初期条件!$O$10</f>
        <v>0</v>
      </c>
      <c r="AC75" s="493">
        <f>AC63*地域経済性分析・初期条件!$O$10</f>
        <v>0</v>
      </c>
      <c r="AD75" s="493">
        <f>AD63*地域経済性分析・初期条件!$O$10</f>
        <v>0</v>
      </c>
      <c r="AE75" s="493">
        <f>AE63*地域経済性分析・初期条件!$O$10</f>
        <v>0</v>
      </c>
      <c r="AF75" s="493">
        <f>AF63*地域経済性分析・初期条件!$O$10</f>
        <v>0</v>
      </c>
      <c r="AG75" s="493">
        <f>AG63*地域経済性分析・初期条件!$O$10</f>
        <v>0</v>
      </c>
      <c r="AH75" s="493">
        <f>AH63*地域経済性分析・初期条件!$O$10</f>
        <v>0</v>
      </c>
      <c r="AI75" s="535">
        <f>SUM(D75:N75)</f>
        <v>0</v>
      </c>
      <c r="AJ75" s="535">
        <f t="shared" si="33"/>
        <v>0</v>
      </c>
      <c r="AK75" s="497">
        <f t="shared" si="34"/>
        <v>0</v>
      </c>
    </row>
    <row r="76" spans="1:37" ht="11.5" x14ac:dyDescent="0.25">
      <c r="A76" s="488">
        <f>地域経済性分析・初期条件!G11</f>
        <v>0</v>
      </c>
      <c r="C76" s="452"/>
      <c r="D76" s="493"/>
      <c r="E76" s="493"/>
      <c r="F76" s="465"/>
      <c r="G76" s="465"/>
      <c r="H76" s="465"/>
      <c r="I76" s="465"/>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535"/>
      <c r="AJ76" s="535"/>
      <c r="AK76" s="497"/>
    </row>
    <row r="77" spans="1:37" ht="11.5" x14ac:dyDescent="0.25">
      <c r="A77" s="533" t="str">
        <f>A76&amp;B77</f>
        <v>0売上（税別）</v>
      </c>
      <c r="B77" s="439" t="s">
        <v>1092</v>
      </c>
      <c r="C77" s="451" t="s">
        <v>37</v>
      </c>
      <c r="D77" s="493">
        <f>D47*地域経済性分析・初期条件!$F$11</f>
        <v>0</v>
      </c>
      <c r="E77" s="493">
        <f>E47*地域経済性分析・初期条件!$F$11</f>
        <v>0</v>
      </c>
      <c r="F77" s="493">
        <f>F47*地域経済性分析・初期条件!$F$11</f>
        <v>0</v>
      </c>
      <c r="G77" s="493">
        <f>G47*地域経済性分析・初期条件!$F$11</f>
        <v>0</v>
      </c>
      <c r="H77" s="493">
        <f>H47*地域経済性分析・初期条件!$F$11</f>
        <v>0</v>
      </c>
      <c r="I77" s="493">
        <f>I47*地域経済性分析・初期条件!$F$11</f>
        <v>0</v>
      </c>
      <c r="J77" s="493">
        <f>J47*地域経済性分析・初期条件!$F$11</f>
        <v>0</v>
      </c>
      <c r="K77" s="493">
        <f>K47*地域経済性分析・初期条件!$F$11</f>
        <v>0</v>
      </c>
      <c r="L77" s="493">
        <f>L47*地域経済性分析・初期条件!$F$11</f>
        <v>0</v>
      </c>
      <c r="M77" s="493">
        <f>M47*地域経済性分析・初期条件!$F$11</f>
        <v>0</v>
      </c>
      <c r="N77" s="493">
        <f>N47*地域経済性分析・初期条件!$F$11</f>
        <v>0</v>
      </c>
      <c r="O77" s="493">
        <f>O47*地域経済性分析・初期条件!$F$11</f>
        <v>0</v>
      </c>
      <c r="P77" s="493">
        <f>P47*地域経済性分析・初期条件!$F$11</f>
        <v>0</v>
      </c>
      <c r="Q77" s="493">
        <f>Q47*地域経済性分析・初期条件!$F$11</f>
        <v>0</v>
      </c>
      <c r="R77" s="493">
        <f>R47*地域経済性分析・初期条件!$F$11</f>
        <v>0</v>
      </c>
      <c r="S77" s="493">
        <f>S47*地域経済性分析・初期条件!$F$11</f>
        <v>0</v>
      </c>
      <c r="T77" s="493">
        <f>T47*地域経済性分析・初期条件!$F$11</f>
        <v>0</v>
      </c>
      <c r="U77" s="493">
        <f>U47*地域経済性分析・初期条件!$F$11</f>
        <v>0</v>
      </c>
      <c r="V77" s="493">
        <f>V47*地域経済性分析・初期条件!$F$11</f>
        <v>0</v>
      </c>
      <c r="W77" s="493">
        <f>W47*地域経済性分析・初期条件!$F$11</f>
        <v>0</v>
      </c>
      <c r="X77" s="493">
        <f>X47*地域経済性分析・初期条件!$F$11</f>
        <v>0</v>
      </c>
      <c r="Y77" s="493">
        <f>Y47*地域経済性分析・初期条件!$F$11</f>
        <v>0</v>
      </c>
      <c r="Z77" s="493">
        <f>Z47*地域経済性分析・初期条件!$F$11</f>
        <v>0</v>
      </c>
      <c r="AA77" s="493">
        <f>AA47*地域経済性分析・初期条件!$F$11</f>
        <v>0</v>
      </c>
      <c r="AB77" s="493">
        <f>AB47*地域経済性分析・初期条件!$F$11</f>
        <v>0</v>
      </c>
      <c r="AC77" s="493">
        <f>AC47*地域経済性分析・初期条件!$F$11</f>
        <v>0</v>
      </c>
      <c r="AD77" s="493">
        <f>AD47*地域経済性分析・初期条件!$F$11</f>
        <v>0</v>
      </c>
      <c r="AE77" s="493">
        <f>AE47*地域経済性分析・初期条件!$F$11</f>
        <v>0</v>
      </c>
      <c r="AF77" s="493">
        <f>AF47*地域経済性分析・初期条件!$F$11</f>
        <v>0</v>
      </c>
      <c r="AG77" s="493">
        <f>AG47*地域経済性分析・初期条件!$F$11</f>
        <v>0</v>
      </c>
      <c r="AH77" s="493">
        <f>AH47*地域経済性分析・初期条件!$F$11</f>
        <v>0</v>
      </c>
      <c r="AI77" s="535">
        <f t="shared" ref="AI77:AI85" si="35">SUM(D77:N77)</f>
        <v>0</v>
      </c>
      <c r="AJ77" s="535">
        <f>SUM(D77:X77)</f>
        <v>0</v>
      </c>
      <c r="AK77" s="497">
        <f>SUM(D77:AH77)</f>
        <v>0</v>
      </c>
    </row>
    <row r="78" spans="1:37" ht="11.5" x14ac:dyDescent="0.25">
      <c r="A78" s="533"/>
      <c r="B78" s="439" t="s">
        <v>1136</v>
      </c>
      <c r="C78" s="451" t="s">
        <v>37</v>
      </c>
      <c r="D78" s="493">
        <f>D77*波及効果シート!$D$72</f>
        <v>0</v>
      </c>
      <c r="E78" s="493">
        <f>E77*波及効果シート!$D$72</f>
        <v>0</v>
      </c>
      <c r="F78" s="493">
        <f>F77*波及効果シート!$D$72</f>
        <v>0</v>
      </c>
      <c r="G78" s="493">
        <f>G77*波及効果シート!$D$72</f>
        <v>0</v>
      </c>
      <c r="H78" s="493">
        <f>H77*波及効果シート!$D$72</f>
        <v>0</v>
      </c>
      <c r="I78" s="493">
        <f>I77*波及効果シート!$D$72</f>
        <v>0</v>
      </c>
      <c r="J78" s="493">
        <f>J77*波及効果シート!$D$72</f>
        <v>0</v>
      </c>
      <c r="K78" s="493">
        <f>K77*波及効果シート!$D$72</f>
        <v>0</v>
      </c>
      <c r="L78" s="493">
        <f>L77*波及効果シート!$D$72</f>
        <v>0</v>
      </c>
      <c r="M78" s="493">
        <f>M77*波及効果シート!$D$72</f>
        <v>0</v>
      </c>
      <c r="N78" s="493">
        <f>N77*波及効果シート!$D$72</f>
        <v>0</v>
      </c>
      <c r="O78" s="493">
        <f>O77*波及効果シート!$D$72</f>
        <v>0</v>
      </c>
      <c r="P78" s="493">
        <f>P77*波及効果シート!$D$72</f>
        <v>0</v>
      </c>
      <c r="Q78" s="493">
        <f>Q77*波及効果シート!$D$72</f>
        <v>0</v>
      </c>
      <c r="R78" s="493">
        <f>R77*波及効果シート!$D$72</f>
        <v>0</v>
      </c>
      <c r="S78" s="493">
        <f>S77*波及効果シート!$D$72</f>
        <v>0</v>
      </c>
      <c r="T78" s="493">
        <f>T77*波及効果シート!$D$72</f>
        <v>0</v>
      </c>
      <c r="U78" s="493">
        <f>U77*波及効果シート!$D$72</f>
        <v>0</v>
      </c>
      <c r="V78" s="493">
        <f>V77*波及効果シート!$D$72</f>
        <v>0</v>
      </c>
      <c r="W78" s="493">
        <f>W77*波及効果シート!$D$72</f>
        <v>0</v>
      </c>
      <c r="X78" s="493">
        <f>X77*波及効果シート!$D$72</f>
        <v>0</v>
      </c>
      <c r="Y78" s="493">
        <f>Y77*波及効果シート!$D$72</f>
        <v>0</v>
      </c>
      <c r="Z78" s="493">
        <f>Z77*波及効果シート!$D$72</f>
        <v>0</v>
      </c>
      <c r="AA78" s="493">
        <f>AA77*波及効果シート!$D$72</f>
        <v>0</v>
      </c>
      <c r="AB78" s="493">
        <f>AB77*波及効果シート!$D$72</f>
        <v>0</v>
      </c>
      <c r="AC78" s="493">
        <f>AC77*波及効果シート!$D$72</f>
        <v>0</v>
      </c>
      <c r="AD78" s="493">
        <f>AD77*波及効果シート!$D$72</f>
        <v>0</v>
      </c>
      <c r="AE78" s="493">
        <f>AE77*波及効果シート!$D$72</f>
        <v>0</v>
      </c>
      <c r="AF78" s="493">
        <f>AF77*波及効果シート!$D$72</f>
        <v>0</v>
      </c>
      <c r="AG78" s="493">
        <f>AG77*波及効果シート!$D$72</f>
        <v>0</v>
      </c>
      <c r="AH78" s="493">
        <f>AH77*波及効果シート!$D$72</f>
        <v>0</v>
      </c>
      <c r="AI78" s="535">
        <f t="shared" ref="AI78:AI79" si="36">SUM(D78:N78)</f>
        <v>0</v>
      </c>
      <c r="AJ78" s="535">
        <f t="shared" ref="AJ78:AJ79" si="37">SUM(D78:X78)</f>
        <v>0</v>
      </c>
      <c r="AK78" s="497">
        <f t="shared" ref="AK78:AK79" si="38">SUM(D78:AH78)</f>
        <v>0</v>
      </c>
    </row>
    <row r="79" spans="1:37" ht="11.5" x14ac:dyDescent="0.25">
      <c r="A79" s="533"/>
      <c r="B79" s="439" t="s">
        <v>1137</v>
      </c>
      <c r="C79" s="452" t="s">
        <v>37</v>
      </c>
      <c r="D79" s="493">
        <f>D77*波及効果シート!$D$74</f>
        <v>0</v>
      </c>
      <c r="E79" s="493">
        <f>E77*波及効果シート!$D$74</f>
        <v>0</v>
      </c>
      <c r="F79" s="493">
        <f>F77*波及効果シート!$D$74</f>
        <v>0</v>
      </c>
      <c r="G79" s="493">
        <f>G77*波及効果シート!$D$74</f>
        <v>0</v>
      </c>
      <c r="H79" s="493">
        <f>H77*波及効果シート!$D$74</f>
        <v>0</v>
      </c>
      <c r="I79" s="493">
        <f>I77*波及効果シート!$D$74</f>
        <v>0</v>
      </c>
      <c r="J79" s="493">
        <f>J77*波及効果シート!$D$74</f>
        <v>0</v>
      </c>
      <c r="K79" s="493">
        <f>K77*波及効果シート!$D$74</f>
        <v>0</v>
      </c>
      <c r="L79" s="493">
        <f>L77*波及効果シート!$D$74</f>
        <v>0</v>
      </c>
      <c r="M79" s="493">
        <f>M77*波及効果シート!$D$74</f>
        <v>0</v>
      </c>
      <c r="N79" s="493">
        <f>N77*波及効果シート!$D$74</f>
        <v>0</v>
      </c>
      <c r="O79" s="493">
        <f>O77*波及効果シート!$D$74</f>
        <v>0</v>
      </c>
      <c r="P79" s="493">
        <f>P77*波及効果シート!$D$74</f>
        <v>0</v>
      </c>
      <c r="Q79" s="493">
        <f>Q77*波及効果シート!$D$74</f>
        <v>0</v>
      </c>
      <c r="R79" s="493">
        <f>R77*波及効果シート!$D$74</f>
        <v>0</v>
      </c>
      <c r="S79" s="493">
        <f>S77*波及効果シート!$D$74</f>
        <v>0</v>
      </c>
      <c r="T79" s="493">
        <f>T77*波及効果シート!$D$74</f>
        <v>0</v>
      </c>
      <c r="U79" s="493">
        <f>U77*波及効果シート!$D$74</f>
        <v>0</v>
      </c>
      <c r="V79" s="493">
        <f>V77*波及効果シート!$D$74</f>
        <v>0</v>
      </c>
      <c r="W79" s="493">
        <f>W77*波及効果シート!$D$74</f>
        <v>0</v>
      </c>
      <c r="X79" s="493">
        <f>X77*波及効果シート!$D$74</f>
        <v>0</v>
      </c>
      <c r="Y79" s="493">
        <f>Y77*波及効果シート!$D$74</f>
        <v>0</v>
      </c>
      <c r="Z79" s="493">
        <f>Z77*波及効果シート!$D$74</f>
        <v>0</v>
      </c>
      <c r="AA79" s="493">
        <f>AA77*波及効果シート!$D$74</f>
        <v>0</v>
      </c>
      <c r="AB79" s="493">
        <f>AB77*波及効果シート!$D$74</f>
        <v>0</v>
      </c>
      <c r="AC79" s="493">
        <f>AC77*波及効果シート!$D$74</f>
        <v>0</v>
      </c>
      <c r="AD79" s="493">
        <f>AD77*波及効果シート!$D$74</f>
        <v>0</v>
      </c>
      <c r="AE79" s="493">
        <f>AE77*波及効果シート!$D$74</f>
        <v>0</v>
      </c>
      <c r="AF79" s="493">
        <f>AF77*波及効果シート!$D$74</f>
        <v>0</v>
      </c>
      <c r="AG79" s="493">
        <f>AG77*波及効果シート!$D$74</f>
        <v>0</v>
      </c>
      <c r="AH79" s="493">
        <f>AH77*波及効果シート!$D$74</f>
        <v>0</v>
      </c>
      <c r="AI79" s="535">
        <f t="shared" si="36"/>
        <v>0</v>
      </c>
      <c r="AJ79" s="535">
        <f t="shared" si="37"/>
        <v>0</v>
      </c>
      <c r="AK79" s="497">
        <f t="shared" si="38"/>
        <v>0</v>
      </c>
    </row>
    <row r="80" spans="1:37" ht="11.5" x14ac:dyDescent="0.25">
      <c r="A80" s="533"/>
      <c r="B80" s="439" t="s">
        <v>351</v>
      </c>
      <c r="C80" s="452" t="s">
        <v>333</v>
      </c>
      <c r="D80" s="493">
        <f>D77*地域経済性分析・初期条件!$P$11</f>
        <v>0</v>
      </c>
      <c r="E80" s="493">
        <f>E77*地域経済性分析・初期条件!$P$11</f>
        <v>0</v>
      </c>
      <c r="F80" s="493">
        <f>F77*地域経済性分析・初期条件!$P$11</f>
        <v>0</v>
      </c>
      <c r="G80" s="493">
        <f>G77*地域経済性分析・初期条件!$P$11</f>
        <v>0</v>
      </c>
      <c r="H80" s="493">
        <f>H77*地域経済性分析・初期条件!$P$11</f>
        <v>0</v>
      </c>
      <c r="I80" s="493">
        <f>I77*地域経済性分析・初期条件!$P$11</f>
        <v>0</v>
      </c>
      <c r="J80" s="493">
        <f>J77*地域経済性分析・初期条件!$P$11</f>
        <v>0</v>
      </c>
      <c r="K80" s="493">
        <f>K77*地域経済性分析・初期条件!$P$11</f>
        <v>0</v>
      </c>
      <c r="L80" s="493">
        <f>L77*地域経済性分析・初期条件!$P$11</f>
        <v>0</v>
      </c>
      <c r="M80" s="493">
        <f>M77*地域経済性分析・初期条件!$P$11</f>
        <v>0</v>
      </c>
      <c r="N80" s="493">
        <f>N77*地域経済性分析・初期条件!$P$11</f>
        <v>0</v>
      </c>
      <c r="O80" s="493">
        <f>O77*地域経済性分析・初期条件!$P$11</f>
        <v>0</v>
      </c>
      <c r="P80" s="493">
        <f>P77*地域経済性分析・初期条件!$P$11</f>
        <v>0</v>
      </c>
      <c r="Q80" s="493">
        <f>Q77*地域経済性分析・初期条件!$P$11</f>
        <v>0</v>
      </c>
      <c r="R80" s="493">
        <f>R77*地域経済性分析・初期条件!$P$11</f>
        <v>0</v>
      </c>
      <c r="S80" s="493">
        <f>S77*地域経済性分析・初期条件!$P$11</f>
        <v>0</v>
      </c>
      <c r="T80" s="493">
        <f>T77*地域経済性分析・初期条件!$P$11</f>
        <v>0</v>
      </c>
      <c r="U80" s="493">
        <f>U77*地域経済性分析・初期条件!$P$11</f>
        <v>0</v>
      </c>
      <c r="V80" s="493">
        <f>V77*地域経済性分析・初期条件!$P$11</f>
        <v>0</v>
      </c>
      <c r="W80" s="493">
        <f>W77*地域経済性分析・初期条件!$P$11</f>
        <v>0</v>
      </c>
      <c r="X80" s="493">
        <f>X77*地域経済性分析・初期条件!$P$11</f>
        <v>0</v>
      </c>
      <c r="Y80" s="493">
        <f>Y77*地域経済性分析・初期条件!$P$11</f>
        <v>0</v>
      </c>
      <c r="Z80" s="493">
        <f>Z77*地域経済性分析・初期条件!$P$11</f>
        <v>0</v>
      </c>
      <c r="AA80" s="493">
        <f>AA77*地域経済性分析・初期条件!$P$11</f>
        <v>0</v>
      </c>
      <c r="AB80" s="493">
        <f>AB77*地域経済性分析・初期条件!$P$11</f>
        <v>0</v>
      </c>
      <c r="AC80" s="493">
        <f>AC77*地域経済性分析・初期条件!$P$11</f>
        <v>0</v>
      </c>
      <c r="AD80" s="493">
        <f>AD77*地域経済性分析・初期条件!$P$11</f>
        <v>0</v>
      </c>
      <c r="AE80" s="493">
        <f>AE77*地域経済性分析・初期条件!$P$11</f>
        <v>0</v>
      </c>
      <c r="AF80" s="493">
        <f>AF77*地域経済性分析・初期条件!$P$11</f>
        <v>0</v>
      </c>
      <c r="AG80" s="493">
        <f>AG77*地域経済性分析・初期条件!$P$11</f>
        <v>0</v>
      </c>
      <c r="AH80" s="493">
        <f>AH77*地域経済性分析・初期条件!$P$11</f>
        <v>0</v>
      </c>
      <c r="AI80" s="535">
        <f t="shared" si="35"/>
        <v>0</v>
      </c>
      <c r="AJ80" s="535">
        <f>SUM(D80:X80)</f>
        <v>0</v>
      </c>
      <c r="AK80" s="497">
        <f>SUM(D80:AH80)</f>
        <v>0</v>
      </c>
    </row>
    <row r="81" spans="1:37" ht="11.5" x14ac:dyDescent="0.25">
      <c r="A81" s="533"/>
      <c r="B81" s="439" t="s">
        <v>350</v>
      </c>
      <c r="C81" s="452" t="s">
        <v>333</v>
      </c>
      <c r="D81" s="493">
        <f>D77*地域経済性分析・初期条件!$Q$11</f>
        <v>0</v>
      </c>
      <c r="E81" s="493">
        <f>E77*地域経済性分析・初期条件!$Q$11</f>
        <v>0</v>
      </c>
      <c r="F81" s="493">
        <f>F77*地域経済性分析・初期条件!$Q$11</f>
        <v>0</v>
      </c>
      <c r="G81" s="493">
        <f>G77*地域経済性分析・初期条件!$Q$11</f>
        <v>0</v>
      </c>
      <c r="H81" s="493">
        <f>H77*地域経済性分析・初期条件!$Q$11</f>
        <v>0</v>
      </c>
      <c r="I81" s="493">
        <f>I77*地域経済性分析・初期条件!$Q$11</f>
        <v>0</v>
      </c>
      <c r="J81" s="493">
        <f>J77*地域経済性分析・初期条件!$Q$11</f>
        <v>0</v>
      </c>
      <c r="K81" s="493">
        <f>K77*地域経済性分析・初期条件!$Q$11</f>
        <v>0</v>
      </c>
      <c r="L81" s="493">
        <f>L77*地域経済性分析・初期条件!$Q$11</f>
        <v>0</v>
      </c>
      <c r="M81" s="493">
        <f>M77*地域経済性分析・初期条件!$Q$11</f>
        <v>0</v>
      </c>
      <c r="N81" s="493">
        <f>N77*地域経済性分析・初期条件!$Q$11</f>
        <v>0</v>
      </c>
      <c r="O81" s="493">
        <f>O77*地域経済性分析・初期条件!$Q$11</f>
        <v>0</v>
      </c>
      <c r="P81" s="493">
        <f>P77*地域経済性分析・初期条件!$Q$11</f>
        <v>0</v>
      </c>
      <c r="Q81" s="493">
        <f>Q77*地域経済性分析・初期条件!$Q$11</f>
        <v>0</v>
      </c>
      <c r="R81" s="493">
        <f>R77*地域経済性分析・初期条件!$Q$11</f>
        <v>0</v>
      </c>
      <c r="S81" s="493">
        <f>S77*地域経済性分析・初期条件!$Q$11</f>
        <v>0</v>
      </c>
      <c r="T81" s="493">
        <f>T77*地域経済性分析・初期条件!$Q$11</f>
        <v>0</v>
      </c>
      <c r="U81" s="493">
        <f>U77*地域経済性分析・初期条件!$Q$11</f>
        <v>0</v>
      </c>
      <c r="V81" s="493">
        <f>V77*地域経済性分析・初期条件!$Q$11</f>
        <v>0</v>
      </c>
      <c r="W81" s="493">
        <f>W77*地域経済性分析・初期条件!$Q$11</f>
        <v>0</v>
      </c>
      <c r="X81" s="493">
        <f>X77*地域経済性分析・初期条件!$Q$11</f>
        <v>0</v>
      </c>
      <c r="Y81" s="493">
        <f>Y77*地域経済性分析・初期条件!$Q$11</f>
        <v>0</v>
      </c>
      <c r="Z81" s="493">
        <f>Z77*地域経済性分析・初期条件!$Q$11</f>
        <v>0</v>
      </c>
      <c r="AA81" s="493">
        <f>AA77*地域経済性分析・初期条件!$Q$11</f>
        <v>0</v>
      </c>
      <c r="AB81" s="493">
        <f>AB77*地域経済性分析・初期条件!$Q$11</f>
        <v>0</v>
      </c>
      <c r="AC81" s="493">
        <f>AC77*地域経済性分析・初期条件!$Q$11</f>
        <v>0</v>
      </c>
      <c r="AD81" s="493">
        <f>AD77*地域経済性分析・初期条件!$Q$11</f>
        <v>0</v>
      </c>
      <c r="AE81" s="493">
        <f>AE77*地域経済性分析・初期条件!$Q$11</f>
        <v>0</v>
      </c>
      <c r="AF81" s="493">
        <f>AF77*地域経済性分析・初期条件!$Q$11</f>
        <v>0</v>
      </c>
      <c r="AG81" s="493">
        <f>AG77*地域経済性分析・初期条件!$Q$11</f>
        <v>0</v>
      </c>
      <c r="AH81" s="493">
        <f>AH77*地域経済性分析・初期条件!$Q$11</f>
        <v>0</v>
      </c>
      <c r="AI81" s="535">
        <f t="shared" si="35"/>
        <v>0</v>
      </c>
      <c r="AJ81" s="535">
        <f>SUM(D81:X81)</f>
        <v>0</v>
      </c>
      <c r="AK81" s="497">
        <f>SUM(D81:AH81)</f>
        <v>0</v>
      </c>
    </row>
    <row r="82" spans="1:37" ht="11.5" x14ac:dyDescent="0.25">
      <c r="A82" s="533" t="str">
        <f>A76&amp;B82</f>
        <v>0従業員の可処分所得（一次）</v>
      </c>
      <c r="B82" s="439" t="s">
        <v>329</v>
      </c>
      <c r="C82" s="451" t="s">
        <v>37</v>
      </c>
      <c r="D82" s="493">
        <f>D77*地域経済性分析・初期条件!$H$11</f>
        <v>0</v>
      </c>
      <c r="E82" s="493">
        <f>E77*地域経済性分析・初期条件!$H$11</f>
        <v>0</v>
      </c>
      <c r="F82" s="465">
        <f>F77*地域経済性分析・初期条件!$H$11</f>
        <v>0</v>
      </c>
      <c r="G82" s="465">
        <f>G77*地域経済性分析・初期条件!$H$11</f>
        <v>0</v>
      </c>
      <c r="H82" s="465">
        <f>H77*地域経済性分析・初期条件!$H$11</f>
        <v>0</v>
      </c>
      <c r="I82" s="465">
        <f>I77*地域経済性分析・初期条件!$H$11</f>
        <v>0</v>
      </c>
      <c r="J82" s="465">
        <f>J77*地域経済性分析・初期条件!$H$11</f>
        <v>0</v>
      </c>
      <c r="K82" s="465">
        <f>K77*地域経済性分析・初期条件!$H$11</f>
        <v>0</v>
      </c>
      <c r="L82" s="465">
        <f>L77*地域経済性分析・初期条件!$H$11</f>
        <v>0</v>
      </c>
      <c r="M82" s="465">
        <f>M77*地域経済性分析・初期条件!$H$11</f>
        <v>0</v>
      </c>
      <c r="N82" s="465">
        <f>N77*地域経済性分析・初期条件!$H$11</f>
        <v>0</v>
      </c>
      <c r="O82" s="465">
        <f>O77*地域経済性分析・初期条件!$H$11</f>
        <v>0</v>
      </c>
      <c r="P82" s="465">
        <f>P77*地域経済性分析・初期条件!$H$11</f>
        <v>0</v>
      </c>
      <c r="Q82" s="465">
        <f>Q77*地域経済性分析・初期条件!$H$11</f>
        <v>0</v>
      </c>
      <c r="R82" s="465">
        <f>R77*地域経済性分析・初期条件!$H$11</f>
        <v>0</v>
      </c>
      <c r="S82" s="465">
        <f>S77*地域経済性分析・初期条件!$H$11</f>
        <v>0</v>
      </c>
      <c r="T82" s="465">
        <f>T77*地域経済性分析・初期条件!$H$11</f>
        <v>0</v>
      </c>
      <c r="U82" s="465">
        <f>U77*地域経済性分析・初期条件!$H$11</f>
        <v>0</v>
      </c>
      <c r="V82" s="465">
        <f>V77*地域経済性分析・初期条件!$H$11</f>
        <v>0</v>
      </c>
      <c r="W82" s="465">
        <f>W77*地域経済性分析・初期条件!$H$11</f>
        <v>0</v>
      </c>
      <c r="X82" s="465">
        <f>X77*地域経済性分析・初期条件!$H$11</f>
        <v>0</v>
      </c>
      <c r="Y82" s="465">
        <f>Y77*地域経済性分析・初期条件!$H$11</f>
        <v>0</v>
      </c>
      <c r="Z82" s="465">
        <f>Z77*地域経済性分析・初期条件!$H$11</f>
        <v>0</v>
      </c>
      <c r="AA82" s="465">
        <f>AA77*地域経済性分析・初期条件!$H$11</f>
        <v>0</v>
      </c>
      <c r="AB82" s="465">
        <f>AB77*地域経済性分析・初期条件!$H$11</f>
        <v>0</v>
      </c>
      <c r="AC82" s="465">
        <f>AC77*地域経済性分析・初期条件!$H$11</f>
        <v>0</v>
      </c>
      <c r="AD82" s="465">
        <f>AD77*地域経済性分析・初期条件!$H$11</f>
        <v>0</v>
      </c>
      <c r="AE82" s="465">
        <f>AE77*地域経済性分析・初期条件!$H$11</f>
        <v>0</v>
      </c>
      <c r="AF82" s="465">
        <f>AF77*地域経済性分析・初期条件!$H$11</f>
        <v>0</v>
      </c>
      <c r="AG82" s="465">
        <f>AG77*地域経済性分析・初期条件!$H$11</f>
        <v>0</v>
      </c>
      <c r="AH82" s="465">
        <f>AH77*地域経済性分析・初期条件!$H$11</f>
        <v>0</v>
      </c>
      <c r="AI82" s="535">
        <f t="shared" si="35"/>
        <v>0</v>
      </c>
      <c r="AJ82" s="535">
        <f t="shared" ref="AJ82:AJ89" si="39">SUM(D82:X82)</f>
        <v>0</v>
      </c>
      <c r="AK82" s="497">
        <f t="shared" ref="AK82:AK89" si="40">SUM(D82:AH82)</f>
        <v>0</v>
      </c>
    </row>
    <row r="83" spans="1:37" ht="11.5" x14ac:dyDescent="0.25">
      <c r="A83" s="533" t="str">
        <f>A76&amp;B83</f>
        <v>0企業の税引後利益（一次）</v>
      </c>
      <c r="B83" s="439" t="s">
        <v>330</v>
      </c>
      <c r="C83" s="451" t="s">
        <v>37</v>
      </c>
      <c r="D83" s="493">
        <f>D77*地域経済性分析・初期条件!$I$11</f>
        <v>0</v>
      </c>
      <c r="E83" s="493">
        <f>E77*地域経済性分析・初期条件!$I$11</f>
        <v>0</v>
      </c>
      <c r="F83" s="465">
        <f>F77*地域経済性分析・初期条件!$I$11</f>
        <v>0</v>
      </c>
      <c r="G83" s="465">
        <f>G77*地域経済性分析・初期条件!$I$11</f>
        <v>0</v>
      </c>
      <c r="H83" s="465">
        <f>H77*地域経済性分析・初期条件!$I$11</f>
        <v>0</v>
      </c>
      <c r="I83" s="465">
        <f>I77*地域経済性分析・初期条件!$I$11</f>
        <v>0</v>
      </c>
      <c r="J83" s="465">
        <f>J77*地域経済性分析・初期条件!$I$11</f>
        <v>0</v>
      </c>
      <c r="K83" s="465">
        <f>K77*地域経済性分析・初期条件!$I$11</f>
        <v>0</v>
      </c>
      <c r="L83" s="465">
        <f>L77*地域経済性分析・初期条件!$I$11</f>
        <v>0</v>
      </c>
      <c r="M83" s="465">
        <f>M77*地域経済性分析・初期条件!$I$11</f>
        <v>0</v>
      </c>
      <c r="N83" s="465">
        <f>N77*地域経済性分析・初期条件!$I$11</f>
        <v>0</v>
      </c>
      <c r="O83" s="465">
        <f>O77*地域経済性分析・初期条件!$I$11</f>
        <v>0</v>
      </c>
      <c r="P83" s="465">
        <f>P77*地域経済性分析・初期条件!$I$11</f>
        <v>0</v>
      </c>
      <c r="Q83" s="465">
        <f>Q77*地域経済性分析・初期条件!$I$11</f>
        <v>0</v>
      </c>
      <c r="R83" s="465">
        <f>R77*地域経済性分析・初期条件!$I$11</f>
        <v>0</v>
      </c>
      <c r="S83" s="465">
        <f>S77*地域経済性分析・初期条件!$I$11</f>
        <v>0</v>
      </c>
      <c r="T83" s="465">
        <f>T77*地域経済性分析・初期条件!$I$11</f>
        <v>0</v>
      </c>
      <c r="U83" s="465">
        <f>U77*地域経済性分析・初期条件!$I$11</f>
        <v>0</v>
      </c>
      <c r="V83" s="465">
        <f>V77*地域経済性分析・初期条件!$I$11</f>
        <v>0</v>
      </c>
      <c r="W83" s="465">
        <f>W77*地域経済性分析・初期条件!$I$11</f>
        <v>0</v>
      </c>
      <c r="X83" s="465">
        <f>X77*地域経済性分析・初期条件!$I$11</f>
        <v>0</v>
      </c>
      <c r="Y83" s="465">
        <f>Y77*地域経済性分析・初期条件!$I$11</f>
        <v>0</v>
      </c>
      <c r="Z83" s="465">
        <f>Z77*地域経済性分析・初期条件!$I$11</f>
        <v>0</v>
      </c>
      <c r="AA83" s="465">
        <f>AA77*地域経済性分析・初期条件!$I$11</f>
        <v>0</v>
      </c>
      <c r="AB83" s="465">
        <f>AB77*地域経済性分析・初期条件!$I$11</f>
        <v>0</v>
      </c>
      <c r="AC83" s="465">
        <f>AC77*地域経済性分析・初期条件!$I$11</f>
        <v>0</v>
      </c>
      <c r="AD83" s="465">
        <f>AD77*地域経済性分析・初期条件!$I$11</f>
        <v>0</v>
      </c>
      <c r="AE83" s="465">
        <f>AE77*地域経済性分析・初期条件!$I$11</f>
        <v>0</v>
      </c>
      <c r="AF83" s="465">
        <f>AF77*地域経済性分析・初期条件!$I$11</f>
        <v>0</v>
      </c>
      <c r="AG83" s="465">
        <f>AG77*地域経済性分析・初期条件!$I$11</f>
        <v>0</v>
      </c>
      <c r="AH83" s="465">
        <f>AH77*地域経済性分析・初期条件!$I$11</f>
        <v>0</v>
      </c>
      <c r="AI83" s="535">
        <f t="shared" si="35"/>
        <v>0</v>
      </c>
      <c r="AJ83" s="535">
        <f t="shared" si="39"/>
        <v>0</v>
      </c>
      <c r="AK83" s="497">
        <f t="shared" si="40"/>
        <v>0</v>
      </c>
    </row>
    <row r="84" spans="1:37" ht="11.5" x14ac:dyDescent="0.25">
      <c r="A84" s="533" t="str">
        <f>A76&amp;B84</f>
        <v>0都道府県税収（一次）</v>
      </c>
      <c r="B84" s="439" t="s">
        <v>331</v>
      </c>
      <c r="C84" s="451" t="s">
        <v>37</v>
      </c>
      <c r="D84" s="493">
        <f>D77*地域経済性分析・初期条件!$J$11</f>
        <v>0</v>
      </c>
      <c r="E84" s="493">
        <f>E77*地域経済性分析・初期条件!$J$11</f>
        <v>0</v>
      </c>
      <c r="F84" s="465">
        <f>F77*地域経済性分析・初期条件!$J$11</f>
        <v>0</v>
      </c>
      <c r="G84" s="465">
        <f>G77*地域経済性分析・初期条件!$J$11</f>
        <v>0</v>
      </c>
      <c r="H84" s="465">
        <f>H77*地域経済性分析・初期条件!$J$11</f>
        <v>0</v>
      </c>
      <c r="I84" s="465">
        <f>I77*地域経済性分析・初期条件!$J$11</f>
        <v>0</v>
      </c>
      <c r="J84" s="465">
        <f>J77*地域経済性分析・初期条件!$J$11</f>
        <v>0</v>
      </c>
      <c r="K84" s="465">
        <f>K77*地域経済性分析・初期条件!$J$11</f>
        <v>0</v>
      </c>
      <c r="L84" s="465">
        <f>L77*地域経済性分析・初期条件!$J$11</f>
        <v>0</v>
      </c>
      <c r="M84" s="465">
        <f>M77*地域経済性分析・初期条件!$J$11</f>
        <v>0</v>
      </c>
      <c r="N84" s="465">
        <f>N77*地域経済性分析・初期条件!$J$11</f>
        <v>0</v>
      </c>
      <c r="O84" s="465">
        <f>O77*地域経済性分析・初期条件!$J$11</f>
        <v>0</v>
      </c>
      <c r="P84" s="465">
        <f>P77*地域経済性分析・初期条件!$J$11</f>
        <v>0</v>
      </c>
      <c r="Q84" s="465">
        <f>Q77*地域経済性分析・初期条件!$J$11</f>
        <v>0</v>
      </c>
      <c r="R84" s="465">
        <f>R77*地域経済性分析・初期条件!$J$11</f>
        <v>0</v>
      </c>
      <c r="S84" s="465">
        <f>S77*地域経済性分析・初期条件!$J$11</f>
        <v>0</v>
      </c>
      <c r="T84" s="465">
        <f>T77*地域経済性分析・初期条件!$J$11</f>
        <v>0</v>
      </c>
      <c r="U84" s="465">
        <f>U77*地域経済性分析・初期条件!$J$11</f>
        <v>0</v>
      </c>
      <c r="V84" s="465">
        <f>V77*地域経済性分析・初期条件!$J$11</f>
        <v>0</v>
      </c>
      <c r="W84" s="465">
        <f>W77*地域経済性分析・初期条件!$J$11</f>
        <v>0</v>
      </c>
      <c r="X84" s="465">
        <f>X77*地域経済性分析・初期条件!$J$11</f>
        <v>0</v>
      </c>
      <c r="Y84" s="465">
        <f>Y77*地域経済性分析・初期条件!$J$11</f>
        <v>0</v>
      </c>
      <c r="Z84" s="465">
        <f>Z77*地域経済性分析・初期条件!$J$11</f>
        <v>0</v>
      </c>
      <c r="AA84" s="465">
        <f>AA77*地域経済性分析・初期条件!$J$11</f>
        <v>0</v>
      </c>
      <c r="AB84" s="465">
        <f>AB77*地域経済性分析・初期条件!$J$11</f>
        <v>0</v>
      </c>
      <c r="AC84" s="465">
        <f>AC77*地域経済性分析・初期条件!$J$11</f>
        <v>0</v>
      </c>
      <c r="AD84" s="465">
        <f>AD77*地域経済性分析・初期条件!$J$11</f>
        <v>0</v>
      </c>
      <c r="AE84" s="465">
        <f>AE77*地域経済性分析・初期条件!$J$11</f>
        <v>0</v>
      </c>
      <c r="AF84" s="465">
        <f>AF77*地域経済性分析・初期条件!$J$11</f>
        <v>0</v>
      </c>
      <c r="AG84" s="465">
        <f>AG77*地域経済性分析・初期条件!$J$11</f>
        <v>0</v>
      </c>
      <c r="AH84" s="465">
        <f>AH77*地域経済性分析・初期条件!$J$11</f>
        <v>0</v>
      </c>
      <c r="AI84" s="535">
        <f t="shared" si="35"/>
        <v>0</v>
      </c>
      <c r="AJ84" s="535">
        <f t="shared" si="39"/>
        <v>0</v>
      </c>
      <c r="AK84" s="497">
        <f t="shared" si="40"/>
        <v>0</v>
      </c>
    </row>
    <row r="85" spans="1:37" ht="11.5" x14ac:dyDescent="0.25">
      <c r="A85" s="533" t="str">
        <f>A76&amp;B85</f>
        <v>0市町村税収（一次）</v>
      </c>
      <c r="B85" s="439" t="s">
        <v>332</v>
      </c>
      <c r="C85" s="452" t="s">
        <v>37</v>
      </c>
      <c r="D85" s="493">
        <f>D77*地域経済性分析・初期条件!$K$11</f>
        <v>0</v>
      </c>
      <c r="E85" s="465">
        <f>E77*地域経済性分析・初期条件!$K$11</f>
        <v>0</v>
      </c>
      <c r="F85" s="465">
        <f>F77*地域経済性分析・初期条件!$K$11</f>
        <v>0</v>
      </c>
      <c r="G85" s="465">
        <f>G77*地域経済性分析・初期条件!$K$11</f>
        <v>0</v>
      </c>
      <c r="H85" s="465">
        <f>H77*地域経済性分析・初期条件!$K$11</f>
        <v>0</v>
      </c>
      <c r="I85" s="465">
        <f>I77*地域経済性分析・初期条件!$K$11</f>
        <v>0</v>
      </c>
      <c r="J85" s="465">
        <f>J77*地域経済性分析・初期条件!$K$11</f>
        <v>0</v>
      </c>
      <c r="K85" s="465">
        <f>K77*地域経済性分析・初期条件!$K$11</f>
        <v>0</v>
      </c>
      <c r="L85" s="465">
        <f>L77*地域経済性分析・初期条件!$K$11</f>
        <v>0</v>
      </c>
      <c r="M85" s="465">
        <f>M77*地域経済性分析・初期条件!$K$11</f>
        <v>0</v>
      </c>
      <c r="N85" s="465">
        <f>N77*地域経済性分析・初期条件!$K$11</f>
        <v>0</v>
      </c>
      <c r="O85" s="465">
        <f>O77*地域経済性分析・初期条件!$K$11</f>
        <v>0</v>
      </c>
      <c r="P85" s="465">
        <f>P77*地域経済性分析・初期条件!$K$11</f>
        <v>0</v>
      </c>
      <c r="Q85" s="465">
        <f>Q77*地域経済性分析・初期条件!$K$11</f>
        <v>0</v>
      </c>
      <c r="R85" s="465">
        <f>R77*地域経済性分析・初期条件!$K$11</f>
        <v>0</v>
      </c>
      <c r="S85" s="465">
        <f>S77*地域経済性分析・初期条件!$K$11</f>
        <v>0</v>
      </c>
      <c r="T85" s="465">
        <f>T77*地域経済性分析・初期条件!$K$11</f>
        <v>0</v>
      </c>
      <c r="U85" s="465">
        <f>U77*地域経済性分析・初期条件!$K$11</f>
        <v>0</v>
      </c>
      <c r="V85" s="465">
        <f>V77*地域経済性分析・初期条件!$K$11</f>
        <v>0</v>
      </c>
      <c r="W85" s="465">
        <f>W77*地域経済性分析・初期条件!$K$11</f>
        <v>0</v>
      </c>
      <c r="X85" s="465">
        <f>X77*地域経済性分析・初期条件!$K$11</f>
        <v>0</v>
      </c>
      <c r="Y85" s="465">
        <f>Y77*地域経済性分析・初期条件!$K$11</f>
        <v>0</v>
      </c>
      <c r="Z85" s="465">
        <f>Z77*地域経済性分析・初期条件!$K$11</f>
        <v>0</v>
      </c>
      <c r="AA85" s="465">
        <f>AA77*地域経済性分析・初期条件!$K$11</f>
        <v>0</v>
      </c>
      <c r="AB85" s="465">
        <f>AB77*地域経済性分析・初期条件!$K$11</f>
        <v>0</v>
      </c>
      <c r="AC85" s="465">
        <f>AC77*地域経済性分析・初期条件!$K$11</f>
        <v>0</v>
      </c>
      <c r="AD85" s="465">
        <f>AD77*地域経済性分析・初期条件!$K$11</f>
        <v>0</v>
      </c>
      <c r="AE85" s="465">
        <f>AE77*地域経済性分析・初期条件!$K$11</f>
        <v>0</v>
      </c>
      <c r="AF85" s="465">
        <f>AF77*地域経済性分析・初期条件!$K$11</f>
        <v>0</v>
      </c>
      <c r="AG85" s="465">
        <f>AG77*地域経済性分析・初期条件!$K$11</f>
        <v>0</v>
      </c>
      <c r="AH85" s="465">
        <f>AH77*地域経済性分析・初期条件!$K$11</f>
        <v>0</v>
      </c>
      <c r="AI85" s="535">
        <f t="shared" si="35"/>
        <v>0</v>
      </c>
      <c r="AJ85" s="535">
        <f t="shared" si="39"/>
        <v>0</v>
      </c>
      <c r="AK85" s="497">
        <f t="shared" si="40"/>
        <v>0</v>
      </c>
    </row>
    <row r="86" spans="1:37" ht="11.5" x14ac:dyDescent="0.25">
      <c r="A86" s="533"/>
      <c r="B86" s="439" t="s">
        <v>334</v>
      </c>
      <c r="C86" s="452" t="s">
        <v>333</v>
      </c>
      <c r="D86" s="493">
        <f>D77*地域経済性分析・初期条件!$L$11</f>
        <v>0</v>
      </c>
      <c r="E86" s="493">
        <f>E77*地域経済性分析・初期条件!$L$11</f>
        <v>0</v>
      </c>
      <c r="F86" s="493">
        <f>F77*地域経済性分析・初期条件!$L$11</f>
        <v>0</v>
      </c>
      <c r="G86" s="493">
        <f>G77*地域経済性分析・初期条件!$L$11</f>
        <v>0</v>
      </c>
      <c r="H86" s="493">
        <f>H77*地域経済性分析・初期条件!$L$11</f>
        <v>0</v>
      </c>
      <c r="I86" s="493">
        <f>I77*地域経済性分析・初期条件!$L$11</f>
        <v>0</v>
      </c>
      <c r="J86" s="493">
        <f>J77*地域経済性分析・初期条件!$L$11</f>
        <v>0</v>
      </c>
      <c r="K86" s="493">
        <f>K77*地域経済性分析・初期条件!$L$11</f>
        <v>0</v>
      </c>
      <c r="L86" s="493">
        <f>L77*地域経済性分析・初期条件!$L$11</f>
        <v>0</v>
      </c>
      <c r="M86" s="493">
        <f>M77*地域経済性分析・初期条件!$L$11</f>
        <v>0</v>
      </c>
      <c r="N86" s="493">
        <f>N77*地域経済性分析・初期条件!$L$11</f>
        <v>0</v>
      </c>
      <c r="O86" s="493">
        <f>O77*地域経済性分析・初期条件!$L$11</f>
        <v>0</v>
      </c>
      <c r="P86" s="493">
        <f>P77*地域経済性分析・初期条件!$L$11</f>
        <v>0</v>
      </c>
      <c r="Q86" s="493">
        <f>Q77*地域経済性分析・初期条件!$L$11</f>
        <v>0</v>
      </c>
      <c r="R86" s="493">
        <f>R77*地域経済性分析・初期条件!$L$11</f>
        <v>0</v>
      </c>
      <c r="S86" s="493">
        <f>S77*地域経済性分析・初期条件!$L$11</f>
        <v>0</v>
      </c>
      <c r="T86" s="493">
        <f>T77*地域経済性分析・初期条件!$L$11</f>
        <v>0</v>
      </c>
      <c r="U86" s="493">
        <f>U77*地域経済性分析・初期条件!$L$11</f>
        <v>0</v>
      </c>
      <c r="V86" s="493">
        <f>V77*地域経済性分析・初期条件!$L$11</f>
        <v>0</v>
      </c>
      <c r="W86" s="493">
        <f>W77*地域経済性分析・初期条件!$L$11</f>
        <v>0</v>
      </c>
      <c r="X86" s="493">
        <f>X77*地域経済性分析・初期条件!$L$11</f>
        <v>0</v>
      </c>
      <c r="Y86" s="493">
        <f>Y77*地域経済性分析・初期条件!$L$11</f>
        <v>0</v>
      </c>
      <c r="Z86" s="493">
        <f>Z77*地域経済性分析・初期条件!$L$11</f>
        <v>0</v>
      </c>
      <c r="AA86" s="493">
        <f>AA77*地域経済性分析・初期条件!$L$11</f>
        <v>0</v>
      </c>
      <c r="AB86" s="493">
        <f>AB77*地域経済性分析・初期条件!$L$11</f>
        <v>0</v>
      </c>
      <c r="AC86" s="493">
        <f>AC77*地域経済性分析・初期条件!$L$11</f>
        <v>0</v>
      </c>
      <c r="AD86" s="493">
        <f>AD77*地域経済性分析・初期条件!$L$11</f>
        <v>0</v>
      </c>
      <c r="AE86" s="493">
        <f>AE77*地域経済性分析・初期条件!$L$11</f>
        <v>0</v>
      </c>
      <c r="AF86" s="493">
        <f>AF77*地域経済性分析・初期条件!$L$11</f>
        <v>0</v>
      </c>
      <c r="AG86" s="493">
        <f>AG77*地域経済性分析・初期条件!$L$11</f>
        <v>0</v>
      </c>
      <c r="AH86" s="493">
        <f>AH77*地域経済性分析・初期条件!$L$11</f>
        <v>0</v>
      </c>
      <c r="AI86" s="535">
        <f>SUM(D86:N86)</f>
        <v>0</v>
      </c>
      <c r="AJ86" s="535">
        <f t="shared" si="39"/>
        <v>0</v>
      </c>
      <c r="AK86" s="497">
        <f t="shared" si="40"/>
        <v>0</v>
      </c>
    </row>
    <row r="87" spans="1:37" ht="11.5" x14ac:dyDescent="0.25">
      <c r="A87" s="533"/>
      <c r="B87" s="439" t="s">
        <v>335</v>
      </c>
      <c r="C87" s="452" t="s">
        <v>333</v>
      </c>
      <c r="D87" s="493">
        <f>D77*地域経済性分析・初期条件!$M$11</f>
        <v>0</v>
      </c>
      <c r="E87" s="493">
        <f>E77*地域経済性分析・初期条件!$M$11</f>
        <v>0</v>
      </c>
      <c r="F87" s="493">
        <f>F77*地域経済性分析・初期条件!$M$11</f>
        <v>0</v>
      </c>
      <c r="G87" s="493">
        <f>G77*地域経済性分析・初期条件!$M$11</f>
        <v>0</v>
      </c>
      <c r="H87" s="493">
        <f>H77*地域経済性分析・初期条件!$M$11</f>
        <v>0</v>
      </c>
      <c r="I87" s="493">
        <f>I77*地域経済性分析・初期条件!$M$11</f>
        <v>0</v>
      </c>
      <c r="J87" s="493">
        <f>J77*地域経済性分析・初期条件!$M$11</f>
        <v>0</v>
      </c>
      <c r="K87" s="493">
        <f>K77*地域経済性分析・初期条件!$M$11</f>
        <v>0</v>
      </c>
      <c r="L87" s="493">
        <f>L77*地域経済性分析・初期条件!$M$11</f>
        <v>0</v>
      </c>
      <c r="M87" s="493">
        <f>M77*地域経済性分析・初期条件!$M$11</f>
        <v>0</v>
      </c>
      <c r="N87" s="493">
        <f>N77*地域経済性分析・初期条件!$M$11</f>
        <v>0</v>
      </c>
      <c r="O87" s="493">
        <f>O77*地域経済性分析・初期条件!$M$11</f>
        <v>0</v>
      </c>
      <c r="P87" s="493">
        <f>P77*地域経済性分析・初期条件!$M$11</f>
        <v>0</v>
      </c>
      <c r="Q87" s="493">
        <f>Q77*地域経済性分析・初期条件!$M$11</f>
        <v>0</v>
      </c>
      <c r="R87" s="493">
        <f>R77*地域経済性分析・初期条件!$M$11</f>
        <v>0</v>
      </c>
      <c r="S87" s="493">
        <f>S77*地域経済性分析・初期条件!$M$11</f>
        <v>0</v>
      </c>
      <c r="T87" s="493">
        <f>T77*地域経済性分析・初期条件!$M$11</f>
        <v>0</v>
      </c>
      <c r="U87" s="493">
        <f>U77*地域経済性分析・初期条件!$M$11</f>
        <v>0</v>
      </c>
      <c r="V87" s="493">
        <f>V77*地域経済性分析・初期条件!$M$11</f>
        <v>0</v>
      </c>
      <c r="W87" s="493">
        <f>W77*地域経済性分析・初期条件!$M$11</f>
        <v>0</v>
      </c>
      <c r="X87" s="493">
        <f>X77*地域経済性分析・初期条件!$M$11</f>
        <v>0</v>
      </c>
      <c r="Y87" s="493">
        <f>Y77*地域経済性分析・初期条件!$M$11</f>
        <v>0</v>
      </c>
      <c r="Z87" s="493">
        <f>Z77*地域経済性分析・初期条件!$M$11</f>
        <v>0</v>
      </c>
      <c r="AA87" s="493">
        <f>AA77*地域経済性分析・初期条件!$M$11</f>
        <v>0</v>
      </c>
      <c r="AB87" s="493">
        <f>AB77*地域経済性分析・初期条件!$M$11</f>
        <v>0</v>
      </c>
      <c r="AC87" s="493">
        <f>AC77*地域経済性分析・初期条件!$M$11</f>
        <v>0</v>
      </c>
      <c r="AD87" s="493">
        <f>AD77*地域経済性分析・初期条件!$M$11</f>
        <v>0</v>
      </c>
      <c r="AE87" s="493">
        <f>AE77*地域経済性分析・初期条件!$M$11</f>
        <v>0</v>
      </c>
      <c r="AF87" s="493">
        <f>AF77*地域経済性分析・初期条件!$M$11</f>
        <v>0</v>
      </c>
      <c r="AG87" s="493">
        <f>AG77*地域経済性分析・初期条件!$M$11</f>
        <v>0</v>
      </c>
      <c r="AH87" s="493">
        <f>AH77*地域経済性分析・初期条件!$M$11</f>
        <v>0</v>
      </c>
      <c r="AI87" s="535">
        <f>SUM(D87:N87)</f>
        <v>0</v>
      </c>
      <c r="AJ87" s="535">
        <f t="shared" si="39"/>
        <v>0</v>
      </c>
      <c r="AK87" s="497">
        <f t="shared" si="40"/>
        <v>0</v>
      </c>
    </row>
    <row r="88" spans="1:37" ht="11.5" x14ac:dyDescent="0.25">
      <c r="A88" s="533"/>
      <c r="B88" s="439" t="s">
        <v>336</v>
      </c>
      <c r="C88" s="452" t="s">
        <v>333</v>
      </c>
      <c r="D88" s="493">
        <f>D77*地域経済性分析・初期条件!$N$11</f>
        <v>0</v>
      </c>
      <c r="E88" s="493">
        <f>E77*地域経済性分析・初期条件!$N$11</f>
        <v>0</v>
      </c>
      <c r="F88" s="493">
        <f>F77*地域経済性分析・初期条件!$N$11</f>
        <v>0</v>
      </c>
      <c r="G88" s="493">
        <f>G77*地域経済性分析・初期条件!$N$11</f>
        <v>0</v>
      </c>
      <c r="H88" s="493">
        <f>H77*地域経済性分析・初期条件!$N$11</f>
        <v>0</v>
      </c>
      <c r="I88" s="493">
        <f>I77*地域経済性分析・初期条件!$N$11</f>
        <v>0</v>
      </c>
      <c r="J88" s="493">
        <f>J77*地域経済性分析・初期条件!$N$11</f>
        <v>0</v>
      </c>
      <c r="K88" s="493">
        <f>K77*地域経済性分析・初期条件!$N$11</f>
        <v>0</v>
      </c>
      <c r="L88" s="493">
        <f>L77*地域経済性分析・初期条件!$N$11</f>
        <v>0</v>
      </c>
      <c r="M88" s="493">
        <f>M77*地域経済性分析・初期条件!$N$11</f>
        <v>0</v>
      </c>
      <c r="N88" s="493">
        <f>N77*地域経済性分析・初期条件!$N$11</f>
        <v>0</v>
      </c>
      <c r="O88" s="493">
        <f>O77*地域経済性分析・初期条件!$N$11</f>
        <v>0</v>
      </c>
      <c r="P88" s="493">
        <f>P77*地域経済性分析・初期条件!$N$11</f>
        <v>0</v>
      </c>
      <c r="Q88" s="493">
        <f>Q77*地域経済性分析・初期条件!$N$11</f>
        <v>0</v>
      </c>
      <c r="R88" s="493">
        <f>R77*地域経済性分析・初期条件!$N$11</f>
        <v>0</v>
      </c>
      <c r="S88" s="493">
        <f>S77*地域経済性分析・初期条件!$N$11</f>
        <v>0</v>
      </c>
      <c r="T88" s="493">
        <f>T77*地域経済性分析・初期条件!$N$11</f>
        <v>0</v>
      </c>
      <c r="U88" s="493">
        <f>U77*地域経済性分析・初期条件!$N$11</f>
        <v>0</v>
      </c>
      <c r="V88" s="493">
        <f>V77*地域経済性分析・初期条件!$N$11</f>
        <v>0</v>
      </c>
      <c r="W88" s="493">
        <f>W77*地域経済性分析・初期条件!$N$11</f>
        <v>0</v>
      </c>
      <c r="X88" s="493">
        <f>X77*地域経済性分析・初期条件!$N$11</f>
        <v>0</v>
      </c>
      <c r="Y88" s="493">
        <f>Y77*地域経済性分析・初期条件!$N$11</f>
        <v>0</v>
      </c>
      <c r="Z88" s="493">
        <f>Z77*地域経済性分析・初期条件!$N$11</f>
        <v>0</v>
      </c>
      <c r="AA88" s="493">
        <f>AA77*地域経済性分析・初期条件!$N$11</f>
        <v>0</v>
      </c>
      <c r="AB88" s="493">
        <f>AB77*地域経済性分析・初期条件!$N$11</f>
        <v>0</v>
      </c>
      <c r="AC88" s="493">
        <f>AC77*地域経済性分析・初期条件!$N$11</f>
        <v>0</v>
      </c>
      <c r="AD88" s="493">
        <f>AD77*地域経済性分析・初期条件!$N$11</f>
        <v>0</v>
      </c>
      <c r="AE88" s="493">
        <f>AE77*地域経済性分析・初期条件!$N$11</f>
        <v>0</v>
      </c>
      <c r="AF88" s="493">
        <f>AF77*地域経済性分析・初期条件!$N$11</f>
        <v>0</v>
      </c>
      <c r="AG88" s="493">
        <f>AG77*地域経済性分析・初期条件!$N$11</f>
        <v>0</v>
      </c>
      <c r="AH88" s="493">
        <f>AH77*地域経済性分析・初期条件!$N$11</f>
        <v>0</v>
      </c>
      <c r="AI88" s="535">
        <f>SUM(D88:N88)</f>
        <v>0</v>
      </c>
      <c r="AJ88" s="535">
        <f t="shared" si="39"/>
        <v>0</v>
      </c>
      <c r="AK88" s="497">
        <f t="shared" si="40"/>
        <v>0</v>
      </c>
    </row>
    <row r="89" spans="1:37" ht="12" thickBot="1" x14ac:dyDescent="0.3">
      <c r="A89" s="689"/>
      <c r="B89" s="690" t="s">
        <v>337</v>
      </c>
      <c r="C89" s="691" t="s">
        <v>333</v>
      </c>
      <c r="D89" s="692">
        <f>D77*地域経済性分析・初期条件!$O$11</f>
        <v>0</v>
      </c>
      <c r="E89" s="692">
        <f>E77*地域経済性分析・初期条件!$O$11</f>
        <v>0</v>
      </c>
      <c r="F89" s="692">
        <f>F77*地域経済性分析・初期条件!$O$11</f>
        <v>0</v>
      </c>
      <c r="G89" s="692">
        <f>G77*地域経済性分析・初期条件!$O$11</f>
        <v>0</v>
      </c>
      <c r="H89" s="692">
        <f>H77*地域経済性分析・初期条件!$O$11</f>
        <v>0</v>
      </c>
      <c r="I89" s="692">
        <f>I77*地域経済性分析・初期条件!$O$11</f>
        <v>0</v>
      </c>
      <c r="J89" s="692">
        <f>J77*地域経済性分析・初期条件!$O$11</f>
        <v>0</v>
      </c>
      <c r="K89" s="692">
        <f>K77*地域経済性分析・初期条件!$O$11</f>
        <v>0</v>
      </c>
      <c r="L89" s="692">
        <f>L77*地域経済性分析・初期条件!$O$11</f>
        <v>0</v>
      </c>
      <c r="M89" s="692">
        <f>M77*地域経済性分析・初期条件!$O$11</f>
        <v>0</v>
      </c>
      <c r="N89" s="692">
        <f>N77*地域経済性分析・初期条件!$O$11</f>
        <v>0</v>
      </c>
      <c r="O89" s="692">
        <f>O77*地域経済性分析・初期条件!$O$11</f>
        <v>0</v>
      </c>
      <c r="P89" s="692">
        <f>P77*地域経済性分析・初期条件!$O$11</f>
        <v>0</v>
      </c>
      <c r="Q89" s="692">
        <f>Q77*地域経済性分析・初期条件!$O$11</f>
        <v>0</v>
      </c>
      <c r="R89" s="692">
        <f>R77*地域経済性分析・初期条件!$O$11</f>
        <v>0</v>
      </c>
      <c r="S89" s="692">
        <f>S77*地域経済性分析・初期条件!$O$11</f>
        <v>0</v>
      </c>
      <c r="T89" s="692">
        <f>T77*地域経済性分析・初期条件!$O$11</f>
        <v>0</v>
      </c>
      <c r="U89" s="692">
        <f>U77*地域経済性分析・初期条件!$O$11</f>
        <v>0</v>
      </c>
      <c r="V89" s="692">
        <f>V77*地域経済性分析・初期条件!$O$11</f>
        <v>0</v>
      </c>
      <c r="W89" s="692">
        <f>W77*地域経済性分析・初期条件!$O$11</f>
        <v>0</v>
      </c>
      <c r="X89" s="692">
        <f>X77*地域経済性分析・初期条件!$O$11</f>
        <v>0</v>
      </c>
      <c r="Y89" s="692">
        <f>Y77*地域経済性分析・初期条件!$O$11</f>
        <v>0</v>
      </c>
      <c r="Z89" s="692">
        <f>Z77*地域経済性分析・初期条件!$O$11</f>
        <v>0</v>
      </c>
      <c r="AA89" s="692">
        <f>AA77*地域経済性分析・初期条件!$O$11</f>
        <v>0</v>
      </c>
      <c r="AB89" s="692">
        <f>AB77*地域経済性分析・初期条件!$O$11</f>
        <v>0</v>
      </c>
      <c r="AC89" s="692">
        <f>AC77*地域経済性分析・初期条件!$O$11</f>
        <v>0</v>
      </c>
      <c r="AD89" s="692">
        <f>AD77*地域経済性分析・初期条件!$O$11</f>
        <v>0</v>
      </c>
      <c r="AE89" s="692">
        <f>AE77*地域経済性分析・初期条件!$O$11</f>
        <v>0</v>
      </c>
      <c r="AF89" s="692">
        <f>AF77*地域経済性分析・初期条件!$O$11</f>
        <v>0</v>
      </c>
      <c r="AG89" s="692">
        <f>AG77*地域経済性分析・初期条件!$O$11</f>
        <v>0</v>
      </c>
      <c r="AH89" s="692">
        <f>AH77*地域経済性分析・初期条件!$O$11</f>
        <v>0</v>
      </c>
      <c r="AI89" s="694">
        <f>SUM(D89:N89)</f>
        <v>0</v>
      </c>
      <c r="AJ89" s="694">
        <f t="shared" si="39"/>
        <v>0</v>
      </c>
      <c r="AK89" s="695">
        <f t="shared" si="40"/>
        <v>0</v>
      </c>
    </row>
    <row r="90" spans="1:37" ht="12" thickTop="1" x14ac:dyDescent="0.25">
      <c r="A90" s="1409" t="s">
        <v>1089</v>
      </c>
      <c r="B90" s="439"/>
      <c r="C90" s="452" t="s">
        <v>1090</v>
      </c>
      <c r="D90" s="493">
        <f>SUM(D54:D61,D68:D75,,D82:D89)</f>
        <v>178355069.24587655</v>
      </c>
      <c r="E90" s="493">
        <f t="shared" ref="E90:AK90" si="41">SUM(E54:E61,E68:E75,,E82:E89)</f>
        <v>0</v>
      </c>
      <c r="F90" s="493">
        <f t="shared" si="41"/>
        <v>0</v>
      </c>
      <c r="G90" s="493">
        <f t="shared" si="41"/>
        <v>0</v>
      </c>
      <c r="H90" s="493">
        <f t="shared" si="41"/>
        <v>0</v>
      </c>
      <c r="I90" s="493">
        <f t="shared" si="41"/>
        <v>0</v>
      </c>
      <c r="J90" s="493">
        <f t="shared" si="41"/>
        <v>0</v>
      </c>
      <c r="K90" s="493">
        <f t="shared" si="41"/>
        <v>0</v>
      </c>
      <c r="L90" s="493">
        <f t="shared" si="41"/>
        <v>0</v>
      </c>
      <c r="M90" s="493">
        <f t="shared" si="41"/>
        <v>0</v>
      </c>
      <c r="N90" s="493">
        <f t="shared" si="41"/>
        <v>0</v>
      </c>
      <c r="O90" s="493">
        <f t="shared" si="41"/>
        <v>0</v>
      </c>
      <c r="P90" s="493">
        <f t="shared" si="41"/>
        <v>0</v>
      </c>
      <c r="Q90" s="493">
        <f t="shared" si="41"/>
        <v>0</v>
      </c>
      <c r="R90" s="493">
        <f t="shared" si="41"/>
        <v>0</v>
      </c>
      <c r="S90" s="493">
        <f t="shared" si="41"/>
        <v>0</v>
      </c>
      <c r="T90" s="493">
        <f t="shared" si="41"/>
        <v>0</v>
      </c>
      <c r="U90" s="493">
        <f t="shared" si="41"/>
        <v>0</v>
      </c>
      <c r="V90" s="493">
        <f t="shared" si="41"/>
        <v>0</v>
      </c>
      <c r="W90" s="493">
        <f t="shared" si="41"/>
        <v>0</v>
      </c>
      <c r="X90" s="493">
        <f t="shared" si="41"/>
        <v>0</v>
      </c>
      <c r="Y90" s="493">
        <f t="shared" si="41"/>
        <v>0</v>
      </c>
      <c r="Z90" s="493">
        <f t="shared" si="41"/>
        <v>0</v>
      </c>
      <c r="AA90" s="493">
        <f t="shared" si="41"/>
        <v>0</v>
      </c>
      <c r="AB90" s="493">
        <f t="shared" si="41"/>
        <v>0</v>
      </c>
      <c r="AC90" s="493">
        <f t="shared" si="41"/>
        <v>0</v>
      </c>
      <c r="AD90" s="493">
        <f t="shared" si="41"/>
        <v>0</v>
      </c>
      <c r="AE90" s="493">
        <f t="shared" si="41"/>
        <v>0</v>
      </c>
      <c r="AF90" s="493">
        <f t="shared" si="41"/>
        <v>0</v>
      </c>
      <c r="AG90" s="493">
        <f t="shared" si="41"/>
        <v>0</v>
      </c>
      <c r="AH90" s="493">
        <f t="shared" si="41"/>
        <v>0</v>
      </c>
      <c r="AI90" s="535">
        <f t="shared" si="41"/>
        <v>178355069.24587655</v>
      </c>
      <c r="AJ90" s="535">
        <f t="shared" si="41"/>
        <v>178355069.24587655</v>
      </c>
      <c r="AK90" s="497">
        <f t="shared" si="41"/>
        <v>178355069.24587655</v>
      </c>
    </row>
    <row r="91" spans="1:37" ht="11.5" x14ac:dyDescent="0.25">
      <c r="A91" s="1410" t="s">
        <v>1091</v>
      </c>
      <c r="B91" s="1403"/>
      <c r="C91" s="1404" t="s">
        <v>333</v>
      </c>
      <c r="D91" s="1397">
        <f>D47*1.1-D90</f>
        <v>3798302705.0986242</v>
      </c>
      <c r="E91" s="1397">
        <f t="shared" ref="E91:AH91" si="42">E47*1.1-E90</f>
        <v>0</v>
      </c>
      <c r="F91" s="1397">
        <f t="shared" si="42"/>
        <v>0</v>
      </c>
      <c r="G91" s="1397">
        <f t="shared" si="42"/>
        <v>0</v>
      </c>
      <c r="H91" s="1397">
        <f t="shared" si="42"/>
        <v>0</v>
      </c>
      <c r="I91" s="1397">
        <f t="shared" si="42"/>
        <v>0</v>
      </c>
      <c r="J91" s="1397">
        <f t="shared" si="42"/>
        <v>0</v>
      </c>
      <c r="K91" s="1397">
        <f t="shared" si="42"/>
        <v>0</v>
      </c>
      <c r="L91" s="1397">
        <f t="shared" si="42"/>
        <v>0</v>
      </c>
      <c r="M91" s="1397">
        <f t="shared" si="42"/>
        <v>0</v>
      </c>
      <c r="N91" s="1397">
        <f t="shared" si="42"/>
        <v>0</v>
      </c>
      <c r="O91" s="1397">
        <f t="shared" si="42"/>
        <v>0</v>
      </c>
      <c r="P91" s="1397">
        <f t="shared" si="42"/>
        <v>0</v>
      </c>
      <c r="Q91" s="1397">
        <f t="shared" si="42"/>
        <v>0</v>
      </c>
      <c r="R91" s="1397">
        <f t="shared" si="42"/>
        <v>0</v>
      </c>
      <c r="S91" s="1397">
        <f t="shared" si="42"/>
        <v>0</v>
      </c>
      <c r="T91" s="1397">
        <f t="shared" si="42"/>
        <v>0</v>
      </c>
      <c r="U91" s="1397">
        <f t="shared" si="42"/>
        <v>0</v>
      </c>
      <c r="V91" s="1397">
        <f t="shared" si="42"/>
        <v>0</v>
      </c>
      <c r="W91" s="1397">
        <f t="shared" si="42"/>
        <v>0</v>
      </c>
      <c r="X91" s="1397">
        <f t="shared" si="42"/>
        <v>0</v>
      </c>
      <c r="Y91" s="1397">
        <f t="shared" si="42"/>
        <v>0</v>
      </c>
      <c r="Z91" s="1397">
        <f t="shared" si="42"/>
        <v>0</v>
      </c>
      <c r="AA91" s="1397">
        <f t="shared" si="42"/>
        <v>0</v>
      </c>
      <c r="AB91" s="1397">
        <f t="shared" si="42"/>
        <v>0</v>
      </c>
      <c r="AC91" s="1397">
        <f t="shared" si="42"/>
        <v>0</v>
      </c>
      <c r="AD91" s="1397">
        <f t="shared" si="42"/>
        <v>0</v>
      </c>
      <c r="AE91" s="1397">
        <f t="shared" si="42"/>
        <v>0</v>
      </c>
      <c r="AF91" s="1397">
        <f t="shared" si="42"/>
        <v>0</v>
      </c>
      <c r="AG91" s="1397">
        <f t="shared" si="42"/>
        <v>0</v>
      </c>
      <c r="AH91" s="1397">
        <f t="shared" si="42"/>
        <v>0</v>
      </c>
      <c r="AI91" s="1405">
        <f t="shared" ref="AI91:AK91" si="43">AI47-AI90</f>
        <v>3436788361.9763966</v>
      </c>
      <c r="AJ91" s="1405">
        <f t="shared" si="43"/>
        <v>3436788361.9763966</v>
      </c>
      <c r="AK91" s="1406">
        <f t="shared" si="43"/>
        <v>3436788361.9763966</v>
      </c>
    </row>
    <row r="92" spans="1:37" ht="11.5" x14ac:dyDescent="0.25">
      <c r="A92" s="439" t="str">
        <f>B29</f>
        <v>工事費</v>
      </c>
      <c r="C92" s="451" t="s">
        <v>37</v>
      </c>
      <c r="D92" s="493">
        <f t="shared" ref="D92:AH92" si="44">D29</f>
        <v>1205047810.4074242</v>
      </c>
      <c r="E92" s="466">
        <f t="shared" si="44"/>
        <v>0</v>
      </c>
      <c r="F92" s="466">
        <f t="shared" si="44"/>
        <v>0</v>
      </c>
      <c r="G92" s="465">
        <f t="shared" si="44"/>
        <v>0</v>
      </c>
      <c r="H92" s="465">
        <f t="shared" si="44"/>
        <v>0</v>
      </c>
      <c r="I92" s="465">
        <f t="shared" si="44"/>
        <v>0</v>
      </c>
      <c r="J92" s="465">
        <f t="shared" si="44"/>
        <v>0</v>
      </c>
      <c r="K92" s="465">
        <f t="shared" si="44"/>
        <v>0</v>
      </c>
      <c r="L92" s="465">
        <f t="shared" si="44"/>
        <v>0</v>
      </c>
      <c r="M92" s="465">
        <f t="shared" si="44"/>
        <v>0</v>
      </c>
      <c r="N92" s="465">
        <f t="shared" si="44"/>
        <v>0</v>
      </c>
      <c r="O92" s="465">
        <f t="shared" si="44"/>
        <v>0</v>
      </c>
      <c r="P92" s="465">
        <f t="shared" si="44"/>
        <v>0</v>
      </c>
      <c r="Q92" s="465">
        <f t="shared" si="44"/>
        <v>0</v>
      </c>
      <c r="R92" s="465">
        <f t="shared" si="44"/>
        <v>0</v>
      </c>
      <c r="S92" s="465">
        <f t="shared" si="44"/>
        <v>0</v>
      </c>
      <c r="T92" s="465">
        <f t="shared" si="44"/>
        <v>0</v>
      </c>
      <c r="U92" s="465">
        <f t="shared" si="44"/>
        <v>0</v>
      </c>
      <c r="V92" s="465">
        <f t="shared" si="44"/>
        <v>0</v>
      </c>
      <c r="W92" s="465">
        <f t="shared" si="44"/>
        <v>0</v>
      </c>
      <c r="X92" s="465">
        <f t="shared" si="44"/>
        <v>0</v>
      </c>
      <c r="Y92" s="465">
        <f t="shared" si="44"/>
        <v>0</v>
      </c>
      <c r="Z92" s="465">
        <f t="shared" si="44"/>
        <v>0</v>
      </c>
      <c r="AA92" s="465">
        <f t="shared" si="44"/>
        <v>0</v>
      </c>
      <c r="AB92" s="465">
        <f t="shared" si="44"/>
        <v>0</v>
      </c>
      <c r="AC92" s="465">
        <f t="shared" si="44"/>
        <v>0</v>
      </c>
      <c r="AD92" s="465">
        <f t="shared" si="44"/>
        <v>0</v>
      </c>
      <c r="AE92" s="465">
        <f t="shared" si="44"/>
        <v>0</v>
      </c>
      <c r="AF92" s="465">
        <f t="shared" si="44"/>
        <v>0</v>
      </c>
      <c r="AG92" s="465">
        <f t="shared" si="44"/>
        <v>0</v>
      </c>
      <c r="AH92" s="465">
        <f t="shared" si="44"/>
        <v>0</v>
      </c>
      <c r="AI92" s="535">
        <f>SUM(D92:N92)</f>
        <v>1205047810.4074242</v>
      </c>
      <c r="AJ92" s="535">
        <f>SUM(D92:X92)</f>
        <v>1205047810.4074242</v>
      </c>
      <c r="AK92" s="497">
        <f>SUM(D92:AH92)</f>
        <v>1205047810.4074242</v>
      </c>
    </row>
    <row r="93" spans="1:37" ht="11.5" x14ac:dyDescent="0.25">
      <c r="A93" s="487" t="str">
        <f>地域経済性分析・初期条件!$G$13</f>
        <v>建設業</v>
      </c>
      <c r="C93" s="452"/>
      <c r="D93" s="493"/>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535"/>
      <c r="AJ93" s="535"/>
      <c r="AK93" s="497"/>
    </row>
    <row r="94" spans="1:37" ht="11.5" x14ac:dyDescent="0.25">
      <c r="A94" s="533" t="str">
        <f>A93&amp;B94</f>
        <v>建設業売上（税別）</v>
      </c>
      <c r="B94" s="439" t="s">
        <v>1092</v>
      </c>
      <c r="C94" s="451" t="s">
        <v>37</v>
      </c>
      <c r="D94" s="493">
        <f>D92*地域経済性分析・初期条件!$F$13</f>
        <v>602523905.20371211</v>
      </c>
      <c r="E94" s="493">
        <f>E92*地域経済性分析・初期条件!$F$13</f>
        <v>0</v>
      </c>
      <c r="F94" s="493">
        <f>F92*地域経済性分析・初期条件!$F$13</f>
        <v>0</v>
      </c>
      <c r="G94" s="493">
        <f>G92*地域経済性分析・初期条件!$F$13</f>
        <v>0</v>
      </c>
      <c r="H94" s="493">
        <f>H92*地域経済性分析・初期条件!$F$13</f>
        <v>0</v>
      </c>
      <c r="I94" s="493">
        <f>I92*地域経済性分析・初期条件!$F$13</f>
        <v>0</v>
      </c>
      <c r="J94" s="493">
        <f>J92*地域経済性分析・初期条件!$F$13</f>
        <v>0</v>
      </c>
      <c r="K94" s="493">
        <f>K92*地域経済性分析・初期条件!$F$13</f>
        <v>0</v>
      </c>
      <c r="L94" s="493">
        <f>L92*地域経済性分析・初期条件!$F$13</f>
        <v>0</v>
      </c>
      <c r="M94" s="493">
        <f>M92*地域経済性分析・初期条件!$F$13</f>
        <v>0</v>
      </c>
      <c r="N94" s="493">
        <f>N92*地域経済性分析・初期条件!$F$13</f>
        <v>0</v>
      </c>
      <c r="O94" s="493">
        <f>O92*地域経済性分析・初期条件!$F$13</f>
        <v>0</v>
      </c>
      <c r="P94" s="493">
        <f>P92*地域経済性分析・初期条件!$F$13</f>
        <v>0</v>
      </c>
      <c r="Q94" s="493">
        <f>Q92*地域経済性分析・初期条件!$F$13</f>
        <v>0</v>
      </c>
      <c r="R94" s="493">
        <f>R92*地域経済性分析・初期条件!$F$13</f>
        <v>0</v>
      </c>
      <c r="S94" s="493">
        <f>S92*地域経済性分析・初期条件!$F$13</f>
        <v>0</v>
      </c>
      <c r="T94" s="493">
        <f>T92*地域経済性分析・初期条件!$F$13</f>
        <v>0</v>
      </c>
      <c r="U94" s="493">
        <f>U92*地域経済性分析・初期条件!$F$13</f>
        <v>0</v>
      </c>
      <c r="V94" s="493">
        <f>V92*地域経済性分析・初期条件!$F$13</f>
        <v>0</v>
      </c>
      <c r="W94" s="493">
        <f>W92*地域経済性分析・初期条件!$F$13</f>
        <v>0</v>
      </c>
      <c r="X94" s="493">
        <f>X92*地域経済性分析・初期条件!$F$13</f>
        <v>0</v>
      </c>
      <c r="Y94" s="493">
        <f>Y92*地域経済性分析・初期条件!$F$13</f>
        <v>0</v>
      </c>
      <c r="Z94" s="493">
        <f>Z92*地域経済性分析・初期条件!$F$13</f>
        <v>0</v>
      </c>
      <c r="AA94" s="493">
        <f>AA92*地域経済性分析・初期条件!$F$13</f>
        <v>0</v>
      </c>
      <c r="AB94" s="493">
        <f>AB92*地域経済性分析・初期条件!$F$13</f>
        <v>0</v>
      </c>
      <c r="AC94" s="493">
        <f>AC92*地域経済性分析・初期条件!$F$13</f>
        <v>0</v>
      </c>
      <c r="AD94" s="493">
        <f>AD92*地域経済性分析・初期条件!$F$13</f>
        <v>0</v>
      </c>
      <c r="AE94" s="493">
        <f>AE92*地域経済性分析・初期条件!$F$13</f>
        <v>0</v>
      </c>
      <c r="AF94" s="493">
        <f>AF92*地域経済性分析・初期条件!$F$13</f>
        <v>0</v>
      </c>
      <c r="AG94" s="493">
        <f>AG92*地域経済性分析・初期条件!$F$13</f>
        <v>0</v>
      </c>
      <c r="AH94" s="493">
        <f>AH92*地域経済性分析・初期条件!$F$13</f>
        <v>0</v>
      </c>
      <c r="AI94" s="535">
        <f t="shared" ref="AI94:AI102" si="45">SUM(D94:N94)</f>
        <v>602523905.20371211</v>
      </c>
      <c r="AJ94" s="535">
        <f t="shared" ref="AJ94:AJ102" si="46">SUM(D94:X94)</f>
        <v>602523905.20371211</v>
      </c>
      <c r="AK94" s="497">
        <f t="shared" ref="AK94:AK102" si="47">SUM(D94:AH94)</f>
        <v>602523905.20371211</v>
      </c>
    </row>
    <row r="95" spans="1:37" ht="11.5" x14ac:dyDescent="0.25">
      <c r="A95" s="533"/>
      <c r="B95" s="439" t="s">
        <v>1136</v>
      </c>
      <c r="C95" s="451" t="s">
        <v>37</v>
      </c>
      <c r="D95" s="493">
        <f>D94*波及効果シート!$D$72</f>
        <v>6627762.957240833</v>
      </c>
      <c r="E95" s="493">
        <f>E94*波及効果シート!$D$72</f>
        <v>0</v>
      </c>
      <c r="F95" s="493">
        <f>F94*波及効果シート!$D$72</f>
        <v>0</v>
      </c>
      <c r="G95" s="493">
        <f>G94*波及効果シート!$D$72</f>
        <v>0</v>
      </c>
      <c r="H95" s="493">
        <f>H94*波及効果シート!$D$72</f>
        <v>0</v>
      </c>
      <c r="I95" s="493">
        <f>I94*波及効果シート!$D$72</f>
        <v>0</v>
      </c>
      <c r="J95" s="493">
        <f>J94*波及効果シート!$D$72</f>
        <v>0</v>
      </c>
      <c r="K95" s="493">
        <f>K94*波及効果シート!$D$72</f>
        <v>0</v>
      </c>
      <c r="L95" s="493">
        <f>L94*波及効果シート!$D$72</f>
        <v>0</v>
      </c>
      <c r="M95" s="493">
        <f>M94*波及効果シート!$D$72</f>
        <v>0</v>
      </c>
      <c r="N95" s="493">
        <f>N94*波及効果シート!$D$72</f>
        <v>0</v>
      </c>
      <c r="O95" s="493">
        <f>O94*波及効果シート!$D$72</f>
        <v>0</v>
      </c>
      <c r="P95" s="493">
        <f>P94*波及効果シート!$D$72</f>
        <v>0</v>
      </c>
      <c r="Q95" s="493">
        <f>Q94*波及効果シート!$D$72</f>
        <v>0</v>
      </c>
      <c r="R95" s="493">
        <f>R94*波及効果シート!$D$72</f>
        <v>0</v>
      </c>
      <c r="S95" s="493">
        <f>S94*波及効果シート!$D$72</f>
        <v>0</v>
      </c>
      <c r="T95" s="493">
        <f>T94*波及効果シート!$D$72</f>
        <v>0</v>
      </c>
      <c r="U95" s="493">
        <f>U94*波及効果シート!$D$72</f>
        <v>0</v>
      </c>
      <c r="V95" s="493">
        <f>V94*波及効果シート!$D$72</f>
        <v>0</v>
      </c>
      <c r="W95" s="493">
        <f>W94*波及効果シート!$D$72</f>
        <v>0</v>
      </c>
      <c r="X95" s="493">
        <f>X94*波及効果シート!$D$72</f>
        <v>0</v>
      </c>
      <c r="Y95" s="493">
        <f>Y94*波及効果シート!$D$72</f>
        <v>0</v>
      </c>
      <c r="Z95" s="493">
        <f>Z94*波及効果シート!$D$72</f>
        <v>0</v>
      </c>
      <c r="AA95" s="493">
        <f>AA94*波及効果シート!$D$72</f>
        <v>0</v>
      </c>
      <c r="AB95" s="493">
        <f>AB94*波及効果シート!$D$72</f>
        <v>0</v>
      </c>
      <c r="AC95" s="493">
        <f>AC94*波及効果シート!$D$72</f>
        <v>0</v>
      </c>
      <c r="AD95" s="493">
        <f>AD94*波及効果シート!$D$72</f>
        <v>0</v>
      </c>
      <c r="AE95" s="493">
        <f>AE94*波及効果シート!$D$72</f>
        <v>0</v>
      </c>
      <c r="AF95" s="493">
        <f>AF94*波及効果シート!$D$72</f>
        <v>0</v>
      </c>
      <c r="AG95" s="493">
        <f>AG94*波及効果シート!$D$72</f>
        <v>0</v>
      </c>
      <c r="AH95" s="493">
        <f>AH94*波及効果シート!$D$72</f>
        <v>0</v>
      </c>
      <c r="AI95" s="535">
        <f t="shared" ref="AI95:AI96" si="48">SUM(D95:N95)</f>
        <v>6627762.957240833</v>
      </c>
      <c r="AJ95" s="535">
        <f t="shared" ref="AJ95:AJ96" si="49">SUM(D95:X95)</f>
        <v>6627762.957240833</v>
      </c>
      <c r="AK95" s="497">
        <f t="shared" ref="AK95:AK96" si="50">SUM(D95:AH95)</f>
        <v>6627762.957240833</v>
      </c>
    </row>
    <row r="96" spans="1:37" ht="11.5" x14ac:dyDescent="0.25">
      <c r="A96" s="533"/>
      <c r="B96" s="439" t="s">
        <v>1137</v>
      </c>
      <c r="C96" s="452" t="s">
        <v>37</v>
      </c>
      <c r="D96" s="493">
        <f>D94*波及効果シート!$D$74</f>
        <v>6627762.957240833</v>
      </c>
      <c r="E96" s="493">
        <f>E94*波及効果シート!$D$74</f>
        <v>0</v>
      </c>
      <c r="F96" s="493">
        <f>F94*波及効果シート!$D$74</f>
        <v>0</v>
      </c>
      <c r="G96" s="493">
        <f>G94*波及効果シート!$D$74</f>
        <v>0</v>
      </c>
      <c r="H96" s="493">
        <f>H94*波及効果シート!$D$74</f>
        <v>0</v>
      </c>
      <c r="I96" s="493">
        <f>I94*波及効果シート!$D$74</f>
        <v>0</v>
      </c>
      <c r="J96" s="493">
        <f>J94*波及効果シート!$D$74</f>
        <v>0</v>
      </c>
      <c r="K96" s="493">
        <f>K94*波及効果シート!$D$74</f>
        <v>0</v>
      </c>
      <c r="L96" s="493">
        <f>L94*波及効果シート!$D$74</f>
        <v>0</v>
      </c>
      <c r="M96" s="493">
        <f>M94*波及効果シート!$D$74</f>
        <v>0</v>
      </c>
      <c r="N96" s="493">
        <f>N94*波及効果シート!$D$74</f>
        <v>0</v>
      </c>
      <c r="O96" s="493">
        <f>O94*波及効果シート!$D$74</f>
        <v>0</v>
      </c>
      <c r="P96" s="493">
        <f>P94*波及効果シート!$D$74</f>
        <v>0</v>
      </c>
      <c r="Q96" s="493">
        <f>Q94*波及効果シート!$D$74</f>
        <v>0</v>
      </c>
      <c r="R96" s="493">
        <f>R94*波及効果シート!$D$74</f>
        <v>0</v>
      </c>
      <c r="S96" s="493">
        <f>S94*波及効果シート!$D$74</f>
        <v>0</v>
      </c>
      <c r="T96" s="493">
        <f>T94*波及効果シート!$D$74</f>
        <v>0</v>
      </c>
      <c r="U96" s="493">
        <f>U94*波及効果シート!$D$74</f>
        <v>0</v>
      </c>
      <c r="V96" s="493">
        <f>V94*波及効果シート!$D$74</f>
        <v>0</v>
      </c>
      <c r="W96" s="493">
        <f>W94*波及効果シート!$D$74</f>
        <v>0</v>
      </c>
      <c r="X96" s="493">
        <f>X94*波及効果シート!$D$74</f>
        <v>0</v>
      </c>
      <c r="Y96" s="493">
        <f>Y94*波及効果シート!$D$74</f>
        <v>0</v>
      </c>
      <c r="Z96" s="493">
        <f>Z94*波及効果シート!$D$74</f>
        <v>0</v>
      </c>
      <c r="AA96" s="493">
        <f>AA94*波及効果シート!$D$74</f>
        <v>0</v>
      </c>
      <c r="AB96" s="493">
        <f>AB94*波及効果シート!$D$74</f>
        <v>0</v>
      </c>
      <c r="AC96" s="493">
        <f>AC94*波及効果シート!$D$74</f>
        <v>0</v>
      </c>
      <c r="AD96" s="493">
        <f>AD94*波及効果シート!$D$74</f>
        <v>0</v>
      </c>
      <c r="AE96" s="493">
        <f>AE94*波及効果シート!$D$74</f>
        <v>0</v>
      </c>
      <c r="AF96" s="493">
        <f>AF94*波及効果シート!$D$74</f>
        <v>0</v>
      </c>
      <c r="AG96" s="493">
        <f>AG94*波及効果シート!$D$74</f>
        <v>0</v>
      </c>
      <c r="AH96" s="493">
        <f>AH94*波及効果シート!$D$74</f>
        <v>0</v>
      </c>
      <c r="AI96" s="535">
        <f t="shared" si="48"/>
        <v>6627762.957240833</v>
      </c>
      <c r="AJ96" s="535">
        <f t="shared" si="49"/>
        <v>6627762.957240833</v>
      </c>
      <c r="AK96" s="497">
        <f t="shared" si="50"/>
        <v>6627762.957240833</v>
      </c>
    </row>
    <row r="97" spans="1:37" ht="11.5" x14ac:dyDescent="0.25">
      <c r="A97" s="533"/>
      <c r="B97" s="439" t="s">
        <v>351</v>
      </c>
      <c r="C97" s="452" t="s">
        <v>333</v>
      </c>
      <c r="D97" s="493">
        <f>D94*地域経済性分析・初期条件!$P$13</f>
        <v>120504781.04074243</v>
      </c>
      <c r="E97" s="493">
        <f>E94*地域経済性分析・初期条件!$P$13</f>
        <v>0</v>
      </c>
      <c r="F97" s="493">
        <f>F94*地域経済性分析・初期条件!$P$13</f>
        <v>0</v>
      </c>
      <c r="G97" s="493">
        <f>G94*地域経済性分析・初期条件!$P$13</f>
        <v>0</v>
      </c>
      <c r="H97" s="493">
        <f>H94*地域経済性分析・初期条件!$P$13</f>
        <v>0</v>
      </c>
      <c r="I97" s="493">
        <f>I94*地域経済性分析・初期条件!$P$13</f>
        <v>0</v>
      </c>
      <c r="J97" s="493">
        <f>J94*地域経済性分析・初期条件!$P$13</f>
        <v>0</v>
      </c>
      <c r="K97" s="493">
        <f>K94*地域経済性分析・初期条件!$P$13</f>
        <v>0</v>
      </c>
      <c r="L97" s="493">
        <f>L94*地域経済性分析・初期条件!$P$13</f>
        <v>0</v>
      </c>
      <c r="M97" s="493">
        <f>M94*地域経済性分析・初期条件!$P$13</f>
        <v>0</v>
      </c>
      <c r="N97" s="493">
        <f>N94*地域経済性分析・初期条件!$P$13</f>
        <v>0</v>
      </c>
      <c r="O97" s="493">
        <f>O94*地域経済性分析・初期条件!$P$13</f>
        <v>0</v>
      </c>
      <c r="P97" s="493">
        <f>P94*地域経済性分析・初期条件!$P$13</f>
        <v>0</v>
      </c>
      <c r="Q97" s="493">
        <f>Q94*地域経済性分析・初期条件!$P$13</f>
        <v>0</v>
      </c>
      <c r="R97" s="493">
        <f>R94*地域経済性分析・初期条件!$P$13</f>
        <v>0</v>
      </c>
      <c r="S97" s="493">
        <f>S94*地域経済性分析・初期条件!$P$13</f>
        <v>0</v>
      </c>
      <c r="T97" s="493">
        <f>T94*地域経済性分析・初期条件!$P$13</f>
        <v>0</v>
      </c>
      <c r="U97" s="493">
        <f>U94*地域経済性分析・初期条件!$P$13</f>
        <v>0</v>
      </c>
      <c r="V97" s="493">
        <f>V94*地域経済性分析・初期条件!$P$13</f>
        <v>0</v>
      </c>
      <c r="W97" s="493">
        <f>W94*地域経済性分析・初期条件!$P$13</f>
        <v>0</v>
      </c>
      <c r="X97" s="493">
        <f>X94*地域経済性分析・初期条件!$P$13</f>
        <v>0</v>
      </c>
      <c r="Y97" s="493">
        <f>Y94*地域経済性分析・初期条件!$P$13</f>
        <v>0</v>
      </c>
      <c r="Z97" s="493">
        <f>Z94*地域経済性分析・初期条件!$P$13</f>
        <v>0</v>
      </c>
      <c r="AA97" s="493">
        <f>AA94*地域経済性分析・初期条件!$P$13</f>
        <v>0</v>
      </c>
      <c r="AB97" s="493">
        <f>AB94*地域経済性分析・初期条件!$P$13</f>
        <v>0</v>
      </c>
      <c r="AC97" s="493">
        <f>AC94*地域経済性分析・初期条件!$P$13</f>
        <v>0</v>
      </c>
      <c r="AD97" s="493">
        <f>AD94*地域経済性分析・初期条件!$P$13</f>
        <v>0</v>
      </c>
      <c r="AE97" s="493">
        <f>AE94*地域経済性分析・初期条件!$P$13</f>
        <v>0</v>
      </c>
      <c r="AF97" s="493">
        <f>AF94*地域経済性分析・初期条件!$P$13</f>
        <v>0</v>
      </c>
      <c r="AG97" s="493">
        <f>AG94*地域経済性分析・初期条件!$P$13</f>
        <v>0</v>
      </c>
      <c r="AH97" s="493">
        <f>AH94*地域経済性分析・初期条件!$P$13</f>
        <v>0</v>
      </c>
      <c r="AI97" s="535">
        <f t="shared" si="45"/>
        <v>120504781.04074243</v>
      </c>
      <c r="AJ97" s="535">
        <f t="shared" si="46"/>
        <v>120504781.04074243</v>
      </c>
      <c r="AK97" s="497">
        <f t="shared" si="47"/>
        <v>120504781.04074243</v>
      </c>
    </row>
    <row r="98" spans="1:37" ht="11.5" x14ac:dyDescent="0.25">
      <c r="A98" s="533"/>
      <c r="B98" s="439" t="s">
        <v>350</v>
      </c>
      <c r="C98" s="452" t="s">
        <v>333</v>
      </c>
      <c r="D98" s="493">
        <f>D94*地域経済性分析・初期条件!$Q$13</f>
        <v>90378585.780556813</v>
      </c>
      <c r="E98" s="493">
        <f>E94*地域経済性分析・初期条件!$Q$13</f>
        <v>0</v>
      </c>
      <c r="F98" s="493">
        <f>F94*地域経済性分析・初期条件!$Q$13</f>
        <v>0</v>
      </c>
      <c r="G98" s="493">
        <f>G94*地域経済性分析・初期条件!$Q$13</f>
        <v>0</v>
      </c>
      <c r="H98" s="493">
        <f>H94*地域経済性分析・初期条件!$Q$13</f>
        <v>0</v>
      </c>
      <c r="I98" s="493">
        <f>I94*地域経済性分析・初期条件!$Q$13</f>
        <v>0</v>
      </c>
      <c r="J98" s="493">
        <f>J94*地域経済性分析・初期条件!$Q$13</f>
        <v>0</v>
      </c>
      <c r="K98" s="493">
        <f>K94*地域経済性分析・初期条件!$Q$13</f>
        <v>0</v>
      </c>
      <c r="L98" s="493">
        <f>L94*地域経済性分析・初期条件!$Q$13</f>
        <v>0</v>
      </c>
      <c r="M98" s="493">
        <f>M94*地域経済性分析・初期条件!$Q$13</f>
        <v>0</v>
      </c>
      <c r="N98" s="493">
        <f>N94*地域経済性分析・初期条件!$Q$13</f>
        <v>0</v>
      </c>
      <c r="O98" s="493">
        <f>O94*地域経済性分析・初期条件!$Q$13</f>
        <v>0</v>
      </c>
      <c r="P98" s="493">
        <f>P94*地域経済性分析・初期条件!$Q$13</f>
        <v>0</v>
      </c>
      <c r="Q98" s="493">
        <f>Q94*地域経済性分析・初期条件!$Q$13</f>
        <v>0</v>
      </c>
      <c r="R98" s="493">
        <f>R94*地域経済性分析・初期条件!$Q$13</f>
        <v>0</v>
      </c>
      <c r="S98" s="493">
        <f>S94*地域経済性分析・初期条件!$Q$13</f>
        <v>0</v>
      </c>
      <c r="T98" s="493">
        <f>T94*地域経済性分析・初期条件!$Q$13</f>
        <v>0</v>
      </c>
      <c r="U98" s="493">
        <f>U94*地域経済性分析・初期条件!$Q$13</f>
        <v>0</v>
      </c>
      <c r="V98" s="493">
        <f>V94*地域経済性分析・初期条件!$Q$13</f>
        <v>0</v>
      </c>
      <c r="W98" s="493">
        <f>W94*地域経済性分析・初期条件!$Q$13</f>
        <v>0</v>
      </c>
      <c r="X98" s="493">
        <f>X94*地域経済性分析・初期条件!$Q$13</f>
        <v>0</v>
      </c>
      <c r="Y98" s="493">
        <f>Y94*地域経済性分析・初期条件!$Q$13</f>
        <v>0</v>
      </c>
      <c r="Z98" s="493">
        <f>Z94*地域経済性分析・初期条件!$Q$13</f>
        <v>0</v>
      </c>
      <c r="AA98" s="493">
        <f>AA94*地域経済性分析・初期条件!$Q$13</f>
        <v>0</v>
      </c>
      <c r="AB98" s="493">
        <f>AB94*地域経済性分析・初期条件!$Q$13</f>
        <v>0</v>
      </c>
      <c r="AC98" s="493">
        <f>AC94*地域経済性分析・初期条件!$Q$13</f>
        <v>0</v>
      </c>
      <c r="AD98" s="493">
        <f>AD94*地域経済性分析・初期条件!$Q$13</f>
        <v>0</v>
      </c>
      <c r="AE98" s="493">
        <f>AE94*地域経済性分析・初期条件!$Q$13</f>
        <v>0</v>
      </c>
      <c r="AF98" s="493">
        <f>AF94*地域経済性分析・初期条件!$Q$13</f>
        <v>0</v>
      </c>
      <c r="AG98" s="493">
        <f>AG94*地域経済性分析・初期条件!$Q$13</f>
        <v>0</v>
      </c>
      <c r="AH98" s="493">
        <f>AH94*地域経済性分析・初期条件!$Q$13</f>
        <v>0</v>
      </c>
      <c r="AI98" s="535">
        <f t="shared" si="45"/>
        <v>90378585.780556813</v>
      </c>
      <c r="AJ98" s="535">
        <f t="shared" si="46"/>
        <v>90378585.780556813</v>
      </c>
      <c r="AK98" s="497">
        <f t="shared" si="47"/>
        <v>90378585.780556813</v>
      </c>
    </row>
    <row r="99" spans="1:37" ht="11.5" x14ac:dyDescent="0.25">
      <c r="A99" s="533" t="str">
        <f>A93&amp;B99</f>
        <v>建設業従業員の可処分所得（一次）</v>
      </c>
      <c r="B99" s="439" t="s">
        <v>329</v>
      </c>
      <c r="C99" s="451" t="s">
        <v>37</v>
      </c>
      <c r="D99" s="493">
        <f>D94*地域経済性分析・初期条件!$H$13</f>
        <v>59773778.68884065</v>
      </c>
      <c r="E99" s="493">
        <f>E94*地域経済性分析・初期条件!$H$13</f>
        <v>0</v>
      </c>
      <c r="F99" s="493">
        <f>F94*地域経済性分析・初期条件!$H$13</f>
        <v>0</v>
      </c>
      <c r="G99" s="493">
        <f>G94*地域経済性分析・初期条件!$H$13</f>
        <v>0</v>
      </c>
      <c r="H99" s="493">
        <f>H94*地域経済性分析・初期条件!$H$13</f>
        <v>0</v>
      </c>
      <c r="I99" s="493">
        <f>I94*地域経済性分析・初期条件!$H$13</f>
        <v>0</v>
      </c>
      <c r="J99" s="493">
        <f>J94*地域経済性分析・初期条件!$H$13</f>
        <v>0</v>
      </c>
      <c r="K99" s="493">
        <f>K94*地域経済性分析・初期条件!$H$13</f>
        <v>0</v>
      </c>
      <c r="L99" s="493">
        <f>L94*地域経済性分析・初期条件!$H$13</f>
        <v>0</v>
      </c>
      <c r="M99" s="493">
        <f>M94*地域経済性分析・初期条件!$H$13</f>
        <v>0</v>
      </c>
      <c r="N99" s="493">
        <f>N94*地域経済性分析・初期条件!$H$13</f>
        <v>0</v>
      </c>
      <c r="O99" s="493">
        <f>O94*地域経済性分析・初期条件!$H$13</f>
        <v>0</v>
      </c>
      <c r="P99" s="493">
        <f>P94*地域経済性分析・初期条件!$H$13</f>
        <v>0</v>
      </c>
      <c r="Q99" s="493">
        <f>Q94*地域経済性分析・初期条件!$H$13</f>
        <v>0</v>
      </c>
      <c r="R99" s="493">
        <f>R94*地域経済性分析・初期条件!$H$13</f>
        <v>0</v>
      </c>
      <c r="S99" s="493">
        <f>S94*地域経済性分析・初期条件!$H$13</f>
        <v>0</v>
      </c>
      <c r="T99" s="493">
        <f>T94*地域経済性分析・初期条件!$H$13</f>
        <v>0</v>
      </c>
      <c r="U99" s="493">
        <f>U94*地域経済性分析・初期条件!$H$13</f>
        <v>0</v>
      </c>
      <c r="V99" s="493">
        <f>V94*地域経済性分析・初期条件!$H$13</f>
        <v>0</v>
      </c>
      <c r="W99" s="493">
        <f>W94*地域経済性分析・初期条件!$H$13</f>
        <v>0</v>
      </c>
      <c r="X99" s="493">
        <f>X94*地域経済性分析・初期条件!$H$13</f>
        <v>0</v>
      </c>
      <c r="Y99" s="493">
        <f>Y94*地域経済性分析・初期条件!$H$13</f>
        <v>0</v>
      </c>
      <c r="Z99" s="493">
        <f>Z94*地域経済性分析・初期条件!$H$13</f>
        <v>0</v>
      </c>
      <c r="AA99" s="493">
        <f>AA94*地域経済性分析・初期条件!$H$13</f>
        <v>0</v>
      </c>
      <c r="AB99" s="493">
        <f>AB94*地域経済性分析・初期条件!$H$13</f>
        <v>0</v>
      </c>
      <c r="AC99" s="493">
        <f>AC94*地域経済性分析・初期条件!$H$13</f>
        <v>0</v>
      </c>
      <c r="AD99" s="493">
        <f>AD94*地域経済性分析・初期条件!$H$13</f>
        <v>0</v>
      </c>
      <c r="AE99" s="493">
        <f>AE94*地域経済性分析・初期条件!$H$13</f>
        <v>0</v>
      </c>
      <c r="AF99" s="493">
        <f>AF94*地域経済性分析・初期条件!$H$13</f>
        <v>0</v>
      </c>
      <c r="AG99" s="493">
        <f>AG94*地域経済性分析・初期条件!$H$13</f>
        <v>0</v>
      </c>
      <c r="AH99" s="493">
        <f>AH94*地域経済性分析・初期条件!$H$13</f>
        <v>0</v>
      </c>
      <c r="AI99" s="535">
        <f t="shared" si="45"/>
        <v>59773778.68884065</v>
      </c>
      <c r="AJ99" s="535">
        <f t="shared" si="46"/>
        <v>59773778.68884065</v>
      </c>
      <c r="AK99" s="497">
        <f t="shared" si="47"/>
        <v>59773778.68884065</v>
      </c>
    </row>
    <row r="100" spans="1:37" ht="11.5" x14ac:dyDescent="0.25">
      <c r="A100" s="533" t="str">
        <f>A93&amp;B100</f>
        <v>建設業企業の税引後利益（一次）</v>
      </c>
      <c r="B100" s="439" t="s">
        <v>330</v>
      </c>
      <c r="C100" s="451" t="s">
        <v>37</v>
      </c>
      <c r="D100" s="493">
        <f>D94*地域経済性分析・初期条件!$I$13</f>
        <v>19804960.982554149</v>
      </c>
      <c r="E100" s="493">
        <f>E94*地域経済性分析・初期条件!$I$13</f>
        <v>0</v>
      </c>
      <c r="F100" s="493">
        <f>F94*地域経済性分析・初期条件!$I$13</f>
        <v>0</v>
      </c>
      <c r="G100" s="493">
        <f>G94*地域経済性分析・初期条件!$I$13</f>
        <v>0</v>
      </c>
      <c r="H100" s="493">
        <f>H94*地域経済性分析・初期条件!$I$13</f>
        <v>0</v>
      </c>
      <c r="I100" s="493">
        <f>I94*地域経済性分析・初期条件!$I$13</f>
        <v>0</v>
      </c>
      <c r="J100" s="493">
        <f>J94*地域経済性分析・初期条件!$I$13</f>
        <v>0</v>
      </c>
      <c r="K100" s="493">
        <f>K94*地域経済性分析・初期条件!$I$13</f>
        <v>0</v>
      </c>
      <c r="L100" s="493">
        <f>L94*地域経済性分析・初期条件!$I$13</f>
        <v>0</v>
      </c>
      <c r="M100" s="493">
        <f>M94*地域経済性分析・初期条件!$I$13</f>
        <v>0</v>
      </c>
      <c r="N100" s="493">
        <f>N94*地域経済性分析・初期条件!$I$13</f>
        <v>0</v>
      </c>
      <c r="O100" s="493">
        <f>O94*地域経済性分析・初期条件!$I$13</f>
        <v>0</v>
      </c>
      <c r="P100" s="493">
        <f>P94*地域経済性分析・初期条件!$I$13</f>
        <v>0</v>
      </c>
      <c r="Q100" s="493">
        <f>Q94*地域経済性分析・初期条件!$I$13</f>
        <v>0</v>
      </c>
      <c r="R100" s="493">
        <f>R94*地域経済性分析・初期条件!$I$13</f>
        <v>0</v>
      </c>
      <c r="S100" s="493">
        <f>S94*地域経済性分析・初期条件!$I$13</f>
        <v>0</v>
      </c>
      <c r="T100" s="493">
        <f>T94*地域経済性分析・初期条件!$I$13</f>
        <v>0</v>
      </c>
      <c r="U100" s="493">
        <f>U94*地域経済性分析・初期条件!$I$13</f>
        <v>0</v>
      </c>
      <c r="V100" s="493">
        <f>V94*地域経済性分析・初期条件!$I$13</f>
        <v>0</v>
      </c>
      <c r="W100" s="493">
        <f>W94*地域経済性分析・初期条件!$I$13</f>
        <v>0</v>
      </c>
      <c r="X100" s="493">
        <f>X94*地域経済性分析・初期条件!$I$13</f>
        <v>0</v>
      </c>
      <c r="Y100" s="493">
        <f>Y94*地域経済性分析・初期条件!$I$13</f>
        <v>0</v>
      </c>
      <c r="Z100" s="493">
        <f>Z94*地域経済性分析・初期条件!$I$13</f>
        <v>0</v>
      </c>
      <c r="AA100" s="493">
        <f>AA94*地域経済性分析・初期条件!$I$13</f>
        <v>0</v>
      </c>
      <c r="AB100" s="493">
        <f>AB94*地域経済性分析・初期条件!$I$13</f>
        <v>0</v>
      </c>
      <c r="AC100" s="493">
        <f>AC94*地域経済性分析・初期条件!$I$13</f>
        <v>0</v>
      </c>
      <c r="AD100" s="493">
        <f>AD94*地域経済性分析・初期条件!$I$13</f>
        <v>0</v>
      </c>
      <c r="AE100" s="493">
        <f>AE94*地域経済性分析・初期条件!$I$13</f>
        <v>0</v>
      </c>
      <c r="AF100" s="493">
        <f>AF94*地域経済性分析・初期条件!$I$13</f>
        <v>0</v>
      </c>
      <c r="AG100" s="493">
        <f>AG94*地域経済性分析・初期条件!$I$13</f>
        <v>0</v>
      </c>
      <c r="AH100" s="493">
        <f>AH94*地域経済性分析・初期条件!$I$13</f>
        <v>0</v>
      </c>
      <c r="AI100" s="535">
        <f t="shared" si="45"/>
        <v>19804960.982554149</v>
      </c>
      <c r="AJ100" s="535">
        <f t="shared" si="46"/>
        <v>19804960.982554149</v>
      </c>
      <c r="AK100" s="497">
        <f t="shared" si="47"/>
        <v>19804960.982554149</v>
      </c>
    </row>
    <row r="101" spans="1:37" ht="11.5" x14ac:dyDescent="0.25">
      <c r="A101" s="533" t="str">
        <f>A93&amp;B101</f>
        <v>建設業都道府県税収（一次）</v>
      </c>
      <c r="B101" s="439" t="s">
        <v>331</v>
      </c>
      <c r="C101" s="451" t="s">
        <v>37</v>
      </c>
      <c r="D101" s="493">
        <f>D94*地域経済性分析・初期条件!$J$13</f>
        <v>7867642.3548930157</v>
      </c>
      <c r="E101" s="493">
        <f>E94*地域経済性分析・初期条件!$J$13</f>
        <v>0</v>
      </c>
      <c r="F101" s="493">
        <f>F94*地域経済性分析・初期条件!$J$13</f>
        <v>0</v>
      </c>
      <c r="G101" s="493">
        <f>G94*地域経済性分析・初期条件!$J$13</f>
        <v>0</v>
      </c>
      <c r="H101" s="493">
        <f>H94*地域経済性分析・初期条件!$J$13</f>
        <v>0</v>
      </c>
      <c r="I101" s="493">
        <f>I94*地域経済性分析・初期条件!$J$13</f>
        <v>0</v>
      </c>
      <c r="J101" s="493">
        <f>J94*地域経済性分析・初期条件!$J$13</f>
        <v>0</v>
      </c>
      <c r="K101" s="493">
        <f>K94*地域経済性分析・初期条件!$J$13</f>
        <v>0</v>
      </c>
      <c r="L101" s="493">
        <f>L94*地域経済性分析・初期条件!$J$13</f>
        <v>0</v>
      </c>
      <c r="M101" s="493">
        <f>M94*地域経済性分析・初期条件!$J$13</f>
        <v>0</v>
      </c>
      <c r="N101" s="493">
        <f>N94*地域経済性分析・初期条件!$J$13</f>
        <v>0</v>
      </c>
      <c r="O101" s="493">
        <f>O94*地域経済性分析・初期条件!$J$13</f>
        <v>0</v>
      </c>
      <c r="P101" s="493">
        <f>P94*地域経済性分析・初期条件!$J$13</f>
        <v>0</v>
      </c>
      <c r="Q101" s="493">
        <f>Q94*地域経済性分析・初期条件!$J$13</f>
        <v>0</v>
      </c>
      <c r="R101" s="493">
        <f>R94*地域経済性分析・初期条件!$J$13</f>
        <v>0</v>
      </c>
      <c r="S101" s="493">
        <f>S94*地域経済性分析・初期条件!$J$13</f>
        <v>0</v>
      </c>
      <c r="T101" s="493">
        <f>T94*地域経済性分析・初期条件!$J$13</f>
        <v>0</v>
      </c>
      <c r="U101" s="493">
        <f>U94*地域経済性分析・初期条件!$J$13</f>
        <v>0</v>
      </c>
      <c r="V101" s="493">
        <f>V94*地域経済性分析・初期条件!$J$13</f>
        <v>0</v>
      </c>
      <c r="W101" s="493">
        <f>W94*地域経済性分析・初期条件!$J$13</f>
        <v>0</v>
      </c>
      <c r="X101" s="493">
        <f>X94*地域経済性分析・初期条件!$J$13</f>
        <v>0</v>
      </c>
      <c r="Y101" s="493">
        <f>Y94*地域経済性分析・初期条件!$J$13</f>
        <v>0</v>
      </c>
      <c r="Z101" s="493">
        <f>Z94*地域経済性分析・初期条件!$J$13</f>
        <v>0</v>
      </c>
      <c r="AA101" s="493">
        <f>AA94*地域経済性分析・初期条件!$J$13</f>
        <v>0</v>
      </c>
      <c r="AB101" s="493">
        <f>AB94*地域経済性分析・初期条件!$J$13</f>
        <v>0</v>
      </c>
      <c r="AC101" s="493">
        <f>AC94*地域経済性分析・初期条件!$J$13</f>
        <v>0</v>
      </c>
      <c r="AD101" s="493">
        <f>AD94*地域経済性分析・初期条件!$J$13</f>
        <v>0</v>
      </c>
      <c r="AE101" s="493">
        <f>AE94*地域経済性分析・初期条件!$J$13</f>
        <v>0</v>
      </c>
      <c r="AF101" s="493">
        <f>AF94*地域経済性分析・初期条件!$J$13</f>
        <v>0</v>
      </c>
      <c r="AG101" s="493">
        <f>AG94*地域経済性分析・初期条件!$J$13</f>
        <v>0</v>
      </c>
      <c r="AH101" s="493">
        <f>AH94*地域経済性分析・初期条件!$J$13</f>
        <v>0</v>
      </c>
      <c r="AI101" s="535">
        <f t="shared" si="45"/>
        <v>7867642.3548930157</v>
      </c>
      <c r="AJ101" s="535">
        <f t="shared" si="46"/>
        <v>7867642.3548930157</v>
      </c>
      <c r="AK101" s="497">
        <f t="shared" si="47"/>
        <v>7867642.3548930157</v>
      </c>
    </row>
    <row r="102" spans="1:37" ht="11.5" x14ac:dyDescent="0.25">
      <c r="A102" s="533" t="str">
        <f>A93&amp;B102</f>
        <v>建設業市町村税収（一次）</v>
      </c>
      <c r="B102" s="439" t="s">
        <v>332</v>
      </c>
      <c r="C102" s="452" t="s">
        <v>37</v>
      </c>
      <c r="D102" s="493">
        <f>D94*地域経済性分析・初期条件!$K$13</f>
        <v>3826398.2680825652</v>
      </c>
      <c r="E102" s="493">
        <f>E94*地域経済性分析・初期条件!$K$13</f>
        <v>0</v>
      </c>
      <c r="F102" s="493">
        <f>F94*地域経済性分析・初期条件!$K$13</f>
        <v>0</v>
      </c>
      <c r="G102" s="493">
        <f>G94*地域経済性分析・初期条件!$K$13</f>
        <v>0</v>
      </c>
      <c r="H102" s="493">
        <f>H94*地域経済性分析・初期条件!$K$13</f>
        <v>0</v>
      </c>
      <c r="I102" s="493">
        <f>I94*地域経済性分析・初期条件!$K$13</f>
        <v>0</v>
      </c>
      <c r="J102" s="493">
        <f>J94*地域経済性分析・初期条件!$K$13</f>
        <v>0</v>
      </c>
      <c r="K102" s="493">
        <f>K94*地域経済性分析・初期条件!$K$13</f>
        <v>0</v>
      </c>
      <c r="L102" s="493">
        <f>L94*地域経済性分析・初期条件!$K$13</f>
        <v>0</v>
      </c>
      <c r="M102" s="493">
        <f>M94*地域経済性分析・初期条件!$K$13</f>
        <v>0</v>
      </c>
      <c r="N102" s="493">
        <f>N94*地域経済性分析・初期条件!$K$13</f>
        <v>0</v>
      </c>
      <c r="O102" s="493">
        <f>O94*地域経済性分析・初期条件!$K$13</f>
        <v>0</v>
      </c>
      <c r="P102" s="493">
        <f>P94*地域経済性分析・初期条件!$K$13</f>
        <v>0</v>
      </c>
      <c r="Q102" s="493">
        <f>Q94*地域経済性分析・初期条件!$K$13</f>
        <v>0</v>
      </c>
      <c r="R102" s="493">
        <f>R94*地域経済性分析・初期条件!$K$13</f>
        <v>0</v>
      </c>
      <c r="S102" s="493">
        <f>S94*地域経済性分析・初期条件!$K$13</f>
        <v>0</v>
      </c>
      <c r="T102" s="493">
        <f>T94*地域経済性分析・初期条件!$K$13</f>
        <v>0</v>
      </c>
      <c r="U102" s="493">
        <f>U94*地域経済性分析・初期条件!$K$13</f>
        <v>0</v>
      </c>
      <c r="V102" s="493">
        <f>V94*地域経済性分析・初期条件!$K$13</f>
        <v>0</v>
      </c>
      <c r="W102" s="493">
        <f>W94*地域経済性分析・初期条件!$K$13</f>
        <v>0</v>
      </c>
      <c r="X102" s="493">
        <f>X94*地域経済性分析・初期条件!$K$13</f>
        <v>0</v>
      </c>
      <c r="Y102" s="493">
        <f>Y94*地域経済性分析・初期条件!$K$13</f>
        <v>0</v>
      </c>
      <c r="Z102" s="493">
        <f>Z94*地域経済性分析・初期条件!$K$13</f>
        <v>0</v>
      </c>
      <c r="AA102" s="493">
        <f>AA94*地域経済性分析・初期条件!$K$13</f>
        <v>0</v>
      </c>
      <c r="AB102" s="493">
        <f>AB94*地域経済性分析・初期条件!$K$13</f>
        <v>0</v>
      </c>
      <c r="AC102" s="493">
        <f>AC94*地域経済性分析・初期条件!$K$13</f>
        <v>0</v>
      </c>
      <c r="AD102" s="493">
        <f>AD94*地域経済性分析・初期条件!$K$13</f>
        <v>0</v>
      </c>
      <c r="AE102" s="493">
        <f>AE94*地域経済性分析・初期条件!$K$13</f>
        <v>0</v>
      </c>
      <c r="AF102" s="493">
        <f>AF94*地域経済性分析・初期条件!$K$13</f>
        <v>0</v>
      </c>
      <c r="AG102" s="493">
        <f>AG94*地域経済性分析・初期条件!$K$13</f>
        <v>0</v>
      </c>
      <c r="AH102" s="493">
        <f>AH94*地域経済性分析・初期条件!$K$13</f>
        <v>0</v>
      </c>
      <c r="AI102" s="535">
        <f t="shared" si="45"/>
        <v>3826398.2680825652</v>
      </c>
      <c r="AJ102" s="535">
        <f t="shared" si="46"/>
        <v>3826398.2680825652</v>
      </c>
      <c r="AK102" s="497">
        <f t="shared" si="47"/>
        <v>3826398.2680825652</v>
      </c>
    </row>
    <row r="103" spans="1:37" ht="11.5" x14ac:dyDescent="0.25">
      <c r="A103" s="533"/>
      <c r="B103" s="439" t="s">
        <v>334</v>
      </c>
      <c r="C103" s="452" t="s">
        <v>333</v>
      </c>
      <c r="D103" s="493">
        <f>D94*地域経済性分析・初期条件!$L$13</f>
        <v>49213807.394767463</v>
      </c>
      <c r="E103" s="493">
        <f>E94*地域経済性分析・初期条件!$L$13</f>
        <v>0</v>
      </c>
      <c r="F103" s="493">
        <f>F94*地域経済性分析・初期条件!$L$13</f>
        <v>0</v>
      </c>
      <c r="G103" s="493">
        <f>G94*地域経済性分析・初期条件!$L$13</f>
        <v>0</v>
      </c>
      <c r="H103" s="493">
        <f>H94*地域経済性分析・初期条件!$L$13</f>
        <v>0</v>
      </c>
      <c r="I103" s="493">
        <f>I94*地域経済性分析・初期条件!$L$13</f>
        <v>0</v>
      </c>
      <c r="J103" s="493">
        <f>J94*地域経済性分析・初期条件!$L$13</f>
        <v>0</v>
      </c>
      <c r="K103" s="493">
        <f>K94*地域経済性分析・初期条件!$L$13</f>
        <v>0</v>
      </c>
      <c r="L103" s="493">
        <f>L94*地域経済性分析・初期条件!$L$13</f>
        <v>0</v>
      </c>
      <c r="M103" s="493">
        <f>M94*地域経済性分析・初期条件!$L$13</f>
        <v>0</v>
      </c>
      <c r="N103" s="493">
        <f>N94*地域経済性分析・初期条件!$L$13</f>
        <v>0</v>
      </c>
      <c r="O103" s="493">
        <f>O94*地域経済性分析・初期条件!$L$13</f>
        <v>0</v>
      </c>
      <c r="P103" s="493">
        <f>P94*地域経済性分析・初期条件!$L$13</f>
        <v>0</v>
      </c>
      <c r="Q103" s="493">
        <f>Q94*地域経済性分析・初期条件!$L$13</f>
        <v>0</v>
      </c>
      <c r="R103" s="493">
        <f>R94*地域経済性分析・初期条件!$L$13</f>
        <v>0</v>
      </c>
      <c r="S103" s="493">
        <f>S94*地域経済性分析・初期条件!$L$13</f>
        <v>0</v>
      </c>
      <c r="T103" s="493">
        <f>T94*地域経済性分析・初期条件!$L$13</f>
        <v>0</v>
      </c>
      <c r="U103" s="493">
        <f>U94*地域経済性分析・初期条件!$L$13</f>
        <v>0</v>
      </c>
      <c r="V103" s="493">
        <f>V94*地域経済性分析・初期条件!$L$13</f>
        <v>0</v>
      </c>
      <c r="W103" s="493">
        <f>W94*地域経済性分析・初期条件!$L$13</f>
        <v>0</v>
      </c>
      <c r="X103" s="493">
        <f>X94*地域経済性分析・初期条件!$L$13</f>
        <v>0</v>
      </c>
      <c r="Y103" s="493">
        <f>Y94*地域経済性分析・初期条件!$L$13</f>
        <v>0</v>
      </c>
      <c r="Z103" s="493">
        <f>Z94*地域経済性分析・初期条件!$L$13</f>
        <v>0</v>
      </c>
      <c r="AA103" s="493">
        <f>AA94*地域経済性分析・初期条件!$L$13</f>
        <v>0</v>
      </c>
      <c r="AB103" s="493">
        <f>AB94*地域経済性分析・初期条件!$L$13</f>
        <v>0</v>
      </c>
      <c r="AC103" s="493">
        <f>AC94*地域経済性分析・初期条件!$L$13</f>
        <v>0</v>
      </c>
      <c r="AD103" s="493">
        <f>AD94*地域経済性分析・初期条件!$L$13</f>
        <v>0</v>
      </c>
      <c r="AE103" s="493">
        <f>AE94*地域経済性分析・初期条件!$L$13</f>
        <v>0</v>
      </c>
      <c r="AF103" s="493">
        <f>AF94*地域経済性分析・初期条件!$L$13</f>
        <v>0</v>
      </c>
      <c r="AG103" s="493">
        <f>AG94*地域経済性分析・初期条件!$L$13</f>
        <v>0</v>
      </c>
      <c r="AH103" s="493">
        <f>AH94*地域経済性分析・初期条件!$L$13</f>
        <v>0</v>
      </c>
      <c r="AI103" s="535">
        <f>SUM(D103:N103)</f>
        <v>49213807.394767463</v>
      </c>
      <c r="AJ103" s="535">
        <f>SUM(D103:X103)</f>
        <v>49213807.394767463</v>
      </c>
      <c r="AK103" s="497">
        <f>SUM(D103:AH103)</f>
        <v>49213807.394767463</v>
      </c>
    </row>
    <row r="104" spans="1:37" ht="11.5" x14ac:dyDescent="0.25">
      <c r="A104" s="533"/>
      <c r="B104" s="439" t="s">
        <v>335</v>
      </c>
      <c r="C104" s="452" t="s">
        <v>333</v>
      </c>
      <c r="D104" s="493">
        <f>D94*地域経済性分析・初期条件!$M$13</f>
        <v>44689324.133803919</v>
      </c>
      <c r="E104" s="493">
        <f>E94*地域経済性分析・初期条件!$M$13</f>
        <v>0</v>
      </c>
      <c r="F104" s="493">
        <f>F94*地域経済性分析・初期条件!$M$13</f>
        <v>0</v>
      </c>
      <c r="G104" s="493">
        <f>G94*地域経済性分析・初期条件!$M$13</f>
        <v>0</v>
      </c>
      <c r="H104" s="493">
        <f>H94*地域経済性分析・初期条件!$M$13</f>
        <v>0</v>
      </c>
      <c r="I104" s="493">
        <f>I94*地域経済性分析・初期条件!$M$13</f>
        <v>0</v>
      </c>
      <c r="J104" s="493">
        <f>J94*地域経済性分析・初期条件!$M$13</f>
        <v>0</v>
      </c>
      <c r="K104" s="493">
        <f>K94*地域経済性分析・初期条件!$M$13</f>
        <v>0</v>
      </c>
      <c r="L104" s="493">
        <f>L94*地域経済性分析・初期条件!$M$13</f>
        <v>0</v>
      </c>
      <c r="M104" s="493">
        <f>M94*地域経済性分析・初期条件!$M$13</f>
        <v>0</v>
      </c>
      <c r="N104" s="493">
        <f>N94*地域経済性分析・初期条件!$M$13</f>
        <v>0</v>
      </c>
      <c r="O104" s="493">
        <f>O94*地域経済性分析・初期条件!$M$13</f>
        <v>0</v>
      </c>
      <c r="P104" s="493">
        <f>P94*地域経済性分析・初期条件!$M$13</f>
        <v>0</v>
      </c>
      <c r="Q104" s="493">
        <f>Q94*地域経済性分析・初期条件!$M$13</f>
        <v>0</v>
      </c>
      <c r="R104" s="493">
        <f>R94*地域経済性分析・初期条件!$M$13</f>
        <v>0</v>
      </c>
      <c r="S104" s="493">
        <f>S94*地域経済性分析・初期条件!$M$13</f>
        <v>0</v>
      </c>
      <c r="T104" s="493">
        <f>T94*地域経済性分析・初期条件!$M$13</f>
        <v>0</v>
      </c>
      <c r="U104" s="493">
        <f>U94*地域経済性分析・初期条件!$M$13</f>
        <v>0</v>
      </c>
      <c r="V104" s="493">
        <f>V94*地域経済性分析・初期条件!$M$13</f>
        <v>0</v>
      </c>
      <c r="W104" s="493">
        <f>W94*地域経済性分析・初期条件!$M$13</f>
        <v>0</v>
      </c>
      <c r="X104" s="493">
        <f>X94*地域経済性分析・初期条件!$M$13</f>
        <v>0</v>
      </c>
      <c r="Y104" s="493">
        <f>Y94*地域経済性分析・初期条件!$M$13</f>
        <v>0</v>
      </c>
      <c r="Z104" s="493">
        <f>Z94*地域経済性分析・初期条件!$M$13</f>
        <v>0</v>
      </c>
      <c r="AA104" s="493">
        <f>AA94*地域経済性分析・初期条件!$M$13</f>
        <v>0</v>
      </c>
      <c r="AB104" s="493">
        <f>AB94*地域経済性分析・初期条件!$M$13</f>
        <v>0</v>
      </c>
      <c r="AC104" s="493">
        <f>AC94*地域経済性分析・初期条件!$M$13</f>
        <v>0</v>
      </c>
      <c r="AD104" s="493">
        <f>AD94*地域経済性分析・初期条件!$M$13</f>
        <v>0</v>
      </c>
      <c r="AE104" s="493">
        <f>AE94*地域経済性分析・初期条件!$M$13</f>
        <v>0</v>
      </c>
      <c r="AF104" s="493">
        <f>AF94*地域経済性分析・初期条件!$M$13</f>
        <v>0</v>
      </c>
      <c r="AG104" s="493">
        <f>AG94*地域経済性分析・初期条件!$M$13</f>
        <v>0</v>
      </c>
      <c r="AH104" s="493">
        <f>AH94*地域経済性分析・初期条件!$M$13</f>
        <v>0</v>
      </c>
      <c r="AI104" s="535">
        <f>SUM(D104:N104)</f>
        <v>44689324.133803919</v>
      </c>
      <c r="AJ104" s="535">
        <f>SUM(D104:X104)</f>
        <v>44689324.133803919</v>
      </c>
      <c r="AK104" s="497">
        <f>SUM(D104:AH104)</f>
        <v>44689324.133803919</v>
      </c>
    </row>
    <row r="105" spans="1:37" ht="11.5" x14ac:dyDescent="0.25">
      <c r="A105" s="533"/>
      <c r="B105" s="439" t="s">
        <v>336</v>
      </c>
      <c r="C105" s="452" t="s">
        <v>333</v>
      </c>
      <c r="D105" s="493">
        <f>D94*地域経済性分析・初期条件!$N$13</f>
        <v>10224762.726983385</v>
      </c>
      <c r="E105" s="493">
        <f>E94*地域経済性分析・初期条件!$N$13</f>
        <v>0</v>
      </c>
      <c r="F105" s="493">
        <f>F94*地域経済性分析・初期条件!$N$13</f>
        <v>0</v>
      </c>
      <c r="G105" s="493">
        <f>G94*地域経済性分析・初期条件!$N$13</f>
        <v>0</v>
      </c>
      <c r="H105" s="493">
        <f>H94*地域経済性分析・初期条件!$N$13</f>
        <v>0</v>
      </c>
      <c r="I105" s="493">
        <f>I94*地域経済性分析・初期条件!$N$13</f>
        <v>0</v>
      </c>
      <c r="J105" s="493">
        <f>J94*地域経済性分析・初期条件!$N$13</f>
        <v>0</v>
      </c>
      <c r="K105" s="493">
        <f>K94*地域経済性分析・初期条件!$N$13</f>
        <v>0</v>
      </c>
      <c r="L105" s="493">
        <f>L94*地域経済性分析・初期条件!$N$13</f>
        <v>0</v>
      </c>
      <c r="M105" s="493">
        <f>M94*地域経済性分析・初期条件!$N$13</f>
        <v>0</v>
      </c>
      <c r="N105" s="493">
        <f>N94*地域経済性分析・初期条件!$N$13</f>
        <v>0</v>
      </c>
      <c r="O105" s="493">
        <f>O94*地域経済性分析・初期条件!$N$13</f>
        <v>0</v>
      </c>
      <c r="P105" s="493">
        <f>P94*地域経済性分析・初期条件!$N$13</f>
        <v>0</v>
      </c>
      <c r="Q105" s="493">
        <f>Q94*地域経済性分析・初期条件!$N$13</f>
        <v>0</v>
      </c>
      <c r="R105" s="493">
        <f>R94*地域経済性分析・初期条件!$N$13</f>
        <v>0</v>
      </c>
      <c r="S105" s="493">
        <f>S94*地域経済性分析・初期条件!$N$13</f>
        <v>0</v>
      </c>
      <c r="T105" s="493">
        <f>T94*地域経済性分析・初期条件!$N$13</f>
        <v>0</v>
      </c>
      <c r="U105" s="493">
        <f>U94*地域経済性分析・初期条件!$N$13</f>
        <v>0</v>
      </c>
      <c r="V105" s="493">
        <f>V94*地域経済性分析・初期条件!$N$13</f>
        <v>0</v>
      </c>
      <c r="W105" s="493">
        <f>W94*地域経済性分析・初期条件!$N$13</f>
        <v>0</v>
      </c>
      <c r="X105" s="493">
        <f>X94*地域経済性分析・初期条件!$N$13</f>
        <v>0</v>
      </c>
      <c r="Y105" s="493">
        <f>Y94*地域経済性分析・初期条件!$N$13</f>
        <v>0</v>
      </c>
      <c r="Z105" s="493">
        <f>Z94*地域経済性分析・初期条件!$N$13</f>
        <v>0</v>
      </c>
      <c r="AA105" s="493">
        <f>AA94*地域経済性分析・初期条件!$N$13</f>
        <v>0</v>
      </c>
      <c r="AB105" s="493">
        <f>AB94*地域経済性分析・初期条件!$N$13</f>
        <v>0</v>
      </c>
      <c r="AC105" s="493">
        <f>AC94*地域経済性分析・初期条件!$N$13</f>
        <v>0</v>
      </c>
      <c r="AD105" s="493">
        <f>AD94*地域経済性分析・初期条件!$N$13</f>
        <v>0</v>
      </c>
      <c r="AE105" s="493">
        <f>AE94*地域経済性分析・初期条件!$N$13</f>
        <v>0</v>
      </c>
      <c r="AF105" s="493">
        <f>AF94*地域経済性分析・初期条件!$N$13</f>
        <v>0</v>
      </c>
      <c r="AG105" s="493">
        <f>AG94*地域経済性分析・初期条件!$N$13</f>
        <v>0</v>
      </c>
      <c r="AH105" s="493">
        <f>AH94*地域経済性分析・初期条件!$N$13</f>
        <v>0</v>
      </c>
      <c r="AI105" s="535">
        <f>SUM(D105:N105)</f>
        <v>10224762.726983385</v>
      </c>
      <c r="AJ105" s="535">
        <f>SUM(D105:X105)</f>
        <v>10224762.726983385</v>
      </c>
      <c r="AK105" s="497">
        <f>SUM(D105:AH105)</f>
        <v>10224762.726983385</v>
      </c>
    </row>
    <row r="106" spans="1:37" ht="11.5" x14ac:dyDescent="0.25">
      <c r="A106" s="533"/>
      <c r="B106" s="439" t="s">
        <v>337</v>
      </c>
      <c r="C106" s="452" t="s">
        <v>333</v>
      </c>
      <c r="D106" s="493">
        <f>D94*地域経済性分析・初期条件!$O$13</f>
        <v>3585840.8720449908</v>
      </c>
      <c r="E106" s="493">
        <f>E94*地域経済性分析・初期条件!$O$13</f>
        <v>0</v>
      </c>
      <c r="F106" s="493">
        <f>F94*地域経済性分析・初期条件!$O$13</f>
        <v>0</v>
      </c>
      <c r="G106" s="493">
        <f>G94*地域経済性分析・初期条件!$O$13</f>
        <v>0</v>
      </c>
      <c r="H106" s="493">
        <f>H94*地域経済性分析・初期条件!$O$13</f>
        <v>0</v>
      </c>
      <c r="I106" s="493">
        <f>I94*地域経済性分析・初期条件!$O$13</f>
        <v>0</v>
      </c>
      <c r="J106" s="493">
        <f>J94*地域経済性分析・初期条件!$O$13</f>
        <v>0</v>
      </c>
      <c r="K106" s="493">
        <f>K94*地域経済性分析・初期条件!$O$13</f>
        <v>0</v>
      </c>
      <c r="L106" s="493">
        <f>L94*地域経済性分析・初期条件!$O$13</f>
        <v>0</v>
      </c>
      <c r="M106" s="493">
        <f>M94*地域経済性分析・初期条件!$O$13</f>
        <v>0</v>
      </c>
      <c r="N106" s="493">
        <f>N94*地域経済性分析・初期条件!$O$13</f>
        <v>0</v>
      </c>
      <c r="O106" s="493">
        <f>O94*地域経済性分析・初期条件!$O$13</f>
        <v>0</v>
      </c>
      <c r="P106" s="493">
        <f>P94*地域経済性分析・初期条件!$O$13</f>
        <v>0</v>
      </c>
      <c r="Q106" s="493">
        <f>Q94*地域経済性分析・初期条件!$O$13</f>
        <v>0</v>
      </c>
      <c r="R106" s="493">
        <f>R94*地域経済性分析・初期条件!$O$13</f>
        <v>0</v>
      </c>
      <c r="S106" s="493">
        <f>S94*地域経済性分析・初期条件!$O$13</f>
        <v>0</v>
      </c>
      <c r="T106" s="493">
        <f>T94*地域経済性分析・初期条件!$O$13</f>
        <v>0</v>
      </c>
      <c r="U106" s="493">
        <f>U94*地域経済性分析・初期条件!$O$13</f>
        <v>0</v>
      </c>
      <c r="V106" s="493">
        <f>V94*地域経済性分析・初期条件!$O$13</f>
        <v>0</v>
      </c>
      <c r="W106" s="493">
        <f>W94*地域経済性分析・初期条件!$O$13</f>
        <v>0</v>
      </c>
      <c r="X106" s="493">
        <f>X94*地域経済性分析・初期条件!$O$13</f>
        <v>0</v>
      </c>
      <c r="Y106" s="493">
        <f>Y94*地域経済性分析・初期条件!$O$13</f>
        <v>0</v>
      </c>
      <c r="Z106" s="493">
        <f>Z94*地域経済性分析・初期条件!$O$13</f>
        <v>0</v>
      </c>
      <c r="AA106" s="493">
        <f>AA94*地域経済性分析・初期条件!$O$13</f>
        <v>0</v>
      </c>
      <c r="AB106" s="493">
        <f>AB94*地域経済性分析・初期条件!$O$13</f>
        <v>0</v>
      </c>
      <c r="AC106" s="493">
        <f>AC94*地域経済性分析・初期条件!$O$13</f>
        <v>0</v>
      </c>
      <c r="AD106" s="493">
        <f>AD94*地域経済性分析・初期条件!$O$13</f>
        <v>0</v>
      </c>
      <c r="AE106" s="493">
        <f>AE94*地域経済性分析・初期条件!$O$13</f>
        <v>0</v>
      </c>
      <c r="AF106" s="493">
        <f>AF94*地域経済性分析・初期条件!$O$13</f>
        <v>0</v>
      </c>
      <c r="AG106" s="493">
        <f>AG94*地域経済性分析・初期条件!$O$13</f>
        <v>0</v>
      </c>
      <c r="AH106" s="493">
        <f>AH94*地域経済性分析・初期条件!$O$13</f>
        <v>0</v>
      </c>
      <c r="AI106" s="535">
        <f>SUM(D106:N106)</f>
        <v>3585840.8720449908</v>
      </c>
      <c r="AJ106" s="535">
        <f>SUM(D106:X106)</f>
        <v>3585840.8720449908</v>
      </c>
      <c r="AK106" s="497">
        <f>SUM(D106:AH106)</f>
        <v>3585840.8720449908</v>
      </c>
    </row>
    <row r="107" spans="1:37" ht="11.5" x14ac:dyDescent="0.25">
      <c r="A107" s="488">
        <f>地域経済性分析・初期条件!$G$14</f>
        <v>0</v>
      </c>
      <c r="C107" s="452"/>
      <c r="D107" s="493"/>
      <c r="E107" s="493"/>
      <c r="F107" s="465"/>
      <c r="G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535"/>
      <c r="AJ107" s="535"/>
      <c r="AK107" s="497"/>
    </row>
    <row r="108" spans="1:37" ht="11.5" x14ac:dyDescent="0.25">
      <c r="A108" s="533" t="str">
        <f>A107&amp;B108</f>
        <v>0売上（税別）</v>
      </c>
      <c r="B108" s="439" t="s">
        <v>1092</v>
      </c>
      <c r="C108" s="451" t="s">
        <v>37</v>
      </c>
      <c r="D108" s="493">
        <f>D92*地域経済性分析・初期条件!$F$14</f>
        <v>0</v>
      </c>
      <c r="E108" s="493">
        <f>E92*地域経済性分析・初期条件!$F$14</f>
        <v>0</v>
      </c>
      <c r="F108" s="493">
        <f>F92*地域経済性分析・初期条件!$F$14</f>
        <v>0</v>
      </c>
      <c r="G108" s="493">
        <f>G92*地域経済性分析・初期条件!$F$14</f>
        <v>0</v>
      </c>
      <c r="H108" s="493">
        <f>H92*地域経済性分析・初期条件!$F$14</f>
        <v>0</v>
      </c>
      <c r="I108" s="493">
        <f>I92*地域経済性分析・初期条件!$F$14</f>
        <v>0</v>
      </c>
      <c r="J108" s="493">
        <f>J92*地域経済性分析・初期条件!$F$14</f>
        <v>0</v>
      </c>
      <c r="K108" s="493">
        <f>K92*地域経済性分析・初期条件!$F$14</f>
        <v>0</v>
      </c>
      <c r="L108" s="493">
        <f>L92*地域経済性分析・初期条件!$F$14</f>
        <v>0</v>
      </c>
      <c r="M108" s="493">
        <f>M92*地域経済性分析・初期条件!$F$14</f>
        <v>0</v>
      </c>
      <c r="N108" s="493">
        <f>N92*地域経済性分析・初期条件!$F$14</f>
        <v>0</v>
      </c>
      <c r="O108" s="493">
        <f>O92*地域経済性分析・初期条件!$F$14</f>
        <v>0</v>
      </c>
      <c r="P108" s="493">
        <f>P92*地域経済性分析・初期条件!$F$14</f>
        <v>0</v>
      </c>
      <c r="Q108" s="493">
        <f>Q92*地域経済性分析・初期条件!$F$14</f>
        <v>0</v>
      </c>
      <c r="R108" s="493">
        <f>R92*地域経済性分析・初期条件!$F$14</f>
        <v>0</v>
      </c>
      <c r="S108" s="493">
        <f>S92*地域経済性分析・初期条件!$F$14</f>
        <v>0</v>
      </c>
      <c r="T108" s="493">
        <f>T92*地域経済性分析・初期条件!$F$14</f>
        <v>0</v>
      </c>
      <c r="U108" s="493">
        <f>U92*地域経済性分析・初期条件!$F$14</f>
        <v>0</v>
      </c>
      <c r="V108" s="493">
        <f>V92*地域経済性分析・初期条件!$F$14</f>
        <v>0</v>
      </c>
      <c r="W108" s="493">
        <f>W92*地域経済性分析・初期条件!$F$14</f>
        <v>0</v>
      </c>
      <c r="X108" s="493">
        <f>X92*地域経済性分析・初期条件!$F$14</f>
        <v>0</v>
      </c>
      <c r="Y108" s="493">
        <f>Y92*地域経済性分析・初期条件!$F$14</f>
        <v>0</v>
      </c>
      <c r="Z108" s="493">
        <f>Z92*地域経済性分析・初期条件!$F$14</f>
        <v>0</v>
      </c>
      <c r="AA108" s="493">
        <f>AA92*地域経済性分析・初期条件!$F$14</f>
        <v>0</v>
      </c>
      <c r="AB108" s="493">
        <f>AB92*地域経済性分析・初期条件!$F$14</f>
        <v>0</v>
      </c>
      <c r="AC108" s="493">
        <f>AC92*地域経済性分析・初期条件!$F$14</f>
        <v>0</v>
      </c>
      <c r="AD108" s="493">
        <f>AD92*地域経済性分析・初期条件!$F$14</f>
        <v>0</v>
      </c>
      <c r="AE108" s="493">
        <f>AE92*地域経済性分析・初期条件!$F$14</f>
        <v>0</v>
      </c>
      <c r="AF108" s="493">
        <f>AF92*地域経済性分析・初期条件!$F$14</f>
        <v>0</v>
      </c>
      <c r="AG108" s="493">
        <f>AG92*地域経済性分析・初期条件!$F$14</f>
        <v>0</v>
      </c>
      <c r="AH108" s="493">
        <f>AH92*地域経済性分析・初期条件!$F$14</f>
        <v>0</v>
      </c>
      <c r="AI108" s="535">
        <f t="shared" ref="AI108:AI116" si="51">SUM(D108:N108)</f>
        <v>0</v>
      </c>
      <c r="AJ108" s="535">
        <f>SUM(D108:X108)</f>
        <v>0</v>
      </c>
      <c r="AK108" s="497">
        <f>SUM(D108:AH108)</f>
        <v>0</v>
      </c>
    </row>
    <row r="109" spans="1:37" ht="11.5" x14ac:dyDescent="0.25">
      <c r="A109" s="533"/>
      <c r="B109" s="439" t="s">
        <v>1136</v>
      </c>
      <c r="C109" s="451" t="s">
        <v>37</v>
      </c>
      <c r="D109" s="493">
        <f>D108*波及効果シート!$D$72</f>
        <v>0</v>
      </c>
      <c r="E109" s="493">
        <f>E108*波及効果シート!$D$72</f>
        <v>0</v>
      </c>
      <c r="F109" s="493">
        <f>F108*波及効果シート!$D$72</f>
        <v>0</v>
      </c>
      <c r="G109" s="493">
        <f>G108*波及効果シート!$D$72</f>
        <v>0</v>
      </c>
      <c r="H109" s="493">
        <f>H108*波及効果シート!$D$72</f>
        <v>0</v>
      </c>
      <c r="I109" s="493">
        <f>I108*波及効果シート!$D$72</f>
        <v>0</v>
      </c>
      <c r="J109" s="493">
        <f>J108*波及効果シート!$D$72</f>
        <v>0</v>
      </c>
      <c r="K109" s="493">
        <f>K108*波及効果シート!$D$72</f>
        <v>0</v>
      </c>
      <c r="L109" s="493">
        <f>L108*波及効果シート!$D$72</f>
        <v>0</v>
      </c>
      <c r="M109" s="493">
        <f>M108*波及効果シート!$D$72</f>
        <v>0</v>
      </c>
      <c r="N109" s="493">
        <f>N108*波及効果シート!$D$72</f>
        <v>0</v>
      </c>
      <c r="O109" s="493">
        <f>O108*波及効果シート!$D$72</f>
        <v>0</v>
      </c>
      <c r="P109" s="493">
        <f>P108*波及効果シート!$D$72</f>
        <v>0</v>
      </c>
      <c r="Q109" s="493">
        <f>Q108*波及効果シート!$D$72</f>
        <v>0</v>
      </c>
      <c r="R109" s="493">
        <f>R108*波及効果シート!$D$72</f>
        <v>0</v>
      </c>
      <c r="S109" s="493">
        <f>S108*波及効果シート!$D$72</f>
        <v>0</v>
      </c>
      <c r="T109" s="493">
        <f>T108*波及効果シート!$D$72</f>
        <v>0</v>
      </c>
      <c r="U109" s="493">
        <f>U108*波及効果シート!$D$72</f>
        <v>0</v>
      </c>
      <c r="V109" s="493">
        <f>V108*波及効果シート!$D$72</f>
        <v>0</v>
      </c>
      <c r="W109" s="493">
        <f>W108*波及効果シート!$D$72</f>
        <v>0</v>
      </c>
      <c r="X109" s="493">
        <f>X108*波及効果シート!$D$72</f>
        <v>0</v>
      </c>
      <c r="Y109" s="493">
        <f>Y108*波及効果シート!$D$72</f>
        <v>0</v>
      </c>
      <c r="Z109" s="493">
        <f>Z108*波及効果シート!$D$72</f>
        <v>0</v>
      </c>
      <c r="AA109" s="493">
        <f>AA108*波及効果シート!$D$72</f>
        <v>0</v>
      </c>
      <c r="AB109" s="493">
        <f>AB108*波及効果シート!$D$72</f>
        <v>0</v>
      </c>
      <c r="AC109" s="493">
        <f>AC108*波及効果シート!$D$72</f>
        <v>0</v>
      </c>
      <c r="AD109" s="493">
        <f>AD108*波及効果シート!$D$72</f>
        <v>0</v>
      </c>
      <c r="AE109" s="493">
        <f>AE108*波及効果シート!$D$72</f>
        <v>0</v>
      </c>
      <c r="AF109" s="493">
        <f>AF108*波及効果シート!$D$72</f>
        <v>0</v>
      </c>
      <c r="AG109" s="493">
        <f>AG108*波及効果シート!$D$72</f>
        <v>0</v>
      </c>
      <c r="AH109" s="493">
        <f>AH108*波及効果シート!$D$72</f>
        <v>0</v>
      </c>
      <c r="AI109" s="535">
        <f t="shared" ref="AI109:AI110" si="52">SUM(D109:N109)</f>
        <v>0</v>
      </c>
      <c r="AJ109" s="535">
        <f t="shared" ref="AJ109:AJ110" si="53">SUM(D109:X109)</f>
        <v>0</v>
      </c>
      <c r="AK109" s="497">
        <f t="shared" ref="AK109:AK110" si="54">SUM(D109:AH109)</f>
        <v>0</v>
      </c>
    </row>
    <row r="110" spans="1:37" ht="11.5" x14ac:dyDescent="0.25">
      <c r="A110" s="533"/>
      <c r="B110" s="439" t="s">
        <v>1137</v>
      </c>
      <c r="C110" s="452" t="s">
        <v>37</v>
      </c>
      <c r="D110" s="493">
        <f>D108*波及効果シート!$D$74</f>
        <v>0</v>
      </c>
      <c r="E110" s="493">
        <f>E108*波及効果シート!$D$74</f>
        <v>0</v>
      </c>
      <c r="F110" s="493">
        <f>F108*波及効果シート!$D$74</f>
        <v>0</v>
      </c>
      <c r="G110" s="493">
        <f>G108*波及効果シート!$D$74</f>
        <v>0</v>
      </c>
      <c r="H110" s="493">
        <f>H108*波及効果シート!$D$74</f>
        <v>0</v>
      </c>
      <c r="I110" s="493">
        <f>I108*波及効果シート!$D$74</f>
        <v>0</v>
      </c>
      <c r="J110" s="493">
        <f>J108*波及効果シート!$D$74</f>
        <v>0</v>
      </c>
      <c r="K110" s="493">
        <f>K108*波及効果シート!$D$74</f>
        <v>0</v>
      </c>
      <c r="L110" s="493">
        <f>L108*波及効果シート!$D$74</f>
        <v>0</v>
      </c>
      <c r="M110" s="493">
        <f>M108*波及効果シート!$D$74</f>
        <v>0</v>
      </c>
      <c r="N110" s="493">
        <f>N108*波及効果シート!$D$74</f>
        <v>0</v>
      </c>
      <c r="O110" s="493">
        <f>O108*波及効果シート!$D$74</f>
        <v>0</v>
      </c>
      <c r="P110" s="493">
        <f>P108*波及効果シート!$D$74</f>
        <v>0</v>
      </c>
      <c r="Q110" s="493">
        <f>Q108*波及効果シート!$D$74</f>
        <v>0</v>
      </c>
      <c r="R110" s="493">
        <f>R108*波及効果シート!$D$74</f>
        <v>0</v>
      </c>
      <c r="S110" s="493">
        <f>S108*波及効果シート!$D$74</f>
        <v>0</v>
      </c>
      <c r="T110" s="493">
        <f>T108*波及効果シート!$D$74</f>
        <v>0</v>
      </c>
      <c r="U110" s="493">
        <f>U108*波及効果シート!$D$74</f>
        <v>0</v>
      </c>
      <c r="V110" s="493">
        <f>V108*波及効果シート!$D$74</f>
        <v>0</v>
      </c>
      <c r="W110" s="493">
        <f>W108*波及効果シート!$D$74</f>
        <v>0</v>
      </c>
      <c r="X110" s="493">
        <f>X108*波及効果シート!$D$74</f>
        <v>0</v>
      </c>
      <c r="Y110" s="493">
        <f>Y108*波及効果シート!$D$74</f>
        <v>0</v>
      </c>
      <c r="Z110" s="493">
        <f>Z108*波及効果シート!$D$74</f>
        <v>0</v>
      </c>
      <c r="AA110" s="493">
        <f>AA108*波及効果シート!$D$74</f>
        <v>0</v>
      </c>
      <c r="AB110" s="493">
        <f>AB108*波及効果シート!$D$74</f>
        <v>0</v>
      </c>
      <c r="AC110" s="493">
        <f>AC108*波及効果シート!$D$74</f>
        <v>0</v>
      </c>
      <c r="AD110" s="493">
        <f>AD108*波及効果シート!$D$74</f>
        <v>0</v>
      </c>
      <c r="AE110" s="493">
        <f>AE108*波及効果シート!$D$74</f>
        <v>0</v>
      </c>
      <c r="AF110" s="493">
        <f>AF108*波及効果シート!$D$74</f>
        <v>0</v>
      </c>
      <c r="AG110" s="493">
        <f>AG108*波及効果シート!$D$74</f>
        <v>0</v>
      </c>
      <c r="AH110" s="493">
        <f>AH108*波及効果シート!$D$74</f>
        <v>0</v>
      </c>
      <c r="AI110" s="535">
        <f t="shared" si="52"/>
        <v>0</v>
      </c>
      <c r="AJ110" s="535">
        <f t="shared" si="53"/>
        <v>0</v>
      </c>
      <c r="AK110" s="497">
        <f t="shared" si="54"/>
        <v>0</v>
      </c>
    </row>
    <row r="111" spans="1:37" ht="11.5" x14ac:dyDescent="0.25">
      <c r="A111" s="533"/>
      <c r="B111" s="439" t="s">
        <v>351</v>
      </c>
      <c r="C111" s="452" t="s">
        <v>333</v>
      </c>
      <c r="D111" s="493">
        <f>D108*地域経済性分析・初期条件!$P$14</f>
        <v>0</v>
      </c>
      <c r="E111" s="493">
        <f>E108*地域経済性分析・初期条件!$P$14</f>
        <v>0</v>
      </c>
      <c r="F111" s="493">
        <f>F108*地域経済性分析・初期条件!$P$14</f>
        <v>0</v>
      </c>
      <c r="G111" s="493">
        <f>G108*地域経済性分析・初期条件!$P$14</f>
        <v>0</v>
      </c>
      <c r="H111" s="493">
        <f>H108*地域経済性分析・初期条件!$P$14</f>
        <v>0</v>
      </c>
      <c r="I111" s="493">
        <f>I108*地域経済性分析・初期条件!$P$14</f>
        <v>0</v>
      </c>
      <c r="J111" s="493">
        <f>J108*地域経済性分析・初期条件!$P$14</f>
        <v>0</v>
      </c>
      <c r="K111" s="493">
        <f>K108*地域経済性分析・初期条件!$P$14</f>
        <v>0</v>
      </c>
      <c r="L111" s="493">
        <f>L108*地域経済性分析・初期条件!$P$14</f>
        <v>0</v>
      </c>
      <c r="M111" s="493">
        <f>M108*地域経済性分析・初期条件!$P$14</f>
        <v>0</v>
      </c>
      <c r="N111" s="493">
        <f>N108*地域経済性分析・初期条件!$P$14</f>
        <v>0</v>
      </c>
      <c r="O111" s="493">
        <f>O108*地域経済性分析・初期条件!$P$14</f>
        <v>0</v>
      </c>
      <c r="P111" s="493">
        <f>P108*地域経済性分析・初期条件!$P$14</f>
        <v>0</v>
      </c>
      <c r="Q111" s="493">
        <f>Q108*地域経済性分析・初期条件!$P$14</f>
        <v>0</v>
      </c>
      <c r="R111" s="493">
        <f>R108*地域経済性分析・初期条件!$P$14</f>
        <v>0</v>
      </c>
      <c r="S111" s="493">
        <f>S108*地域経済性分析・初期条件!$P$14</f>
        <v>0</v>
      </c>
      <c r="T111" s="493">
        <f>T108*地域経済性分析・初期条件!$P$14</f>
        <v>0</v>
      </c>
      <c r="U111" s="493">
        <f>U108*地域経済性分析・初期条件!$P$14</f>
        <v>0</v>
      </c>
      <c r="V111" s="493">
        <f>V108*地域経済性分析・初期条件!$P$14</f>
        <v>0</v>
      </c>
      <c r="W111" s="493">
        <f>W108*地域経済性分析・初期条件!$P$14</f>
        <v>0</v>
      </c>
      <c r="X111" s="493">
        <f>X108*地域経済性分析・初期条件!$P$14</f>
        <v>0</v>
      </c>
      <c r="Y111" s="493">
        <f>Y108*地域経済性分析・初期条件!$P$14</f>
        <v>0</v>
      </c>
      <c r="Z111" s="493">
        <f>Z108*地域経済性分析・初期条件!$P$14</f>
        <v>0</v>
      </c>
      <c r="AA111" s="493">
        <f>AA108*地域経済性分析・初期条件!$P$14</f>
        <v>0</v>
      </c>
      <c r="AB111" s="493">
        <f>AB108*地域経済性分析・初期条件!$P$14</f>
        <v>0</v>
      </c>
      <c r="AC111" s="493">
        <f>AC108*地域経済性分析・初期条件!$P$14</f>
        <v>0</v>
      </c>
      <c r="AD111" s="493">
        <f>AD108*地域経済性分析・初期条件!$P$14</f>
        <v>0</v>
      </c>
      <c r="AE111" s="493">
        <f>AE108*地域経済性分析・初期条件!$P$14</f>
        <v>0</v>
      </c>
      <c r="AF111" s="493">
        <f>AF108*地域経済性分析・初期条件!$P$14</f>
        <v>0</v>
      </c>
      <c r="AG111" s="493">
        <f>AG108*地域経済性分析・初期条件!$P$14</f>
        <v>0</v>
      </c>
      <c r="AH111" s="493">
        <f>AH108*地域経済性分析・初期条件!$P$14</f>
        <v>0</v>
      </c>
      <c r="AI111" s="535">
        <f t="shared" si="51"/>
        <v>0</v>
      </c>
      <c r="AJ111" s="535">
        <f>SUM(D111:X111)</f>
        <v>0</v>
      </c>
      <c r="AK111" s="497">
        <f>SUM(D111:AH111)</f>
        <v>0</v>
      </c>
    </row>
    <row r="112" spans="1:37" ht="11.5" x14ac:dyDescent="0.25">
      <c r="A112" s="533"/>
      <c r="B112" s="439" t="s">
        <v>350</v>
      </c>
      <c r="C112" s="452" t="s">
        <v>333</v>
      </c>
      <c r="D112" s="493">
        <f>D108*地域経済性分析・初期条件!$Q$14</f>
        <v>0</v>
      </c>
      <c r="E112" s="493">
        <f>E108*地域経済性分析・初期条件!$Q$14</f>
        <v>0</v>
      </c>
      <c r="F112" s="493">
        <f>F108*地域経済性分析・初期条件!$Q$14</f>
        <v>0</v>
      </c>
      <c r="G112" s="493">
        <f>G108*地域経済性分析・初期条件!$Q$14</f>
        <v>0</v>
      </c>
      <c r="H112" s="493">
        <f>H108*地域経済性分析・初期条件!$Q$14</f>
        <v>0</v>
      </c>
      <c r="I112" s="493">
        <f>I108*地域経済性分析・初期条件!$Q$14</f>
        <v>0</v>
      </c>
      <c r="J112" s="493">
        <f>J108*地域経済性分析・初期条件!$Q$14</f>
        <v>0</v>
      </c>
      <c r="K112" s="493">
        <f>K108*地域経済性分析・初期条件!$Q$14</f>
        <v>0</v>
      </c>
      <c r="L112" s="493">
        <f>L108*地域経済性分析・初期条件!$Q$14</f>
        <v>0</v>
      </c>
      <c r="M112" s="493">
        <f>M108*地域経済性分析・初期条件!$Q$14</f>
        <v>0</v>
      </c>
      <c r="N112" s="493">
        <f>N108*地域経済性分析・初期条件!$Q$14</f>
        <v>0</v>
      </c>
      <c r="O112" s="493">
        <f>O108*地域経済性分析・初期条件!$Q$14</f>
        <v>0</v>
      </c>
      <c r="P112" s="493">
        <f>P108*地域経済性分析・初期条件!$Q$14</f>
        <v>0</v>
      </c>
      <c r="Q112" s="493">
        <f>Q108*地域経済性分析・初期条件!$Q$14</f>
        <v>0</v>
      </c>
      <c r="R112" s="493">
        <f>R108*地域経済性分析・初期条件!$Q$14</f>
        <v>0</v>
      </c>
      <c r="S112" s="493">
        <f>S108*地域経済性分析・初期条件!$Q$14</f>
        <v>0</v>
      </c>
      <c r="T112" s="493">
        <f>T108*地域経済性分析・初期条件!$Q$14</f>
        <v>0</v>
      </c>
      <c r="U112" s="493">
        <f>U108*地域経済性分析・初期条件!$Q$14</f>
        <v>0</v>
      </c>
      <c r="V112" s="493">
        <f>V108*地域経済性分析・初期条件!$Q$14</f>
        <v>0</v>
      </c>
      <c r="W112" s="493">
        <f>W108*地域経済性分析・初期条件!$Q$14</f>
        <v>0</v>
      </c>
      <c r="X112" s="493">
        <f>X108*地域経済性分析・初期条件!$Q$14</f>
        <v>0</v>
      </c>
      <c r="Y112" s="493">
        <f>Y108*地域経済性分析・初期条件!$Q$14</f>
        <v>0</v>
      </c>
      <c r="Z112" s="493">
        <f>Z108*地域経済性分析・初期条件!$Q$14</f>
        <v>0</v>
      </c>
      <c r="AA112" s="493">
        <f>AA108*地域経済性分析・初期条件!$Q$14</f>
        <v>0</v>
      </c>
      <c r="AB112" s="493">
        <f>AB108*地域経済性分析・初期条件!$Q$14</f>
        <v>0</v>
      </c>
      <c r="AC112" s="493">
        <f>AC108*地域経済性分析・初期条件!$Q$14</f>
        <v>0</v>
      </c>
      <c r="AD112" s="493">
        <f>AD108*地域経済性分析・初期条件!$Q$14</f>
        <v>0</v>
      </c>
      <c r="AE112" s="493">
        <f>AE108*地域経済性分析・初期条件!$Q$14</f>
        <v>0</v>
      </c>
      <c r="AF112" s="493">
        <f>AF108*地域経済性分析・初期条件!$Q$14</f>
        <v>0</v>
      </c>
      <c r="AG112" s="493">
        <f>AG108*地域経済性分析・初期条件!$Q$14</f>
        <v>0</v>
      </c>
      <c r="AH112" s="493">
        <f>AH108*地域経済性分析・初期条件!$Q$14</f>
        <v>0</v>
      </c>
      <c r="AI112" s="535">
        <f t="shared" si="51"/>
        <v>0</v>
      </c>
      <c r="AJ112" s="535">
        <f>SUM(D112:X112)</f>
        <v>0</v>
      </c>
      <c r="AK112" s="497">
        <f>SUM(D112:AH112)</f>
        <v>0</v>
      </c>
    </row>
    <row r="113" spans="1:37" ht="11.5" x14ac:dyDescent="0.25">
      <c r="A113" s="533" t="str">
        <f>A107&amp;B113</f>
        <v>0従業員の可処分所得（一次）</v>
      </c>
      <c r="B113" s="439" t="s">
        <v>329</v>
      </c>
      <c r="C113" s="451" t="s">
        <v>37</v>
      </c>
      <c r="D113" s="493">
        <f>D108*地域経済性分析・初期条件!$H$14</f>
        <v>0</v>
      </c>
      <c r="E113" s="493">
        <f>E108*地域経済性分析・初期条件!$H$14</f>
        <v>0</v>
      </c>
      <c r="F113" s="493">
        <f>F108*地域経済性分析・初期条件!$H$14</f>
        <v>0</v>
      </c>
      <c r="G113" s="493">
        <f>G108*地域経済性分析・初期条件!$H$14</f>
        <v>0</v>
      </c>
      <c r="H113" s="493">
        <f>H108*地域経済性分析・初期条件!$H$14</f>
        <v>0</v>
      </c>
      <c r="I113" s="493">
        <f>I108*地域経済性分析・初期条件!$H$14</f>
        <v>0</v>
      </c>
      <c r="J113" s="493">
        <f>J108*地域経済性分析・初期条件!$H$14</f>
        <v>0</v>
      </c>
      <c r="K113" s="493">
        <f>K108*地域経済性分析・初期条件!$H$14</f>
        <v>0</v>
      </c>
      <c r="L113" s="493">
        <f>L108*地域経済性分析・初期条件!$H$14</f>
        <v>0</v>
      </c>
      <c r="M113" s="493">
        <f>M108*地域経済性分析・初期条件!$H$14</f>
        <v>0</v>
      </c>
      <c r="N113" s="493">
        <f>N108*地域経済性分析・初期条件!$H$14</f>
        <v>0</v>
      </c>
      <c r="O113" s="493">
        <f>O108*地域経済性分析・初期条件!$H$14</f>
        <v>0</v>
      </c>
      <c r="P113" s="493">
        <f>P108*地域経済性分析・初期条件!$H$14</f>
        <v>0</v>
      </c>
      <c r="Q113" s="493">
        <f>Q108*地域経済性分析・初期条件!$H$14</f>
        <v>0</v>
      </c>
      <c r="R113" s="493">
        <f>R108*地域経済性分析・初期条件!$H$14</f>
        <v>0</v>
      </c>
      <c r="S113" s="493">
        <f>S108*地域経済性分析・初期条件!$H$14</f>
        <v>0</v>
      </c>
      <c r="T113" s="493">
        <f>T108*地域経済性分析・初期条件!$H$14</f>
        <v>0</v>
      </c>
      <c r="U113" s="493">
        <f>U108*地域経済性分析・初期条件!$H$14</f>
        <v>0</v>
      </c>
      <c r="V113" s="493">
        <f>V108*地域経済性分析・初期条件!$H$14</f>
        <v>0</v>
      </c>
      <c r="W113" s="493">
        <f>W108*地域経済性分析・初期条件!$H$14</f>
        <v>0</v>
      </c>
      <c r="X113" s="493">
        <f>X108*地域経済性分析・初期条件!$H$14</f>
        <v>0</v>
      </c>
      <c r="Y113" s="493">
        <f>Y108*地域経済性分析・初期条件!$H$14</f>
        <v>0</v>
      </c>
      <c r="Z113" s="493">
        <f>Z108*地域経済性分析・初期条件!$H$14</f>
        <v>0</v>
      </c>
      <c r="AA113" s="493">
        <f>AA108*地域経済性分析・初期条件!$H$14</f>
        <v>0</v>
      </c>
      <c r="AB113" s="493">
        <f>AB108*地域経済性分析・初期条件!$H$14</f>
        <v>0</v>
      </c>
      <c r="AC113" s="493">
        <f>AC108*地域経済性分析・初期条件!$H$14</f>
        <v>0</v>
      </c>
      <c r="AD113" s="493">
        <f>AD108*地域経済性分析・初期条件!$H$14</f>
        <v>0</v>
      </c>
      <c r="AE113" s="493">
        <f>AE108*地域経済性分析・初期条件!$H$14</f>
        <v>0</v>
      </c>
      <c r="AF113" s="493">
        <f>AF108*地域経済性分析・初期条件!$H$14</f>
        <v>0</v>
      </c>
      <c r="AG113" s="493">
        <f>AG108*地域経済性分析・初期条件!$H$14</f>
        <v>0</v>
      </c>
      <c r="AH113" s="493">
        <f>AH108*地域経済性分析・初期条件!$H$14</f>
        <v>0</v>
      </c>
      <c r="AI113" s="535">
        <f t="shared" si="51"/>
        <v>0</v>
      </c>
      <c r="AJ113" s="535">
        <f t="shared" ref="AJ113:AJ120" si="55">SUM(D113:X113)</f>
        <v>0</v>
      </c>
      <c r="AK113" s="497">
        <f t="shared" ref="AK113:AK120" si="56">SUM(D113:AH113)</f>
        <v>0</v>
      </c>
    </row>
    <row r="114" spans="1:37" ht="11.5" x14ac:dyDescent="0.25">
      <c r="A114" s="533" t="str">
        <f>A107&amp;B114</f>
        <v>0企業の税引後利益（一次）</v>
      </c>
      <c r="B114" s="439" t="s">
        <v>330</v>
      </c>
      <c r="C114" s="451" t="s">
        <v>37</v>
      </c>
      <c r="D114" s="493">
        <f>D108*地域経済性分析・初期条件!$I$14</f>
        <v>0</v>
      </c>
      <c r="E114" s="493">
        <f>E108*地域経済性分析・初期条件!$I$14</f>
        <v>0</v>
      </c>
      <c r="F114" s="493">
        <f>F108*地域経済性分析・初期条件!$I$14</f>
        <v>0</v>
      </c>
      <c r="G114" s="493">
        <f>G108*地域経済性分析・初期条件!$I$14</f>
        <v>0</v>
      </c>
      <c r="H114" s="493">
        <f>H108*地域経済性分析・初期条件!$I$14</f>
        <v>0</v>
      </c>
      <c r="I114" s="493">
        <f>I108*地域経済性分析・初期条件!$I$14</f>
        <v>0</v>
      </c>
      <c r="J114" s="493">
        <f>J108*地域経済性分析・初期条件!$I$14</f>
        <v>0</v>
      </c>
      <c r="K114" s="493">
        <f>K108*地域経済性分析・初期条件!$I$14</f>
        <v>0</v>
      </c>
      <c r="L114" s="493">
        <f>L108*地域経済性分析・初期条件!$I$14</f>
        <v>0</v>
      </c>
      <c r="M114" s="493">
        <f>M108*地域経済性分析・初期条件!$I$14</f>
        <v>0</v>
      </c>
      <c r="N114" s="493">
        <f>N108*地域経済性分析・初期条件!$I$14</f>
        <v>0</v>
      </c>
      <c r="O114" s="493">
        <f>O108*地域経済性分析・初期条件!$I$14</f>
        <v>0</v>
      </c>
      <c r="P114" s="493">
        <f>P108*地域経済性分析・初期条件!$I$14</f>
        <v>0</v>
      </c>
      <c r="Q114" s="493">
        <f>Q108*地域経済性分析・初期条件!$I$14</f>
        <v>0</v>
      </c>
      <c r="R114" s="493">
        <f>R108*地域経済性分析・初期条件!$I$14</f>
        <v>0</v>
      </c>
      <c r="S114" s="493">
        <f>S108*地域経済性分析・初期条件!$I$14</f>
        <v>0</v>
      </c>
      <c r="T114" s="493">
        <f>T108*地域経済性分析・初期条件!$I$14</f>
        <v>0</v>
      </c>
      <c r="U114" s="493">
        <f>U108*地域経済性分析・初期条件!$I$14</f>
        <v>0</v>
      </c>
      <c r="V114" s="493">
        <f>V108*地域経済性分析・初期条件!$I$14</f>
        <v>0</v>
      </c>
      <c r="W114" s="493">
        <f>W108*地域経済性分析・初期条件!$I$14</f>
        <v>0</v>
      </c>
      <c r="X114" s="493">
        <f>X108*地域経済性分析・初期条件!$I$14</f>
        <v>0</v>
      </c>
      <c r="Y114" s="493">
        <f>Y108*地域経済性分析・初期条件!$I$14</f>
        <v>0</v>
      </c>
      <c r="Z114" s="493">
        <f>Z108*地域経済性分析・初期条件!$I$14</f>
        <v>0</v>
      </c>
      <c r="AA114" s="493">
        <f>AA108*地域経済性分析・初期条件!$I$14</f>
        <v>0</v>
      </c>
      <c r="AB114" s="493">
        <f>AB108*地域経済性分析・初期条件!$I$14</f>
        <v>0</v>
      </c>
      <c r="AC114" s="493">
        <f>AC108*地域経済性分析・初期条件!$I$14</f>
        <v>0</v>
      </c>
      <c r="AD114" s="493">
        <f>AD108*地域経済性分析・初期条件!$I$14</f>
        <v>0</v>
      </c>
      <c r="AE114" s="493">
        <f>AE108*地域経済性分析・初期条件!$I$14</f>
        <v>0</v>
      </c>
      <c r="AF114" s="493">
        <f>AF108*地域経済性分析・初期条件!$I$14</f>
        <v>0</v>
      </c>
      <c r="AG114" s="493">
        <f>AG108*地域経済性分析・初期条件!$I$14</f>
        <v>0</v>
      </c>
      <c r="AH114" s="493">
        <f>AH108*地域経済性分析・初期条件!$I$14</f>
        <v>0</v>
      </c>
      <c r="AI114" s="535">
        <f t="shared" si="51"/>
        <v>0</v>
      </c>
      <c r="AJ114" s="535">
        <f t="shared" si="55"/>
        <v>0</v>
      </c>
      <c r="AK114" s="497">
        <f t="shared" si="56"/>
        <v>0</v>
      </c>
    </row>
    <row r="115" spans="1:37" ht="11.5" x14ac:dyDescent="0.25">
      <c r="A115" s="533" t="str">
        <f>A107&amp;B115</f>
        <v>0都道府県税収（一次）</v>
      </c>
      <c r="B115" s="439" t="s">
        <v>331</v>
      </c>
      <c r="C115" s="451" t="s">
        <v>37</v>
      </c>
      <c r="D115" s="493">
        <f>D108*地域経済性分析・初期条件!$J$14</f>
        <v>0</v>
      </c>
      <c r="E115" s="493">
        <f>E108*地域経済性分析・初期条件!$J$14</f>
        <v>0</v>
      </c>
      <c r="F115" s="493">
        <f>F108*地域経済性分析・初期条件!$J$14</f>
        <v>0</v>
      </c>
      <c r="G115" s="493">
        <f>G108*地域経済性分析・初期条件!$J$14</f>
        <v>0</v>
      </c>
      <c r="H115" s="493">
        <f>H108*地域経済性分析・初期条件!$J$14</f>
        <v>0</v>
      </c>
      <c r="I115" s="493">
        <f>I108*地域経済性分析・初期条件!$J$14</f>
        <v>0</v>
      </c>
      <c r="J115" s="493">
        <f>J108*地域経済性分析・初期条件!$J$14</f>
        <v>0</v>
      </c>
      <c r="K115" s="493">
        <f>K108*地域経済性分析・初期条件!$J$14</f>
        <v>0</v>
      </c>
      <c r="L115" s="493">
        <f>L108*地域経済性分析・初期条件!$J$14</f>
        <v>0</v>
      </c>
      <c r="M115" s="493">
        <f>M108*地域経済性分析・初期条件!$J$14</f>
        <v>0</v>
      </c>
      <c r="N115" s="493">
        <f>N108*地域経済性分析・初期条件!$J$14</f>
        <v>0</v>
      </c>
      <c r="O115" s="493">
        <f>O108*地域経済性分析・初期条件!$J$14</f>
        <v>0</v>
      </c>
      <c r="P115" s="493">
        <f>P108*地域経済性分析・初期条件!$J$14</f>
        <v>0</v>
      </c>
      <c r="Q115" s="493">
        <f>Q108*地域経済性分析・初期条件!$J$14</f>
        <v>0</v>
      </c>
      <c r="R115" s="493">
        <f>R108*地域経済性分析・初期条件!$J$14</f>
        <v>0</v>
      </c>
      <c r="S115" s="493">
        <f>S108*地域経済性分析・初期条件!$J$14</f>
        <v>0</v>
      </c>
      <c r="T115" s="493">
        <f>T108*地域経済性分析・初期条件!$J$14</f>
        <v>0</v>
      </c>
      <c r="U115" s="493">
        <f>U108*地域経済性分析・初期条件!$J$14</f>
        <v>0</v>
      </c>
      <c r="V115" s="493">
        <f>V108*地域経済性分析・初期条件!$J$14</f>
        <v>0</v>
      </c>
      <c r="W115" s="493">
        <f>W108*地域経済性分析・初期条件!$J$14</f>
        <v>0</v>
      </c>
      <c r="X115" s="493">
        <f>X108*地域経済性分析・初期条件!$J$14</f>
        <v>0</v>
      </c>
      <c r="Y115" s="493">
        <f>Y108*地域経済性分析・初期条件!$J$14</f>
        <v>0</v>
      </c>
      <c r="Z115" s="493">
        <f>Z108*地域経済性分析・初期条件!$J$14</f>
        <v>0</v>
      </c>
      <c r="AA115" s="493">
        <f>AA108*地域経済性分析・初期条件!$J$14</f>
        <v>0</v>
      </c>
      <c r="AB115" s="493">
        <f>AB108*地域経済性分析・初期条件!$J$14</f>
        <v>0</v>
      </c>
      <c r="AC115" s="493">
        <f>AC108*地域経済性分析・初期条件!$J$14</f>
        <v>0</v>
      </c>
      <c r="AD115" s="493">
        <f>AD108*地域経済性分析・初期条件!$J$14</f>
        <v>0</v>
      </c>
      <c r="AE115" s="493">
        <f>AE108*地域経済性分析・初期条件!$J$14</f>
        <v>0</v>
      </c>
      <c r="AF115" s="493">
        <f>AF108*地域経済性分析・初期条件!$J$14</f>
        <v>0</v>
      </c>
      <c r="AG115" s="493">
        <f>AG108*地域経済性分析・初期条件!$J$14</f>
        <v>0</v>
      </c>
      <c r="AH115" s="493">
        <f>AH108*地域経済性分析・初期条件!$J$14</f>
        <v>0</v>
      </c>
      <c r="AI115" s="535">
        <f t="shared" si="51"/>
        <v>0</v>
      </c>
      <c r="AJ115" s="535">
        <f t="shared" si="55"/>
        <v>0</v>
      </c>
      <c r="AK115" s="497">
        <f t="shared" si="56"/>
        <v>0</v>
      </c>
    </row>
    <row r="116" spans="1:37" ht="11.5" x14ac:dyDescent="0.25">
      <c r="A116" s="533" t="str">
        <f>A107&amp;B116</f>
        <v>0市町村税収（一次）</v>
      </c>
      <c r="B116" s="439" t="s">
        <v>332</v>
      </c>
      <c r="C116" s="452" t="s">
        <v>37</v>
      </c>
      <c r="D116" s="493">
        <f>D108*地域経済性分析・初期条件!$K$14</f>
        <v>0</v>
      </c>
      <c r="E116" s="493">
        <f>E108*地域経済性分析・初期条件!$K$14</f>
        <v>0</v>
      </c>
      <c r="F116" s="493">
        <f>F108*地域経済性分析・初期条件!$K$14</f>
        <v>0</v>
      </c>
      <c r="G116" s="493">
        <f>G108*地域経済性分析・初期条件!$K$14</f>
        <v>0</v>
      </c>
      <c r="H116" s="493">
        <f>H108*地域経済性分析・初期条件!$K$14</f>
        <v>0</v>
      </c>
      <c r="I116" s="493">
        <f>I108*地域経済性分析・初期条件!$K$14</f>
        <v>0</v>
      </c>
      <c r="J116" s="493">
        <f>J108*地域経済性分析・初期条件!$K$14</f>
        <v>0</v>
      </c>
      <c r="K116" s="493">
        <f>K108*地域経済性分析・初期条件!$K$14</f>
        <v>0</v>
      </c>
      <c r="L116" s="493">
        <f>L108*地域経済性分析・初期条件!$K$14</f>
        <v>0</v>
      </c>
      <c r="M116" s="493">
        <f>M108*地域経済性分析・初期条件!$K$14</f>
        <v>0</v>
      </c>
      <c r="N116" s="493">
        <f>N108*地域経済性分析・初期条件!$K$14</f>
        <v>0</v>
      </c>
      <c r="O116" s="493">
        <f>O108*地域経済性分析・初期条件!$K$14</f>
        <v>0</v>
      </c>
      <c r="P116" s="493">
        <f>P108*地域経済性分析・初期条件!$K$14</f>
        <v>0</v>
      </c>
      <c r="Q116" s="493">
        <f>Q108*地域経済性分析・初期条件!$K$14</f>
        <v>0</v>
      </c>
      <c r="R116" s="493">
        <f>R108*地域経済性分析・初期条件!$K$14</f>
        <v>0</v>
      </c>
      <c r="S116" s="493">
        <f>S108*地域経済性分析・初期条件!$K$14</f>
        <v>0</v>
      </c>
      <c r="T116" s="493">
        <f>T108*地域経済性分析・初期条件!$K$14</f>
        <v>0</v>
      </c>
      <c r="U116" s="493">
        <f>U108*地域経済性分析・初期条件!$K$14</f>
        <v>0</v>
      </c>
      <c r="V116" s="493">
        <f>V108*地域経済性分析・初期条件!$K$14</f>
        <v>0</v>
      </c>
      <c r="W116" s="493">
        <f>W108*地域経済性分析・初期条件!$K$14</f>
        <v>0</v>
      </c>
      <c r="X116" s="493">
        <f>X108*地域経済性分析・初期条件!$K$14</f>
        <v>0</v>
      </c>
      <c r="Y116" s="493">
        <f>Y108*地域経済性分析・初期条件!$K$14</f>
        <v>0</v>
      </c>
      <c r="Z116" s="493">
        <f>Z108*地域経済性分析・初期条件!$K$14</f>
        <v>0</v>
      </c>
      <c r="AA116" s="493">
        <f>AA108*地域経済性分析・初期条件!$K$14</f>
        <v>0</v>
      </c>
      <c r="AB116" s="493">
        <f>AB108*地域経済性分析・初期条件!$K$14</f>
        <v>0</v>
      </c>
      <c r="AC116" s="493">
        <f>AC108*地域経済性分析・初期条件!$K$14</f>
        <v>0</v>
      </c>
      <c r="AD116" s="493">
        <f>AD108*地域経済性分析・初期条件!$K$14</f>
        <v>0</v>
      </c>
      <c r="AE116" s="493">
        <f>AE108*地域経済性分析・初期条件!$K$14</f>
        <v>0</v>
      </c>
      <c r="AF116" s="493">
        <f>AF108*地域経済性分析・初期条件!$K$14</f>
        <v>0</v>
      </c>
      <c r="AG116" s="493">
        <f>AG108*地域経済性分析・初期条件!$K$14</f>
        <v>0</v>
      </c>
      <c r="AH116" s="493">
        <f>AH108*地域経済性分析・初期条件!$K$14</f>
        <v>0</v>
      </c>
      <c r="AI116" s="535">
        <f t="shared" si="51"/>
        <v>0</v>
      </c>
      <c r="AJ116" s="535">
        <f t="shared" si="55"/>
        <v>0</v>
      </c>
      <c r="AK116" s="497">
        <f t="shared" si="56"/>
        <v>0</v>
      </c>
    </row>
    <row r="117" spans="1:37" ht="11.5" x14ac:dyDescent="0.25">
      <c r="A117" s="533"/>
      <c r="B117" s="439" t="s">
        <v>334</v>
      </c>
      <c r="C117" s="452" t="s">
        <v>333</v>
      </c>
      <c r="D117" s="493">
        <f>D108*地域経済性分析・初期条件!$L$14</f>
        <v>0</v>
      </c>
      <c r="E117" s="493">
        <f>E108*地域経済性分析・初期条件!$L$14</f>
        <v>0</v>
      </c>
      <c r="F117" s="493">
        <f>F108*地域経済性分析・初期条件!$L$14</f>
        <v>0</v>
      </c>
      <c r="G117" s="493">
        <f>G108*地域経済性分析・初期条件!$L$14</f>
        <v>0</v>
      </c>
      <c r="H117" s="493">
        <f>H108*地域経済性分析・初期条件!$L$14</f>
        <v>0</v>
      </c>
      <c r="I117" s="493">
        <f>I108*地域経済性分析・初期条件!$L$14</f>
        <v>0</v>
      </c>
      <c r="J117" s="493">
        <f>J108*地域経済性分析・初期条件!$L$14</f>
        <v>0</v>
      </c>
      <c r="K117" s="493">
        <f>K108*地域経済性分析・初期条件!$L$14</f>
        <v>0</v>
      </c>
      <c r="L117" s="493">
        <f>L108*地域経済性分析・初期条件!$L$14</f>
        <v>0</v>
      </c>
      <c r="M117" s="493">
        <f>M108*地域経済性分析・初期条件!$L$14</f>
        <v>0</v>
      </c>
      <c r="N117" s="493">
        <f>N108*地域経済性分析・初期条件!$L$14</f>
        <v>0</v>
      </c>
      <c r="O117" s="493">
        <f>O108*地域経済性分析・初期条件!$L$14</f>
        <v>0</v>
      </c>
      <c r="P117" s="493">
        <f>P108*地域経済性分析・初期条件!$L$14</f>
        <v>0</v>
      </c>
      <c r="Q117" s="493">
        <f>Q108*地域経済性分析・初期条件!$L$14</f>
        <v>0</v>
      </c>
      <c r="R117" s="493">
        <f>R108*地域経済性分析・初期条件!$L$14</f>
        <v>0</v>
      </c>
      <c r="S117" s="493">
        <f>S108*地域経済性分析・初期条件!$L$14</f>
        <v>0</v>
      </c>
      <c r="T117" s="493">
        <f>T108*地域経済性分析・初期条件!$L$14</f>
        <v>0</v>
      </c>
      <c r="U117" s="493">
        <f>U108*地域経済性分析・初期条件!$L$14</f>
        <v>0</v>
      </c>
      <c r="V117" s="493">
        <f>V108*地域経済性分析・初期条件!$L$14</f>
        <v>0</v>
      </c>
      <c r="W117" s="493">
        <f>W108*地域経済性分析・初期条件!$L$14</f>
        <v>0</v>
      </c>
      <c r="X117" s="493">
        <f>X108*地域経済性分析・初期条件!$L$14</f>
        <v>0</v>
      </c>
      <c r="Y117" s="493">
        <f>Y108*地域経済性分析・初期条件!$L$14</f>
        <v>0</v>
      </c>
      <c r="Z117" s="493">
        <f>Z108*地域経済性分析・初期条件!$L$14</f>
        <v>0</v>
      </c>
      <c r="AA117" s="493">
        <f>AA108*地域経済性分析・初期条件!$L$14</f>
        <v>0</v>
      </c>
      <c r="AB117" s="493">
        <f>AB108*地域経済性分析・初期条件!$L$14</f>
        <v>0</v>
      </c>
      <c r="AC117" s="493">
        <f>AC108*地域経済性分析・初期条件!$L$14</f>
        <v>0</v>
      </c>
      <c r="AD117" s="493">
        <f>AD108*地域経済性分析・初期条件!$L$14</f>
        <v>0</v>
      </c>
      <c r="AE117" s="493">
        <f>AE108*地域経済性分析・初期条件!$L$14</f>
        <v>0</v>
      </c>
      <c r="AF117" s="493">
        <f>AF108*地域経済性分析・初期条件!$L$14</f>
        <v>0</v>
      </c>
      <c r="AG117" s="493">
        <f>AG108*地域経済性分析・初期条件!$L$14</f>
        <v>0</v>
      </c>
      <c r="AH117" s="493">
        <f>AH108*地域経済性分析・初期条件!$L$14</f>
        <v>0</v>
      </c>
      <c r="AI117" s="535">
        <f>SUM(D117:N117)</f>
        <v>0</v>
      </c>
      <c r="AJ117" s="535">
        <f t="shared" si="55"/>
        <v>0</v>
      </c>
      <c r="AK117" s="497">
        <f t="shared" si="56"/>
        <v>0</v>
      </c>
    </row>
    <row r="118" spans="1:37" ht="11.5" x14ac:dyDescent="0.25">
      <c r="A118" s="533"/>
      <c r="B118" s="439" t="s">
        <v>335</v>
      </c>
      <c r="C118" s="452" t="s">
        <v>333</v>
      </c>
      <c r="D118" s="493">
        <f>D108*地域経済性分析・初期条件!$M$14</f>
        <v>0</v>
      </c>
      <c r="E118" s="493">
        <f>E108*地域経済性分析・初期条件!$M$14</f>
        <v>0</v>
      </c>
      <c r="F118" s="493">
        <f>F108*地域経済性分析・初期条件!$M$14</f>
        <v>0</v>
      </c>
      <c r="G118" s="493">
        <f>G108*地域経済性分析・初期条件!$M$14</f>
        <v>0</v>
      </c>
      <c r="H118" s="493">
        <f>H108*地域経済性分析・初期条件!$M$14</f>
        <v>0</v>
      </c>
      <c r="I118" s="493">
        <f>I108*地域経済性分析・初期条件!$M$14</f>
        <v>0</v>
      </c>
      <c r="J118" s="493">
        <f>J108*地域経済性分析・初期条件!$M$14</f>
        <v>0</v>
      </c>
      <c r="K118" s="493">
        <f>K108*地域経済性分析・初期条件!$M$14</f>
        <v>0</v>
      </c>
      <c r="L118" s="493">
        <f>L108*地域経済性分析・初期条件!$M$14</f>
        <v>0</v>
      </c>
      <c r="M118" s="493">
        <f>M108*地域経済性分析・初期条件!$M$14</f>
        <v>0</v>
      </c>
      <c r="N118" s="493">
        <f>N108*地域経済性分析・初期条件!$M$14</f>
        <v>0</v>
      </c>
      <c r="O118" s="493">
        <f>O108*地域経済性分析・初期条件!$M$14</f>
        <v>0</v>
      </c>
      <c r="P118" s="493">
        <f>P108*地域経済性分析・初期条件!$M$14</f>
        <v>0</v>
      </c>
      <c r="Q118" s="493">
        <f>Q108*地域経済性分析・初期条件!$M$14</f>
        <v>0</v>
      </c>
      <c r="R118" s="493">
        <f>R108*地域経済性分析・初期条件!$M$14</f>
        <v>0</v>
      </c>
      <c r="S118" s="493">
        <f>S108*地域経済性分析・初期条件!$M$14</f>
        <v>0</v>
      </c>
      <c r="T118" s="493">
        <f>T108*地域経済性分析・初期条件!$M$14</f>
        <v>0</v>
      </c>
      <c r="U118" s="493">
        <f>U108*地域経済性分析・初期条件!$M$14</f>
        <v>0</v>
      </c>
      <c r="V118" s="493">
        <f>V108*地域経済性分析・初期条件!$M$14</f>
        <v>0</v>
      </c>
      <c r="W118" s="493">
        <f>W108*地域経済性分析・初期条件!$M$14</f>
        <v>0</v>
      </c>
      <c r="X118" s="493">
        <f>X108*地域経済性分析・初期条件!$M$14</f>
        <v>0</v>
      </c>
      <c r="Y118" s="493">
        <f>Y108*地域経済性分析・初期条件!$M$14</f>
        <v>0</v>
      </c>
      <c r="Z118" s="493">
        <f>Z108*地域経済性分析・初期条件!$M$14</f>
        <v>0</v>
      </c>
      <c r="AA118" s="493">
        <f>AA108*地域経済性分析・初期条件!$M$14</f>
        <v>0</v>
      </c>
      <c r="AB118" s="493">
        <f>AB108*地域経済性分析・初期条件!$M$14</f>
        <v>0</v>
      </c>
      <c r="AC118" s="493">
        <f>AC108*地域経済性分析・初期条件!$M$14</f>
        <v>0</v>
      </c>
      <c r="AD118" s="493">
        <f>AD108*地域経済性分析・初期条件!$M$14</f>
        <v>0</v>
      </c>
      <c r="AE118" s="493">
        <f>AE108*地域経済性分析・初期条件!$M$14</f>
        <v>0</v>
      </c>
      <c r="AF118" s="493">
        <f>AF108*地域経済性分析・初期条件!$M$14</f>
        <v>0</v>
      </c>
      <c r="AG118" s="493">
        <f>AG108*地域経済性分析・初期条件!$M$14</f>
        <v>0</v>
      </c>
      <c r="AH118" s="493">
        <f>AH108*地域経済性分析・初期条件!$M$14</f>
        <v>0</v>
      </c>
      <c r="AI118" s="535">
        <f>SUM(D118:N118)</f>
        <v>0</v>
      </c>
      <c r="AJ118" s="535">
        <f t="shared" si="55"/>
        <v>0</v>
      </c>
      <c r="AK118" s="497">
        <f t="shared" si="56"/>
        <v>0</v>
      </c>
    </row>
    <row r="119" spans="1:37" ht="11.5" x14ac:dyDescent="0.25">
      <c r="A119" s="533"/>
      <c r="B119" s="439" t="s">
        <v>336</v>
      </c>
      <c r="C119" s="452" t="s">
        <v>333</v>
      </c>
      <c r="D119" s="493">
        <f>D108*地域経済性分析・初期条件!$N$14</f>
        <v>0</v>
      </c>
      <c r="E119" s="493">
        <f>E108*地域経済性分析・初期条件!$N$14</f>
        <v>0</v>
      </c>
      <c r="F119" s="493">
        <f>F108*地域経済性分析・初期条件!$N$14</f>
        <v>0</v>
      </c>
      <c r="G119" s="493">
        <f>G108*地域経済性分析・初期条件!$N$14</f>
        <v>0</v>
      </c>
      <c r="H119" s="493">
        <f>H108*地域経済性分析・初期条件!$N$14</f>
        <v>0</v>
      </c>
      <c r="I119" s="493">
        <f>I108*地域経済性分析・初期条件!$N$14</f>
        <v>0</v>
      </c>
      <c r="J119" s="493">
        <f>J108*地域経済性分析・初期条件!$N$14</f>
        <v>0</v>
      </c>
      <c r="K119" s="493">
        <f>K108*地域経済性分析・初期条件!$N$14</f>
        <v>0</v>
      </c>
      <c r="L119" s="493">
        <f>L108*地域経済性分析・初期条件!$N$14</f>
        <v>0</v>
      </c>
      <c r="M119" s="493">
        <f>M108*地域経済性分析・初期条件!$N$14</f>
        <v>0</v>
      </c>
      <c r="N119" s="493">
        <f>N108*地域経済性分析・初期条件!$N$14</f>
        <v>0</v>
      </c>
      <c r="O119" s="493">
        <f>O108*地域経済性分析・初期条件!$N$14</f>
        <v>0</v>
      </c>
      <c r="P119" s="493">
        <f>P108*地域経済性分析・初期条件!$N$14</f>
        <v>0</v>
      </c>
      <c r="Q119" s="493">
        <f>Q108*地域経済性分析・初期条件!$N$14</f>
        <v>0</v>
      </c>
      <c r="R119" s="493">
        <f>R108*地域経済性分析・初期条件!$N$14</f>
        <v>0</v>
      </c>
      <c r="S119" s="493">
        <f>S108*地域経済性分析・初期条件!$N$14</f>
        <v>0</v>
      </c>
      <c r="T119" s="493">
        <f>T108*地域経済性分析・初期条件!$N$14</f>
        <v>0</v>
      </c>
      <c r="U119" s="493">
        <f>U108*地域経済性分析・初期条件!$N$14</f>
        <v>0</v>
      </c>
      <c r="V119" s="493">
        <f>V108*地域経済性分析・初期条件!$N$14</f>
        <v>0</v>
      </c>
      <c r="W119" s="493">
        <f>W108*地域経済性分析・初期条件!$N$14</f>
        <v>0</v>
      </c>
      <c r="X119" s="493">
        <f>X108*地域経済性分析・初期条件!$N$14</f>
        <v>0</v>
      </c>
      <c r="Y119" s="493">
        <f>Y108*地域経済性分析・初期条件!$N$14</f>
        <v>0</v>
      </c>
      <c r="Z119" s="493">
        <f>Z108*地域経済性分析・初期条件!$N$14</f>
        <v>0</v>
      </c>
      <c r="AA119" s="493">
        <f>AA108*地域経済性分析・初期条件!$N$14</f>
        <v>0</v>
      </c>
      <c r="AB119" s="493">
        <f>AB108*地域経済性分析・初期条件!$N$14</f>
        <v>0</v>
      </c>
      <c r="AC119" s="493">
        <f>AC108*地域経済性分析・初期条件!$N$14</f>
        <v>0</v>
      </c>
      <c r="AD119" s="493">
        <f>AD108*地域経済性分析・初期条件!$N$14</f>
        <v>0</v>
      </c>
      <c r="AE119" s="493">
        <f>AE108*地域経済性分析・初期条件!$N$14</f>
        <v>0</v>
      </c>
      <c r="AF119" s="493">
        <f>AF108*地域経済性分析・初期条件!$N$14</f>
        <v>0</v>
      </c>
      <c r="AG119" s="493">
        <f>AG108*地域経済性分析・初期条件!$N$14</f>
        <v>0</v>
      </c>
      <c r="AH119" s="493">
        <f>AH108*地域経済性分析・初期条件!$N$14</f>
        <v>0</v>
      </c>
      <c r="AI119" s="535">
        <f>SUM(D119:N119)</f>
        <v>0</v>
      </c>
      <c r="AJ119" s="535">
        <f t="shared" si="55"/>
        <v>0</v>
      </c>
      <c r="AK119" s="497">
        <f t="shared" si="56"/>
        <v>0</v>
      </c>
    </row>
    <row r="120" spans="1:37" ht="11.5" x14ac:dyDescent="0.25">
      <c r="A120" s="533"/>
      <c r="B120" s="439" t="s">
        <v>337</v>
      </c>
      <c r="C120" s="452" t="s">
        <v>333</v>
      </c>
      <c r="D120" s="493">
        <f>D108*地域経済性分析・初期条件!$O$14</f>
        <v>0</v>
      </c>
      <c r="E120" s="493">
        <f>E108*地域経済性分析・初期条件!$O$14</f>
        <v>0</v>
      </c>
      <c r="F120" s="493">
        <f>F108*地域経済性分析・初期条件!$O$14</f>
        <v>0</v>
      </c>
      <c r="G120" s="493">
        <f>G108*地域経済性分析・初期条件!$O$14</f>
        <v>0</v>
      </c>
      <c r="H120" s="493">
        <f>H108*地域経済性分析・初期条件!$O$14</f>
        <v>0</v>
      </c>
      <c r="I120" s="493">
        <f>I108*地域経済性分析・初期条件!$O$14</f>
        <v>0</v>
      </c>
      <c r="J120" s="493">
        <f>J108*地域経済性分析・初期条件!$O$14</f>
        <v>0</v>
      </c>
      <c r="K120" s="493">
        <f>K108*地域経済性分析・初期条件!$O$14</f>
        <v>0</v>
      </c>
      <c r="L120" s="493">
        <f>L108*地域経済性分析・初期条件!$O$14</f>
        <v>0</v>
      </c>
      <c r="M120" s="493">
        <f>M108*地域経済性分析・初期条件!$O$14</f>
        <v>0</v>
      </c>
      <c r="N120" s="493">
        <f>N108*地域経済性分析・初期条件!$O$14</f>
        <v>0</v>
      </c>
      <c r="O120" s="493">
        <f>O108*地域経済性分析・初期条件!$O$14</f>
        <v>0</v>
      </c>
      <c r="P120" s="493">
        <f>P108*地域経済性分析・初期条件!$O$14</f>
        <v>0</v>
      </c>
      <c r="Q120" s="493">
        <f>Q108*地域経済性分析・初期条件!$O$14</f>
        <v>0</v>
      </c>
      <c r="R120" s="493">
        <f>R108*地域経済性分析・初期条件!$O$14</f>
        <v>0</v>
      </c>
      <c r="S120" s="493">
        <f>S108*地域経済性分析・初期条件!$O$14</f>
        <v>0</v>
      </c>
      <c r="T120" s="493">
        <f>T108*地域経済性分析・初期条件!$O$14</f>
        <v>0</v>
      </c>
      <c r="U120" s="493">
        <f>U108*地域経済性分析・初期条件!$O$14</f>
        <v>0</v>
      </c>
      <c r="V120" s="493">
        <f>V108*地域経済性分析・初期条件!$O$14</f>
        <v>0</v>
      </c>
      <c r="W120" s="493">
        <f>W108*地域経済性分析・初期条件!$O$14</f>
        <v>0</v>
      </c>
      <c r="X120" s="493">
        <f>X108*地域経済性分析・初期条件!$O$14</f>
        <v>0</v>
      </c>
      <c r="Y120" s="493">
        <f>Y108*地域経済性分析・初期条件!$O$14</f>
        <v>0</v>
      </c>
      <c r="Z120" s="493">
        <f>Z108*地域経済性分析・初期条件!$O$14</f>
        <v>0</v>
      </c>
      <c r="AA120" s="493">
        <f>AA108*地域経済性分析・初期条件!$O$14</f>
        <v>0</v>
      </c>
      <c r="AB120" s="493">
        <f>AB108*地域経済性分析・初期条件!$O$14</f>
        <v>0</v>
      </c>
      <c r="AC120" s="493">
        <f>AC108*地域経済性分析・初期条件!$O$14</f>
        <v>0</v>
      </c>
      <c r="AD120" s="493">
        <f>AD108*地域経済性分析・初期条件!$O$14</f>
        <v>0</v>
      </c>
      <c r="AE120" s="493">
        <f>AE108*地域経済性分析・初期条件!$O$14</f>
        <v>0</v>
      </c>
      <c r="AF120" s="493">
        <f>AF108*地域経済性分析・初期条件!$O$14</f>
        <v>0</v>
      </c>
      <c r="AG120" s="493">
        <f>AG108*地域経済性分析・初期条件!$O$14</f>
        <v>0</v>
      </c>
      <c r="AH120" s="493">
        <f>AH108*地域経済性分析・初期条件!$O$14</f>
        <v>0</v>
      </c>
      <c r="AI120" s="535">
        <f>SUM(D120:N120)</f>
        <v>0</v>
      </c>
      <c r="AJ120" s="535">
        <f t="shared" si="55"/>
        <v>0</v>
      </c>
      <c r="AK120" s="497">
        <f t="shared" si="56"/>
        <v>0</v>
      </c>
    </row>
    <row r="121" spans="1:37" ht="11.5" x14ac:dyDescent="0.25">
      <c r="A121" s="488">
        <f>地域経済性分析・初期条件!$G$15</f>
        <v>0</v>
      </c>
      <c r="C121" s="452"/>
      <c r="D121" s="493"/>
      <c r="E121" s="493"/>
      <c r="F121" s="465"/>
      <c r="G121" s="465"/>
      <c r="H121" s="465"/>
      <c r="I121" s="465"/>
      <c r="J121" s="465"/>
      <c r="K121" s="465"/>
      <c r="L121" s="465"/>
      <c r="M121" s="465"/>
      <c r="N121" s="465"/>
      <c r="O121" s="465"/>
      <c r="P121" s="465"/>
      <c r="Q121" s="465"/>
      <c r="R121" s="465"/>
      <c r="S121" s="465"/>
      <c r="T121" s="465"/>
      <c r="U121" s="465"/>
      <c r="V121" s="465"/>
      <c r="W121" s="465"/>
      <c r="X121" s="465"/>
      <c r="Y121" s="465"/>
      <c r="Z121" s="465"/>
      <c r="AA121" s="465"/>
      <c r="AB121" s="465"/>
      <c r="AC121" s="465"/>
      <c r="AD121" s="465"/>
      <c r="AE121" s="465"/>
      <c r="AF121" s="465"/>
      <c r="AG121" s="465"/>
      <c r="AH121" s="465"/>
      <c r="AI121" s="535"/>
      <c r="AJ121" s="535"/>
      <c r="AK121" s="497"/>
    </row>
    <row r="122" spans="1:37" ht="11.5" x14ac:dyDescent="0.25">
      <c r="A122" s="533" t="str">
        <f>A121&amp;B122</f>
        <v>0売上（税別）</v>
      </c>
      <c r="B122" s="439" t="s">
        <v>1092</v>
      </c>
      <c r="C122" s="451" t="s">
        <v>37</v>
      </c>
      <c r="D122" s="493">
        <f>D92*地域経済性分析・初期条件!$F$15</f>
        <v>0</v>
      </c>
      <c r="E122" s="493">
        <f>E92*地域経済性分析・初期条件!$F$15</f>
        <v>0</v>
      </c>
      <c r="F122" s="493">
        <f>F92*地域経済性分析・初期条件!$F$15</f>
        <v>0</v>
      </c>
      <c r="G122" s="493">
        <f>G92*地域経済性分析・初期条件!$F$15</f>
        <v>0</v>
      </c>
      <c r="H122" s="493">
        <f>H92*地域経済性分析・初期条件!$F$15</f>
        <v>0</v>
      </c>
      <c r="I122" s="493">
        <f>I92*地域経済性分析・初期条件!$F$15</f>
        <v>0</v>
      </c>
      <c r="J122" s="493">
        <f>J92*地域経済性分析・初期条件!$F$15</f>
        <v>0</v>
      </c>
      <c r="K122" s="493">
        <f>K92*地域経済性分析・初期条件!$F$15</f>
        <v>0</v>
      </c>
      <c r="L122" s="493">
        <f>L92*地域経済性分析・初期条件!$F$15</f>
        <v>0</v>
      </c>
      <c r="M122" s="493">
        <f>M92*地域経済性分析・初期条件!$F$15</f>
        <v>0</v>
      </c>
      <c r="N122" s="493">
        <f>N92*地域経済性分析・初期条件!$F$15</f>
        <v>0</v>
      </c>
      <c r="O122" s="493">
        <f>O92*地域経済性分析・初期条件!$F$15</f>
        <v>0</v>
      </c>
      <c r="P122" s="493">
        <f>P92*地域経済性分析・初期条件!$F$15</f>
        <v>0</v>
      </c>
      <c r="Q122" s="493">
        <f>Q92*地域経済性分析・初期条件!$F$15</f>
        <v>0</v>
      </c>
      <c r="R122" s="493">
        <f>R92*地域経済性分析・初期条件!$F$15</f>
        <v>0</v>
      </c>
      <c r="S122" s="493">
        <f>S92*地域経済性分析・初期条件!$F$15</f>
        <v>0</v>
      </c>
      <c r="T122" s="493">
        <f>T92*地域経済性分析・初期条件!$F$15</f>
        <v>0</v>
      </c>
      <c r="U122" s="493">
        <f>U92*地域経済性分析・初期条件!$F$15</f>
        <v>0</v>
      </c>
      <c r="V122" s="493">
        <f>V92*地域経済性分析・初期条件!$F$15</f>
        <v>0</v>
      </c>
      <c r="W122" s="493">
        <f>W92*地域経済性分析・初期条件!$F$15</f>
        <v>0</v>
      </c>
      <c r="X122" s="493">
        <f>X92*地域経済性分析・初期条件!$F$15</f>
        <v>0</v>
      </c>
      <c r="Y122" s="493">
        <f>Y92*地域経済性分析・初期条件!$F$15</f>
        <v>0</v>
      </c>
      <c r="Z122" s="493">
        <f>Z92*地域経済性分析・初期条件!$F$15</f>
        <v>0</v>
      </c>
      <c r="AA122" s="493">
        <f>AA92*地域経済性分析・初期条件!$F$15</f>
        <v>0</v>
      </c>
      <c r="AB122" s="493">
        <f>AB92*地域経済性分析・初期条件!$F$15</f>
        <v>0</v>
      </c>
      <c r="AC122" s="493">
        <f>AC92*地域経済性分析・初期条件!$F$15</f>
        <v>0</v>
      </c>
      <c r="AD122" s="493">
        <f>AD92*地域経済性分析・初期条件!$F$15</f>
        <v>0</v>
      </c>
      <c r="AE122" s="493">
        <f>AE92*地域経済性分析・初期条件!$F$15</f>
        <v>0</v>
      </c>
      <c r="AF122" s="493">
        <f>AF92*地域経済性分析・初期条件!$F$15</f>
        <v>0</v>
      </c>
      <c r="AG122" s="493">
        <f>AG92*地域経済性分析・初期条件!$F$15</f>
        <v>0</v>
      </c>
      <c r="AH122" s="493">
        <f>AH92*地域経済性分析・初期条件!$F$15</f>
        <v>0</v>
      </c>
      <c r="AI122" s="535">
        <f t="shared" ref="AI122:AI130" si="57">SUM(D122:N122)</f>
        <v>0</v>
      </c>
      <c r="AJ122" s="535">
        <f>SUM(D122:X122)</f>
        <v>0</v>
      </c>
      <c r="AK122" s="497">
        <f>SUM(D122:AH122)</f>
        <v>0</v>
      </c>
    </row>
    <row r="123" spans="1:37" ht="11.5" x14ac:dyDescent="0.25">
      <c r="A123" s="533"/>
      <c r="B123" s="439" t="s">
        <v>1136</v>
      </c>
      <c r="C123" s="451" t="s">
        <v>37</v>
      </c>
      <c r="D123" s="493">
        <f>D122*波及効果シート!$D$72</f>
        <v>0</v>
      </c>
      <c r="E123" s="493">
        <f>E122*波及効果シート!$D$72</f>
        <v>0</v>
      </c>
      <c r="F123" s="493">
        <f>F122*波及効果シート!$D$72</f>
        <v>0</v>
      </c>
      <c r="G123" s="493">
        <f>G122*波及効果シート!$D$72</f>
        <v>0</v>
      </c>
      <c r="H123" s="493">
        <f>H122*波及効果シート!$D$72</f>
        <v>0</v>
      </c>
      <c r="I123" s="493">
        <f>I122*波及効果シート!$D$72</f>
        <v>0</v>
      </c>
      <c r="J123" s="493">
        <f>J122*波及効果シート!$D$72</f>
        <v>0</v>
      </c>
      <c r="K123" s="493">
        <f>K122*波及効果シート!$D$72</f>
        <v>0</v>
      </c>
      <c r="L123" s="493">
        <f>L122*波及効果シート!$D$72</f>
        <v>0</v>
      </c>
      <c r="M123" s="493">
        <f>M122*波及効果シート!$D$72</f>
        <v>0</v>
      </c>
      <c r="N123" s="493">
        <f>N122*波及効果シート!$D$72</f>
        <v>0</v>
      </c>
      <c r="O123" s="493">
        <f>O122*波及効果シート!$D$72</f>
        <v>0</v>
      </c>
      <c r="P123" s="493">
        <f>P122*波及効果シート!$D$72</f>
        <v>0</v>
      </c>
      <c r="Q123" s="493">
        <f>Q122*波及効果シート!$D$72</f>
        <v>0</v>
      </c>
      <c r="R123" s="493">
        <f>R122*波及効果シート!$D$72</f>
        <v>0</v>
      </c>
      <c r="S123" s="493">
        <f>S122*波及効果シート!$D$72</f>
        <v>0</v>
      </c>
      <c r="T123" s="493">
        <f>T122*波及効果シート!$D$72</f>
        <v>0</v>
      </c>
      <c r="U123" s="493">
        <f>U122*波及効果シート!$D$72</f>
        <v>0</v>
      </c>
      <c r="V123" s="493">
        <f>V122*波及効果シート!$D$72</f>
        <v>0</v>
      </c>
      <c r="W123" s="493">
        <f>W122*波及効果シート!$D$72</f>
        <v>0</v>
      </c>
      <c r="X123" s="493">
        <f>X122*波及効果シート!$D$72</f>
        <v>0</v>
      </c>
      <c r="Y123" s="493">
        <f>Y122*波及効果シート!$D$72</f>
        <v>0</v>
      </c>
      <c r="Z123" s="493">
        <f>Z122*波及効果シート!$D$72</f>
        <v>0</v>
      </c>
      <c r="AA123" s="493">
        <f>AA122*波及効果シート!$D$72</f>
        <v>0</v>
      </c>
      <c r="AB123" s="493">
        <f>AB122*波及効果シート!$D$72</f>
        <v>0</v>
      </c>
      <c r="AC123" s="493">
        <f>AC122*波及効果シート!$D$72</f>
        <v>0</v>
      </c>
      <c r="AD123" s="493">
        <f>AD122*波及効果シート!$D$72</f>
        <v>0</v>
      </c>
      <c r="AE123" s="493">
        <f>AE122*波及効果シート!$D$72</f>
        <v>0</v>
      </c>
      <c r="AF123" s="493">
        <f>AF122*波及効果シート!$D$72</f>
        <v>0</v>
      </c>
      <c r="AG123" s="493">
        <f>AG122*波及効果シート!$D$72</f>
        <v>0</v>
      </c>
      <c r="AH123" s="493">
        <f>AH122*波及効果シート!$D$72</f>
        <v>0</v>
      </c>
      <c r="AI123" s="535">
        <f t="shared" ref="AI123:AI124" si="58">SUM(D123:N123)</f>
        <v>0</v>
      </c>
      <c r="AJ123" s="535">
        <f t="shared" ref="AJ123:AJ124" si="59">SUM(D123:X123)</f>
        <v>0</v>
      </c>
      <c r="AK123" s="497">
        <f t="shared" ref="AK123:AK124" si="60">SUM(D123:AH123)</f>
        <v>0</v>
      </c>
    </row>
    <row r="124" spans="1:37" ht="11.5" x14ac:dyDescent="0.25">
      <c r="A124" s="533"/>
      <c r="B124" s="439" t="s">
        <v>1137</v>
      </c>
      <c r="C124" s="452" t="s">
        <v>37</v>
      </c>
      <c r="D124" s="493">
        <f>D122*波及効果シート!$D$74</f>
        <v>0</v>
      </c>
      <c r="E124" s="493">
        <f>E122*波及効果シート!$D$74</f>
        <v>0</v>
      </c>
      <c r="F124" s="493">
        <f>F122*波及効果シート!$D$74</f>
        <v>0</v>
      </c>
      <c r="G124" s="493">
        <f>G122*波及効果シート!$D$74</f>
        <v>0</v>
      </c>
      <c r="H124" s="493">
        <f>H122*波及効果シート!$D$74</f>
        <v>0</v>
      </c>
      <c r="I124" s="493">
        <f>I122*波及効果シート!$D$74</f>
        <v>0</v>
      </c>
      <c r="J124" s="493">
        <f>J122*波及効果シート!$D$74</f>
        <v>0</v>
      </c>
      <c r="K124" s="493">
        <f>K122*波及効果シート!$D$74</f>
        <v>0</v>
      </c>
      <c r="L124" s="493">
        <f>L122*波及効果シート!$D$74</f>
        <v>0</v>
      </c>
      <c r="M124" s="493">
        <f>M122*波及効果シート!$D$74</f>
        <v>0</v>
      </c>
      <c r="N124" s="493">
        <f>N122*波及効果シート!$D$74</f>
        <v>0</v>
      </c>
      <c r="O124" s="493">
        <f>O122*波及効果シート!$D$74</f>
        <v>0</v>
      </c>
      <c r="P124" s="493">
        <f>P122*波及効果シート!$D$74</f>
        <v>0</v>
      </c>
      <c r="Q124" s="493">
        <f>Q122*波及効果シート!$D$74</f>
        <v>0</v>
      </c>
      <c r="R124" s="493">
        <f>R122*波及効果シート!$D$74</f>
        <v>0</v>
      </c>
      <c r="S124" s="493">
        <f>S122*波及効果シート!$D$74</f>
        <v>0</v>
      </c>
      <c r="T124" s="493">
        <f>T122*波及効果シート!$D$74</f>
        <v>0</v>
      </c>
      <c r="U124" s="493">
        <f>U122*波及効果シート!$D$74</f>
        <v>0</v>
      </c>
      <c r="V124" s="493">
        <f>V122*波及効果シート!$D$74</f>
        <v>0</v>
      </c>
      <c r="W124" s="493">
        <f>W122*波及効果シート!$D$74</f>
        <v>0</v>
      </c>
      <c r="X124" s="493">
        <f>X122*波及効果シート!$D$74</f>
        <v>0</v>
      </c>
      <c r="Y124" s="493">
        <f>Y122*波及効果シート!$D$74</f>
        <v>0</v>
      </c>
      <c r="Z124" s="493">
        <f>Z122*波及効果シート!$D$74</f>
        <v>0</v>
      </c>
      <c r="AA124" s="493">
        <f>AA122*波及効果シート!$D$74</f>
        <v>0</v>
      </c>
      <c r="AB124" s="493">
        <f>AB122*波及効果シート!$D$74</f>
        <v>0</v>
      </c>
      <c r="AC124" s="493">
        <f>AC122*波及効果シート!$D$74</f>
        <v>0</v>
      </c>
      <c r="AD124" s="493">
        <f>AD122*波及効果シート!$D$74</f>
        <v>0</v>
      </c>
      <c r="AE124" s="493">
        <f>AE122*波及効果シート!$D$74</f>
        <v>0</v>
      </c>
      <c r="AF124" s="493">
        <f>AF122*波及効果シート!$D$74</f>
        <v>0</v>
      </c>
      <c r="AG124" s="493">
        <f>AG122*波及効果シート!$D$74</f>
        <v>0</v>
      </c>
      <c r="AH124" s="493">
        <f>AH122*波及効果シート!$D$74</f>
        <v>0</v>
      </c>
      <c r="AI124" s="535">
        <f t="shared" si="58"/>
        <v>0</v>
      </c>
      <c r="AJ124" s="535">
        <f t="shared" si="59"/>
        <v>0</v>
      </c>
      <c r="AK124" s="497">
        <f t="shared" si="60"/>
        <v>0</v>
      </c>
    </row>
    <row r="125" spans="1:37" ht="11.5" x14ac:dyDescent="0.25">
      <c r="A125" s="533"/>
      <c r="B125" s="439" t="s">
        <v>351</v>
      </c>
      <c r="C125" s="452" t="s">
        <v>333</v>
      </c>
      <c r="D125" s="493">
        <f>D122*地域経済性分析・初期条件!$P$15</f>
        <v>0</v>
      </c>
      <c r="E125" s="493">
        <f>E122*地域経済性分析・初期条件!$P$15</f>
        <v>0</v>
      </c>
      <c r="F125" s="493">
        <f>F122*地域経済性分析・初期条件!$P$15</f>
        <v>0</v>
      </c>
      <c r="G125" s="493">
        <f>G122*地域経済性分析・初期条件!$P$15</f>
        <v>0</v>
      </c>
      <c r="H125" s="493">
        <f>H122*地域経済性分析・初期条件!$P$15</f>
        <v>0</v>
      </c>
      <c r="I125" s="493">
        <f>I122*地域経済性分析・初期条件!$P$15</f>
        <v>0</v>
      </c>
      <c r="J125" s="493">
        <f>J122*地域経済性分析・初期条件!$P$15</f>
        <v>0</v>
      </c>
      <c r="K125" s="493">
        <f>K122*地域経済性分析・初期条件!$P$15</f>
        <v>0</v>
      </c>
      <c r="L125" s="493">
        <f>L122*地域経済性分析・初期条件!$P$15</f>
        <v>0</v>
      </c>
      <c r="M125" s="493">
        <f>M122*地域経済性分析・初期条件!$P$15</f>
        <v>0</v>
      </c>
      <c r="N125" s="493">
        <f>N122*地域経済性分析・初期条件!$P$15</f>
        <v>0</v>
      </c>
      <c r="O125" s="493">
        <f>O122*地域経済性分析・初期条件!$P$15</f>
        <v>0</v>
      </c>
      <c r="P125" s="493">
        <f>P122*地域経済性分析・初期条件!$P$15</f>
        <v>0</v>
      </c>
      <c r="Q125" s="493">
        <f>Q122*地域経済性分析・初期条件!$P$15</f>
        <v>0</v>
      </c>
      <c r="R125" s="493">
        <f>R122*地域経済性分析・初期条件!$P$15</f>
        <v>0</v>
      </c>
      <c r="S125" s="493">
        <f>S122*地域経済性分析・初期条件!$P$15</f>
        <v>0</v>
      </c>
      <c r="T125" s="493">
        <f>T122*地域経済性分析・初期条件!$P$15</f>
        <v>0</v>
      </c>
      <c r="U125" s="493">
        <f>U122*地域経済性分析・初期条件!$P$15</f>
        <v>0</v>
      </c>
      <c r="V125" s="493">
        <f>V122*地域経済性分析・初期条件!$P$15</f>
        <v>0</v>
      </c>
      <c r="W125" s="493">
        <f>W122*地域経済性分析・初期条件!$P$15</f>
        <v>0</v>
      </c>
      <c r="X125" s="493">
        <f>X122*地域経済性分析・初期条件!$P$15</f>
        <v>0</v>
      </c>
      <c r="Y125" s="493">
        <f>Y122*地域経済性分析・初期条件!$P$15</f>
        <v>0</v>
      </c>
      <c r="Z125" s="493">
        <f>Z122*地域経済性分析・初期条件!$P$15</f>
        <v>0</v>
      </c>
      <c r="AA125" s="493">
        <f>AA122*地域経済性分析・初期条件!$P$15</f>
        <v>0</v>
      </c>
      <c r="AB125" s="493">
        <f>AB122*地域経済性分析・初期条件!$P$15</f>
        <v>0</v>
      </c>
      <c r="AC125" s="493">
        <f>AC122*地域経済性分析・初期条件!$P$15</f>
        <v>0</v>
      </c>
      <c r="AD125" s="493">
        <f>AD122*地域経済性分析・初期条件!$P$15</f>
        <v>0</v>
      </c>
      <c r="AE125" s="493">
        <f>AE122*地域経済性分析・初期条件!$P$15</f>
        <v>0</v>
      </c>
      <c r="AF125" s="493">
        <f>AF122*地域経済性分析・初期条件!$P$15</f>
        <v>0</v>
      </c>
      <c r="AG125" s="493">
        <f>AG122*地域経済性分析・初期条件!$P$15</f>
        <v>0</v>
      </c>
      <c r="AH125" s="493">
        <f>AH122*地域経済性分析・初期条件!$P$15</f>
        <v>0</v>
      </c>
      <c r="AI125" s="535">
        <f t="shared" si="57"/>
        <v>0</v>
      </c>
      <c r="AJ125" s="535">
        <f>SUM(D125:X125)</f>
        <v>0</v>
      </c>
      <c r="AK125" s="497">
        <f>SUM(D125:AH125)</f>
        <v>0</v>
      </c>
    </row>
    <row r="126" spans="1:37" ht="11.5" x14ac:dyDescent="0.25">
      <c r="A126" s="533"/>
      <c r="B126" s="439" t="s">
        <v>350</v>
      </c>
      <c r="C126" s="452" t="s">
        <v>333</v>
      </c>
      <c r="D126" s="493">
        <f>D122*地域経済性分析・初期条件!$Q$15</f>
        <v>0</v>
      </c>
      <c r="E126" s="493">
        <f>E122*地域経済性分析・初期条件!$Q$15</f>
        <v>0</v>
      </c>
      <c r="F126" s="493">
        <f>F122*地域経済性分析・初期条件!$Q$15</f>
        <v>0</v>
      </c>
      <c r="G126" s="493">
        <f>G122*地域経済性分析・初期条件!$Q$15</f>
        <v>0</v>
      </c>
      <c r="H126" s="493">
        <f>H122*地域経済性分析・初期条件!$Q$15</f>
        <v>0</v>
      </c>
      <c r="I126" s="493">
        <f>I122*地域経済性分析・初期条件!$Q$15</f>
        <v>0</v>
      </c>
      <c r="J126" s="493">
        <f>J122*地域経済性分析・初期条件!$Q$15</f>
        <v>0</v>
      </c>
      <c r="K126" s="493">
        <f>K122*地域経済性分析・初期条件!$Q$15</f>
        <v>0</v>
      </c>
      <c r="L126" s="493">
        <f>L122*地域経済性分析・初期条件!$Q$15</f>
        <v>0</v>
      </c>
      <c r="M126" s="493">
        <f>M122*地域経済性分析・初期条件!$Q$15</f>
        <v>0</v>
      </c>
      <c r="N126" s="493">
        <f>N122*地域経済性分析・初期条件!$Q$15</f>
        <v>0</v>
      </c>
      <c r="O126" s="493">
        <f>O122*地域経済性分析・初期条件!$Q$15</f>
        <v>0</v>
      </c>
      <c r="P126" s="493">
        <f>P122*地域経済性分析・初期条件!$Q$15</f>
        <v>0</v>
      </c>
      <c r="Q126" s="493">
        <f>Q122*地域経済性分析・初期条件!$Q$15</f>
        <v>0</v>
      </c>
      <c r="R126" s="493">
        <f>R122*地域経済性分析・初期条件!$Q$15</f>
        <v>0</v>
      </c>
      <c r="S126" s="493">
        <f>S122*地域経済性分析・初期条件!$Q$15</f>
        <v>0</v>
      </c>
      <c r="T126" s="493">
        <f>T122*地域経済性分析・初期条件!$Q$15</f>
        <v>0</v>
      </c>
      <c r="U126" s="493">
        <f>U122*地域経済性分析・初期条件!$Q$15</f>
        <v>0</v>
      </c>
      <c r="V126" s="493">
        <f>V122*地域経済性分析・初期条件!$Q$15</f>
        <v>0</v>
      </c>
      <c r="W126" s="493">
        <f>W122*地域経済性分析・初期条件!$Q$15</f>
        <v>0</v>
      </c>
      <c r="X126" s="493">
        <f>X122*地域経済性分析・初期条件!$Q$15</f>
        <v>0</v>
      </c>
      <c r="Y126" s="493">
        <f>Y122*地域経済性分析・初期条件!$Q$15</f>
        <v>0</v>
      </c>
      <c r="Z126" s="493">
        <f>Z122*地域経済性分析・初期条件!$Q$15</f>
        <v>0</v>
      </c>
      <c r="AA126" s="493">
        <f>AA122*地域経済性分析・初期条件!$Q$15</f>
        <v>0</v>
      </c>
      <c r="AB126" s="493">
        <f>AB122*地域経済性分析・初期条件!$Q$15</f>
        <v>0</v>
      </c>
      <c r="AC126" s="493">
        <f>AC122*地域経済性分析・初期条件!$Q$15</f>
        <v>0</v>
      </c>
      <c r="AD126" s="493">
        <f>AD122*地域経済性分析・初期条件!$Q$15</f>
        <v>0</v>
      </c>
      <c r="AE126" s="493">
        <f>AE122*地域経済性分析・初期条件!$Q$15</f>
        <v>0</v>
      </c>
      <c r="AF126" s="493">
        <f>AF122*地域経済性分析・初期条件!$Q$15</f>
        <v>0</v>
      </c>
      <c r="AG126" s="493">
        <f>AG122*地域経済性分析・初期条件!$Q$15</f>
        <v>0</v>
      </c>
      <c r="AH126" s="493">
        <f>AH122*地域経済性分析・初期条件!$Q$15</f>
        <v>0</v>
      </c>
      <c r="AI126" s="535">
        <f t="shared" si="57"/>
        <v>0</v>
      </c>
      <c r="AJ126" s="535">
        <f>SUM(D126:X126)</f>
        <v>0</v>
      </c>
      <c r="AK126" s="497">
        <f>SUM(D126:AH126)</f>
        <v>0</v>
      </c>
    </row>
    <row r="127" spans="1:37" ht="11.5" x14ac:dyDescent="0.25">
      <c r="A127" s="533" t="str">
        <f>A121&amp;B127</f>
        <v>0従業員の可処分所得（一次）</v>
      </c>
      <c r="B127" s="439" t="s">
        <v>329</v>
      </c>
      <c r="C127" s="451" t="s">
        <v>37</v>
      </c>
      <c r="D127" s="493">
        <f>D122*地域経済性分析・初期条件!$H$15</f>
        <v>0</v>
      </c>
      <c r="E127" s="493">
        <f>E122*地域経済性分析・初期条件!$H$15</f>
        <v>0</v>
      </c>
      <c r="F127" s="465">
        <f>F122*地域経済性分析・初期条件!$H$15</f>
        <v>0</v>
      </c>
      <c r="G127" s="465">
        <f>G122*地域経済性分析・初期条件!$H$15</f>
        <v>0</v>
      </c>
      <c r="H127" s="465">
        <f>H122*地域経済性分析・初期条件!$H$15</f>
        <v>0</v>
      </c>
      <c r="I127" s="465">
        <f>I122*地域経済性分析・初期条件!$H$15</f>
        <v>0</v>
      </c>
      <c r="J127" s="465">
        <f>J122*地域経済性分析・初期条件!$H$15</f>
        <v>0</v>
      </c>
      <c r="K127" s="465">
        <f>K122*地域経済性分析・初期条件!$H$15</f>
        <v>0</v>
      </c>
      <c r="L127" s="465">
        <f>L122*地域経済性分析・初期条件!$H$15</f>
        <v>0</v>
      </c>
      <c r="M127" s="465">
        <f>M122*地域経済性分析・初期条件!$H$15</f>
        <v>0</v>
      </c>
      <c r="N127" s="465">
        <f>N122*地域経済性分析・初期条件!$H$15</f>
        <v>0</v>
      </c>
      <c r="O127" s="465">
        <f>O122*地域経済性分析・初期条件!$H$15</f>
        <v>0</v>
      </c>
      <c r="P127" s="465">
        <f>P122*地域経済性分析・初期条件!$H$15</f>
        <v>0</v>
      </c>
      <c r="Q127" s="465">
        <f>Q122*地域経済性分析・初期条件!$H$15</f>
        <v>0</v>
      </c>
      <c r="R127" s="465">
        <f>R122*地域経済性分析・初期条件!$H$15</f>
        <v>0</v>
      </c>
      <c r="S127" s="465">
        <f>S122*地域経済性分析・初期条件!$H$15</f>
        <v>0</v>
      </c>
      <c r="T127" s="465">
        <f>T122*地域経済性分析・初期条件!$H$15</f>
        <v>0</v>
      </c>
      <c r="U127" s="465">
        <f>U122*地域経済性分析・初期条件!$H$15</f>
        <v>0</v>
      </c>
      <c r="V127" s="465">
        <f>V122*地域経済性分析・初期条件!$H$15</f>
        <v>0</v>
      </c>
      <c r="W127" s="465">
        <f>W122*地域経済性分析・初期条件!$H$15</f>
        <v>0</v>
      </c>
      <c r="X127" s="465">
        <f>X122*地域経済性分析・初期条件!$H$15</f>
        <v>0</v>
      </c>
      <c r="Y127" s="465">
        <f>Y122*地域経済性分析・初期条件!$H$15</f>
        <v>0</v>
      </c>
      <c r="Z127" s="465">
        <f>Z122*地域経済性分析・初期条件!$H$15</f>
        <v>0</v>
      </c>
      <c r="AA127" s="465">
        <f>AA122*地域経済性分析・初期条件!$H$15</f>
        <v>0</v>
      </c>
      <c r="AB127" s="465">
        <f>AB122*地域経済性分析・初期条件!$H$15</f>
        <v>0</v>
      </c>
      <c r="AC127" s="465">
        <f>AC122*地域経済性分析・初期条件!$H$15</f>
        <v>0</v>
      </c>
      <c r="AD127" s="465">
        <f>AD122*地域経済性分析・初期条件!$H$15</f>
        <v>0</v>
      </c>
      <c r="AE127" s="465">
        <f>AE122*地域経済性分析・初期条件!$H$15</f>
        <v>0</v>
      </c>
      <c r="AF127" s="465">
        <f>AF122*地域経済性分析・初期条件!$H$15</f>
        <v>0</v>
      </c>
      <c r="AG127" s="465">
        <f>AG122*地域経済性分析・初期条件!$H$15</f>
        <v>0</v>
      </c>
      <c r="AH127" s="465">
        <f>AH122*地域経済性分析・初期条件!$H$15</f>
        <v>0</v>
      </c>
      <c r="AI127" s="535">
        <f t="shared" si="57"/>
        <v>0</v>
      </c>
      <c r="AJ127" s="535">
        <f t="shared" ref="AJ127:AJ134" si="61">SUM(D127:X127)</f>
        <v>0</v>
      </c>
      <c r="AK127" s="497">
        <f t="shared" ref="AK127:AK134" si="62">SUM(D127:AH127)</f>
        <v>0</v>
      </c>
    </row>
    <row r="128" spans="1:37" ht="11.5" x14ac:dyDescent="0.25">
      <c r="A128" s="533" t="str">
        <f>A121&amp;B128</f>
        <v>0企業の税引後利益（一次）</v>
      </c>
      <c r="B128" s="439" t="s">
        <v>330</v>
      </c>
      <c r="C128" s="451" t="s">
        <v>37</v>
      </c>
      <c r="D128" s="493">
        <f>D122*地域経済性分析・初期条件!$I$15</f>
        <v>0</v>
      </c>
      <c r="E128" s="493">
        <f>E122*地域経済性分析・初期条件!$I$15</f>
        <v>0</v>
      </c>
      <c r="F128" s="465">
        <f>F122*地域経済性分析・初期条件!$I$15</f>
        <v>0</v>
      </c>
      <c r="G128" s="465">
        <f>G122*地域経済性分析・初期条件!$I$15</f>
        <v>0</v>
      </c>
      <c r="H128" s="465">
        <f>H122*地域経済性分析・初期条件!$I$15</f>
        <v>0</v>
      </c>
      <c r="I128" s="465">
        <f>I122*地域経済性分析・初期条件!$I$15</f>
        <v>0</v>
      </c>
      <c r="J128" s="465">
        <f>J122*地域経済性分析・初期条件!$I$15</f>
        <v>0</v>
      </c>
      <c r="K128" s="465">
        <f>K122*地域経済性分析・初期条件!$I$15</f>
        <v>0</v>
      </c>
      <c r="L128" s="465">
        <f>L122*地域経済性分析・初期条件!$I$15</f>
        <v>0</v>
      </c>
      <c r="M128" s="465">
        <f>M122*地域経済性分析・初期条件!$I$15</f>
        <v>0</v>
      </c>
      <c r="N128" s="465">
        <f>N122*地域経済性分析・初期条件!$I$15</f>
        <v>0</v>
      </c>
      <c r="O128" s="465">
        <f>O122*地域経済性分析・初期条件!$I$15</f>
        <v>0</v>
      </c>
      <c r="P128" s="465">
        <f>P122*地域経済性分析・初期条件!$I$15</f>
        <v>0</v>
      </c>
      <c r="Q128" s="465">
        <f>Q122*地域経済性分析・初期条件!$I$15</f>
        <v>0</v>
      </c>
      <c r="R128" s="465">
        <f>R122*地域経済性分析・初期条件!$I$15</f>
        <v>0</v>
      </c>
      <c r="S128" s="465">
        <f>S122*地域経済性分析・初期条件!$I$15</f>
        <v>0</v>
      </c>
      <c r="T128" s="465">
        <f>T122*地域経済性分析・初期条件!$I$15</f>
        <v>0</v>
      </c>
      <c r="U128" s="465">
        <f>U122*地域経済性分析・初期条件!$I$15</f>
        <v>0</v>
      </c>
      <c r="V128" s="465">
        <f>V122*地域経済性分析・初期条件!$I$15</f>
        <v>0</v>
      </c>
      <c r="W128" s="465">
        <f>W122*地域経済性分析・初期条件!$I$15</f>
        <v>0</v>
      </c>
      <c r="X128" s="465">
        <f>X122*地域経済性分析・初期条件!$I$15</f>
        <v>0</v>
      </c>
      <c r="Y128" s="465">
        <f>Y122*地域経済性分析・初期条件!$I$15</f>
        <v>0</v>
      </c>
      <c r="Z128" s="465">
        <f>Z122*地域経済性分析・初期条件!$I$15</f>
        <v>0</v>
      </c>
      <c r="AA128" s="465">
        <f>AA122*地域経済性分析・初期条件!$I$15</f>
        <v>0</v>
      </c>
      <c r="AB128" s="465">
        <f>AB122*地域経済性分析・初期条件!$I$15</f>
        <v>0</v>
      </c>
      <c r="AC128" s="465">
        <f>AC122*地域経済性分析・初期条件!$I$15</f>
        <v>0</v>
      </c>
      <c r="AD128" s="465">
        <f>AD122*地域経済性分析・初期条件!$I$15</f>
        <v>0</v>
      </c>
      <c r="AE128" s="465">
        <f>AE122*地域経済性分析・初期条件!$I$15</f>
        <v>0</v>
      </c>
      <c r="AF128" s="465">
        <f>AF122*地域経済性分析・初期条件!$I$15</f>
        <v>0</v>
      </c>
      <c r="AG128" s="465">
        <f>AG122*地域経済性分析・初期条件!$I$15</f>
        <v>0</v>
      </c>
      <c r="AH128" s="465">
        <f>AH122*地域経済性分析・初期条件!$I$15</f>
        <v>0</v>
      </c>
      <c r="AI128" s="535">
        <f t="shared" si="57"/>
        <v>0</v>
      </c>
      <c r="AJ128" s="535">
        <f t="shared" si="61"/>
        <v>0</v>
      </c>
      <c r="AK128" s="497">
        <f t="shared" si="62"/>
        <v>0</v>
      </c>
    </row>
    <row r="129" spans="1:37" ht="11.5" x14ac:dyDescent="0.25">
      <c r="A129" s="533" t="str">
        <f>A121&amp;B129</f>
        <v>0都道府県税収（一次）</v>
      </c>
      <c r="B129" s="439" t="s">
        <v>331</v>
      </c>
      <c r="C129" s="451" t="s">
        <v>37</v>
      </c>
      <c r="D129" s="493">
        <f>D122*地域経済性分析・初期条件!$J$15</f>
        <v>0</v>
      </c>
      <c r="E129" s="493">
        <f>E122*地域経済性分析・初期条件!$J$15</f>
        <v>0</v>
      </c>
      <c r="F129" s="465">
        <f>F122*地域経済性分析・初期条件!$J$15</f>
        <v>0</v>
      </c>
      <c r="G129" s="465">
        <f>G122*地域経済性分析・初期条件!$J$15</f>
        <v>0</v>
      </c>
      <c r="H129" s="465">
        <f>H122*地域経済性分析・初期条件!$J$15</f>
        <v>0</v>
      </c>
      <c r="I129" s="465">
        <f>I122*地域経済性分析・初期条件!$J$15</f>
        <v>0</v>
      </c>
      <c r="J129" s="465">
        <f>J122*地域経済性分析・初期条件!$J$15</f>
        <v>0</v>
      </c>
      <c r="K129" s="465">
        <f>K122*地域経済性分析・初期条件!$J$15</f>
        <v>0</v>
      </c>
      <c r="L129" s="465">
        <f>L122*地域経済性分析・初期条件!$J$15</f>
        <v>0</v>
      </c>
      <c r="M129" s="465">
        <f>M122*地域経済性分析・初期条件!$J$15</f>
        <v>0</v>
      </c>
      <c r="N129" s="465">
        <f>N122*地域経済性分析・初期条件!$J$15</f>
        <v>0</v>
      </c>
      <c r="O129" s="465">
        <f>O122*地域経済性分析・初期条件!$J$15</f>
        <v>0</v>
      </c>
      <c r="P129" s="465">
        <f>P122*地域経済性分析・初期条件!$J$15</f>
        <v>0</v>
      </c>
      <c r="Q129" s="465">
        <f>Q122*地域経済性分析・初期条件!$J$15</f>
        <v>0</v>
      </c>
      <c r="R129" s="465">
        <f>R122*地域経済性分析・初期条件!$J$15</f>
        <v>0</v>
      </c>
      <c r="S129" s="465">
        <f>S122*地域経済性分析・初期条件!$J$15</f>
        <v>0</v>
      </c>
      <c r="T129" s="465">
        <f>T122*地域経済性分析・初期条件!$J$15</f>
        <v>0</v>
      </c>
      <c r="U129" s="465">
        <f>U122*地域経済性分析・初期条件!$J$15</f>
        <v>0</v>
      </c>
      <c r="V129" s="465">
        <f>V122*地域経済性分析・初期条件!$J$15</f>
        <v>0</v>
      </c>
      <c r="W129" s="465">
        <f>W122*地域経済性分析・初期条件!$J$15</f>
        <v>0</v>
      </c>
      <c r="X129" s="465">
        <f>X122*地域経済性分析・初期条件!$J$15</f>
        <v>0</v>
      </c>
      <c r="Y129" s="465">
        <f>Y122*地域経済性分析・初期条件!$J$15</f>
        <v>0</v>
      </c>
      <c r="Z129" s="465">
        <f>Z122*地域経済性分析・初期条件!$J$15</f>
        <v>0</v>
      </c>
      <c r="AA129" s="465">
        <f>AA122*地域経済性分析・初期条件!$J$15</f>
        <v>0</v>
      </c>
      <c r="AB129" s="465">
        <f>AB122*地域経済性分析・初期条件!$J$15</f>
        <v>0</v>
      </c>
      <c r="AC129" s="465">
        <f>AC122*地域経済性分析・初期条件!$J$15</f>
        <v>0</v>
      </c>
      <c r="AD129" s="465">
        <f>AD122*地域経済性分析・初期条件!$J$15</f>
        <v>0</v>
      </c>
      <c r="AE129" s="465">
        <f>AE122*地域経済性分析・初期条件!$J$15</f>
        <v>0</v>
      </c>
      <c r="AF129" s="465">
        <f>AF122*地域経済性分析・初期条件!$J$15</f>
        <v>0</v>
      </c>
      <c r="AG129" s="465">
        <f>AG122*地域経済性分析・初期条件!$J$15</f>
        <v>0</v>
      </c>
      <c r="AH129" s="465">
        <f>AH122*地域経済性分析・初期条件!$J$15</f>
        <v>0</v>
      </c>
      <c r="AI129" s="535">
        <f t="shared" si="57"/>
        <v>0</v>
      </c>
      <c r="AJ129" s="535">
        <f t="shared" si="61"/>
        <v>0</v>
      </c>
      <c r="AK129" s="497">
        <f t="shared" si="62"/>
        <v>0</v>
      </c>
    </row>
    <row r="130" spans="1:37" ht="11.5" x14ac:dyDescent="0.25">
      <c r="A130" s="533" t="str">
        <f>A121&amp;B130</f>
        <v>0市町村税収（一次）</v>
      </c>
      <c r="B130" s="439" t="s">
        <v>332</v>
      </c>
      <c r="C130" s="452" t="s">
        <v>37</v>
      </c>
      <c r="D130" s="493">
        <f>D122*地域経済性分析・初期条件!$K$15</f>
        <v>0</v>
      </c>
      <c r="E130" s="465">
        <f>E122*地域経済性分析・初期条件!$K$15</f>
        <v>0</v>
      </c>
      <c r="F130" s="465">
        <f>F122*地域経済性分析・初期条件!$K$15</f>
        <v>0</v>
      </c>
      <c r="G130" s="465">
        <f>G122*地域経済性分析・初期条件!$K$15</f>
        <v>0</v>
      </c>
      <c r="H130" s="465">
        <f>H122*地域経済性分析・初期条件!$K$15</f>
        <v>0</v>
      </c>
      <c r="I130" s="465">
        <f>I122*地域経済性分析・初期条件!$K$15</f>
        <v>0</v>
      </c>
      <c r="J130" s="465">
        <f>J122*地域経済性分析・初期条件!$K$15</f>
        <v>0</v>
      </c>
      <c r="K130" s="465">
        <f>K122*地域経済性分析・初期条件!$K$15</f>
        <v>0</v>
      </c>
      <c r="L130" s="465">
        <f>L122*地域経済性分析・初期条件!$K$15</f>
        <v>0</v>
      </c>
      <c r="M130" s="465">
        <f>M122*地域経済性分析・初期条件!$K$15</f>
        <v>0</v>
      </c>
      <c r="N130" s="465">
        <f>N122*地域経済性分析・初期条件!$K$15</f>
        <v>0</v>
      </c>
      <c r="O130" s="465">
        <f>O122*地域経済性分析・初期条件!$K$15</f>
        <v>0</v>
      </c>
      <c r="P130" s="465">
        <f>P122*地域経済性分析・初期条件!$K$15</f>
        <v>0</v>
      </c>
      <c r="Q130" s="465">
        <f>Q122*地域経済性分析・初期条件!$K$15</f>
        <v>0</v>
      </c>
      <c r="R130" s="465">
        <f>R122*地域経済性分析・初期条件!$K$15</f>
        <v>0</v>
      </c>
      <c r="S130" s="465">
        <f>S122*地域経済性分析・初期条件!$K$15</f>
        <v>0</v>
      </c>
      <c r="T130" s="465">
        <f>T122*地域経済性分析・初期条件!$K$15</f>
        <v>0</v>
      </c>
      <c r="U130" s="465">
        <f>U122*地域経済性分析・初期条件!$K$15</f>
        <v>0</v>
      </c>
      <c r="V130" s="465">
        <f>V122*地域経済性分析・初期条件!$K$15</f>
        <v>0</v>
      </c>
      <c r="W130" s="465">
        <f>W122*地域経済性分析・初期条件!$K$15</f>
        <v>0</v>
      </c>
      <c r="X130" s="465">
        <f>X122*地域経済性分析・初期条件!$K$15</f>
        <v>0</v>
      </c>
      <c r="Y130" s="465">
        <f>Y122*地域経済性分析・初期条件!$K$15</f>
        <v>0</v>
      </c>
      <c r="Z130" s="465">
        <f>Z122*地域経済性分析・初期条件!$K$15</f>
        <v>0</v>
      </c>
      <c r="AA130" s="465">
        <f>AA122*地域経済性分析・初期条件!$K$15</f>
        <v>0</v>
      </c>
      <c r="AB130" s="465">
        <f>AB122*地域経済性分析・初期条件!$K$15</f>
        <v>0</v>
      </c>
      <c r="AC130" s="465">
        <f>AC122*地域経済性分析・初期条件!$K$15</f>
        <v>0</v>
      </c>
      <c r="AD130" s="465">
        <f>AD122*地域経済性分析・初期条件!$K$15</f>
        <v>0</v>
      </c>
      <c r="AE130" s="465">
        <f>AE122*地域経済性分析・初期条件!$K$15</f>
        <v>0</v>
      </c>
      <c r="AF130" s="465">
        <f>AF122*地域経済性分析・初期条件!$K$15</f>
        <v>0</v>
      </c>
      <c r="AG130" s="465">
        <f>AG122*地域経済性分析・初期条件!$K$15</f>
        <v>0</v>
      </c>
      <c r="AH130" s="465">
        <f>AH122*地域経済性分析・初期条件!$K$15</f>
        <v>0</v>
      </c>
      <c r="AI130" s="535">
        <f t="shared" si="57"/>
        <v>0</v>
      </c>
      <c r="AJ130" s="535">
        <f t="shared" si="61"/>
        <v>0</v>
      </c>
      <c r="AK130" s="497">
        <f t="shared" si="62"/>
        <v>0</v>
      </c>
    </row>
    <row r="131" spans="1:37" ht="11.5" x14ac:dyDescent="0.25">
      <c r="A131" s="533"/>
      <c r="B131" s="439" t="s">
        <v>334</v>
      </c>
      <c r="C131" s="452" t="s">
        <v>333</v>
      </c>
      <c r="D131" s="493">
        <f>D122*地域経済性分析・初期条件!$L$15</f>
        <v>0</v>
      </c>
      <c r="E131" s="493">
        <f>E122*地域経済性分析・初期条件!$L$15</f>
        <v>0</v>
      </c>
      <c r="F131" s="493">
        <f>F122*地域経済性分析・初期条件!$L$15</f>
        <v>0</v>
      </c>
      <c r="G131" s="493">
        <f>G122*地域経済性分析・初期条件!$L$15</f>
        <v>0</v>
      </c>
      <c r="H131" s="493">
        <f>H122*地域経済性分析・初期条件!$L$15</f>
        <v>0</v>
      </c>
      <c r="I131" s="493">
        <f>I122*地域経済性分析・初期条件!$L$15</f>
        <v>0</v>
      </c>
      <c r="J131" s="493">
        <f>J122*地域経済性分析・初期条件!$L$15</f>
        <v>0</v>
      </c>
      <c r="K131" s="493">
        <f>K122*地域経済性分析・初期条件!$L$15</f>
        <v>0</v>
      </c>
      <c r="L131" s="493">
        <f>L122*地域経済性分析・初期条件!$L$15</f>
        <v>0</v>
      </c>
      <c r="M131" s="493">
        <f>M122*地域経済性分析・初期条件!$L$15</f>
        <v>0</v>
      </c>
      <c r="N131" s="493">
        <f>N122*地域経済性分析・初期条件!$L$15</f>
        <v>0</v>
      </c>
      <c r="O131" s="493">
        <f>O122*地域経済性分析・初期条件!$L$15</f>
        <v>0</v>
      </c>
      <c r="P131" s="493">
        <f>P122*地域経済性分析・初期条件!$L$15</f>
        <v>0</v>
      </c>
      <c r="Q131" s="493">
        <f>Q122*地域経済性分析・初期条件!$L$15</f>
        <v>0</v>
      </c>
      <c r="R131" s="493">
        <f>R122*地域経済性分析・初期条件!$L$15</f>
        <v>0</v>
      </c>
      <c r="S131" s="493">
        <f>S122*地域経済性分析・初期条件!$L$15</f>
        <v>0</v>
      </c>
      <c r="T131" s="493">
        <f>T122*地域経済性分析・初期条件!$L$15</f>
        <v>0</v>
      </c>
      <c r="U131" s="493">
        <f>U122*地域経済性分析・初期条件!$L$15</f>
        <v>0</v>
      </c>
      <c r="V131" s="493">
        <f>V122*地域経済性分析・初期条件!$L$15</f>
        <v>0</v>
      </c>
      <c r="W131" s="493">
        <f>W122*地域経済性分析・初期条件!$L$15</f>
        <v>0</v>
      </c>
      <c r="X131" s="493">
        <f>X122*地域経済性分析・初期条件!$L$15</f>
        <v>0</v>
      </c>
      <c r="Y131" s="493">
        <f>Y122*地域経済性分析・初期条件!$L$15</f>
        <v>0</v>
      </c>
      <c r="Z131" s="493">
        <f>Z122*地域経済性分析・初期条件!$L$15</f>
        <v>0</v>
      </c>
      <c r="AA131" s="493">
        <f>AA122*地域経済性分析・初期条件!$L$15</f>
        <v>0</v>
      </c>
      <c r="AB131" s="493">
        <f>AB122*地域経済性分析・初期条件!$L$15</f>
        <v>0</v>
      </c>
      <c r="AC131" s="493">
        <f>AC122*地域経済性分析・初期条件!$L$15</f>
        <v>0</v>
      </c>
      <c r="AD131" s="493">
        <f>AD122*地域経済性分析・初期条件!$L$15</f>
        <v>0</v>
      </c>
      <c r="AE131" s="493">
        <f>AE122*地域経済性分析・初期条件!$L$15</f>
        <v>0</v>
      </c>
      <c r="AF131" s="493">
        <f>AF122*地域経済性分析・初期条件!$L$15</f>
        <v>0</v>
      </c>
      <c r="AG131" s="493">
        <f>AG122*地域経済性分析・初期条件!$L$15</f>
        <v>0</v>
      </c>
      <c r="AH131" s="493">
        <f>AH122*地域経済性分析・初期条件!$L$15</f>
        <v>0</v>
      </c>
      <c r="AI131" s="535">
        <f>SUM(D131:N131)</f>
        <v>0</v>
      </c>
      <c r="AJ131" s="535">
        <f t="shared" si="61"/>
        <v>0</v>
      </c>
      <c r="AK131" s="497">
        <f t="shared" si="62"/>
        <v>0</v>
      </c>
    </row>
    <row r="132" spans="1:37" ht="11.5" x14ac:dyDescent="0.25">
      <c r="A132" s="533"/>
      <c r="B132" s="439" t="s">
        <v>335</v>
      </c>
      <c r="C132" s="452" t="s">
        <v>333</v>
      </c>
      <c r="D132" s="493">
        <f>D122*地域経済性分析・初期条件!$M$15</f>
        <v>0</v>
      </c>
      <c r="E132" s="493">
        <f>E122*地域経済性分析・初期条件!$M$15</f>
        <v>0</v>
      </c>
      <c r="F132" s="493">
        <f>F122*地域経済性分析・初期条件!$M$15</f>
        <v>0</v>
      </c>
      <c r="G132" s="493">
        <f>G122*地域経済性分析・初期条件!$M$15</f>
        <v>0</v>
      </c>
      <c r="H132" s="493">
        <f>H122*地域経済性分析・初期条件!$M$15</f>
        <v>0</v>
      </c>
      <c r="I132" s="493">
        <f>I122*地域経済性分析・初期条件!$M$15</f>
        <v>0</v>
      </c>
      <c r="J132" s="493">
        <f>J122*地域経済性分析・初期条件!$M$15</f>
        <v>0</v>
      </c>
      <c r="K132" s="493">
        <f>K122*地域経済性分析・初期条件!$M$15</f>
        <v>0</v>
      </c>
      <c r="L132" s="493">
        <f>L122*地域経済性分析・初期条件!$M$15</f>
        <v>0</v>
      </c>
      <c r="M132" s="493">
        <f>M122*地域経済性分析・初期条件!$M$15</f>
        <v>0</v>
      </c>
      <c r="N132" s="493">
        <f>N122*地域経済性分析・初期条件!$M$15</f>
        <v>0</v>
      </c>
      <c r="O132" s="493">
        <f>O122*地域経済性分析・初期条件!$M$15</f>
        <v>0</v>
      </c>
      <c r="P132" s="493">
        <f>P122*地域経済性分析・初期条件!$M$15</f>
        <v>0</v>
      </c>
      <c r="Q132" s="493">
        <f>Q122*地域経済性分析・初期条件!$M$15</f>
        <v>0</v>
      </c>
      <c r="R132" s="493">
        <f>R122*地域経済性分析・初期条件!$M$15</f>
        <v>0</v>
      </c>
      <c r="S132" s="493">
        <f>S122*地域経済性分析・初期条件!$M$15</f>
        <v>0</v>
      </c>
      <c r="T132" s="493">
        <f>T122*地域経済性分析・初期条件!$M$15</f>
        <v>0</v>
      </c>
      <c r="U132" s="493">
        <f>U122*地域経済性分析・初期条件!$M$15</f>
        <v>0</v>
      </c>
      <c r="V132" s="493">
        <f>V122*地域経済性分析・初期条件!$M$15</f>
        <v>0</v>
      </c>
      <c r="W132" s="493">
        <f>W122*地域経済性分析・初期条件!$M$15</f>
        <v>0</v>
      </c>
      <c r="X132" s="493">
        <f>X122*地域経済性分析・初期条件!$M$15</f>
        <v>0</v>
      </c>
      <c r="Y132" s="493">
        <f>Y122*地域経済性分析・初期条件!$M$15</f>
        <v>0</v>
      </c>
      <c r="Z132" s="493">
        <f>Z122*地域経済性分析・初期条件!$M$15</f>
        <v>0</v>
      </c>
      <c r="AA132" s="493">
        <f>AA122*地域経済性分析・初期条件!$M$15</f>
        <v>0</v>
      </c>
      <c r="AB132" s="493">
        <f>AB122*地域経済性分析・初期条件!$M$15</f>
        <v>0</v>
      </c>
      <c r="AC132" s="493">
        <f>AC122*地域経済性分析・初期条件!$M$15</f>
        <v>0</v>
      </c>
      <c r="AD132" s="493">
        <f>AD122*地域経済性分析・初期条件!$M$15</f>
        <v>0</v>
      </c>
      <c r="AE132" s="493">
        <f>AE122*地域経済性分析・初期条件!$M$15</f>
        <v>0</v>
      </c>
      <c r="AF132" s="493">
        <f>AF122*地域経済性分析・初期条件!$M$15</f>
        <v>0</v>
      </c>
      <c r="AG132" s="493">
        <f>AG122*地域経済性分析・初期条件!$M$15</f>
        <v>0</v>
      </c>
      <c r="AH132" s="493">
        <f>AH122*地域経済性分析・初期条件!$M$15</f>
        <v>0</v>
      </c>
      <c r="AI132" s="535">
        <f>SUM(D132:N132)</f>
        <v>0</v>
      </c>
      <c r="AJ132" s="535">
        <f t="shared" si="61"/>
        <v>0</v>
      </c>
      <c r="AK132" s="497">
        <f t="shared" si="62"/>
        <v>0</v>
      </c>
    </row>
    <row r="133" spans="1:37" ht="11.5" x14ac:dyDescent="0.25">
      <c r="A133" s="533"/>
      <c r="B133" s="439" t="s">
        <v>336</v>
      </c>
      <c r="C133" s="452" t="s">
        <v>333</v>
      </c>
      <c r="D133" s="493">
        <f>D122*地域経済性分析・初期条件!$N$15</f>
        <v>0</v>
      </c>
      <c r="E133" s="493">
        <f>E122*地域経済性分析・初期条件!$N$15</f>
        <v>0</v>
      </c>
      <c r="F133" s="493">
        <f>F122*地域経済性分析・初期条件!$N$15</f>
        <v>0</v>
      </c>
      <c r="G133" s="493">
        <f>G122*地域経済性分析・初期条件!$N$15</f>
        <v>0</v>
      </c>
      <c r="H133" s="493">
        <f>H122*地域経済性分析・初期条件!$N$15</f>
        <v>0</v>
      </c>
      <c r="I133" s="493">
        <f>I122*地域経済性分析・初期条件!$N$15</f>
        <v>0</v>
      </c>
      <c r="J133" s="493">
        <f>J122*地域経済性分析・初期条件!$N$15</f>
        <v>0</v>
      </c>
      <c r="K133" s="493">
        <f>K122*地域経済性分析・初期条件!$N$15</f>
        <v>0</v>
      </c>
      <c r="L133" s="493">
        <f>L122*地域経済性分析・初期条件!$N$15</f>
        <v>0</v>
      </c>
      <c r="M133" s="493">
        <f>M122*地域経済性分析・初期条件!$N$15</f>
        <v>0</v>
      </c>
      <c r="N133" s="493">
        <f>N122*地域経済性分析・初期条件!$N$15</f>
        <v>0</v>
      </c>
      <c r="O133" s="493">
        <f>O122*地域経済性分析・初期条件!$N$15</f>
        <v>0</v>
      </c>
      <c r="P133" s="493">
        <f>P122*地域経済性分析・初期条件!$N$15</f>
        <v>0</v>
      </c>
      <c r="Q133" s="493">
        <f>Q122*地域経済性分析・初期条件!$N$15</f>
        <v>0</v>
      </c>
      <c r="R133" s="493">
        <f>R122*地域経済性分析・初期条件!$N$15</f>
        <v>0</v>
      </c>
      <c r="S133" s="493">
        <f>S122*地域経済性分析・初期条件!$N$15</f>
        <v>0</v>
      </c>
      <c r="T133" s="493">
        <f>T122*地域経済性分析・初期条件!$N$15</f>
        <v>0</v>
      </c>
      <c r="U133" s="493">
        <f>U122*地域経済性分析・初期条件!$N$15</f>
        <v>0</v>
      </c>
      <c r="V133" s="493">
        <f>V122*地域経済性分析・初期条件!$N$15</f>
        <v>0</v>
      </c>
      <c r="W133" s="493">
        <f>W122*地域経済性分析・初期条件!$N$15</f>
        <v>0</v>
      </c>
      <c r="X133" s="493">
        <f>X122*地域経済性分析・初期条件!$N$15</f>
        <v>0</v>
      </c>
      <c r="Y133" s="493">
        <f>Y122*地域経済性分析・初期条件!$N$15</f>
        <v>0</v>
      </c>
      <c r="Z133" s="493">
        <f>Z122*地域経済性分析・初期条件!$N$15</f>
        <v>0</v>
      </c>
      <c r="AA133" s="493">
        <f>AA122*地域経済性分析・初期条件!$N$15</f>
        <v>0</v>
      </c>
      <c r="AB133" s="493">
        <f>AB122*地域経済性分析・初期条件!$N$15</f>
        <v>0</v>
      </c>
      <c r="AC133" s="493">
        <f>AC122*地域経済性分析・初期条件!$N$15</f>
        <v>0</v>
      </c>
      <c r="AD133" s="493">
        <f>AD122*地域経済性分析・初期条件!$N$15</f>
        <v>0</v>
      </c>
      <c r="AE133" s="493">
        <f>AE122*地域経済性分析・初期条件!$N$15</f>
        <v>0</v>
      </c>
      <c r="AF133" s="493">
        <f>AF122*地域経済性分析・初期条件!$N$15</f>
        <v>0</v>
      </c>
      <c r="AG133" s="493">
        <f>AG122*地域経済性分析・初期条件!$N$15</f>
        <v>0</v>
      </c>
      <c r="AH133" s="493">
        <f>AH122*地域経済性分析・初期条件!$N$15</f>
        <v>0</v>
      </c>
      <c r="AI133" s="535">
        <f>SUM(D133:N133)</f>
        <v>0</v>
      </c>
      <c r="AJ133" s="535">
        <f t="shared" si="61"/>
        <v>0</v>
      </c>
      <c r="AK133" s="497">
        <f t="shared" si="62"/>
        <v>0</v>
      </c>
    </row>
    <row r="134" spans="1:37" ht="12" thickBot="1" x14ac:dyDescent="0.3">
      <c r="A134" s="689"/>
      <c r="B134" s="690" t="s">
        <v>337</v>
      </c>
      <c r="C134" s="691" t="s">
        <v>333</v>
      </c>
      <c r="D134" s="692">
        <f>D122*地域経済性分析・初期条件!$O$15</f>
        <v>0</v>
      </c>
      <c r="E134" s="692">
        <f>E122*地域経済性分析・初期条件!$O$15</f>
        <v>0</v>
      </c>
      <c r="F134" s="692">
        <f>F122*地域経済性分析・初期条件!$O$15</f>
        <v>0</v>
      </c>
      <c r="G134" s="692">
        <f>G122*地域経済性分析・初期条件!$O$15</f>
        <v>0</v>
      </c>
      <c r="H134" s="692">
        <f>H122*地域経済性分析・初期条件!$O$15</f>
        <v>0</v>
      </c>
      <c r="I134" s="692">
        <f>I122*地域経済性分析・初期条件!$O$15</f>
        <v>0</v>
      </c>
      <c r="J134" s="692">
        <f>J122*地域経済性分析・初期条件!$O$15</f>
        <v>0</v>
      </c>
      <c r="K134" s="692">
        <f>K122*地域経済性分析・初期条件!$O$15</f>
        <v>0</v>
      </c>
      <c r="L134" s="692">
        <f>L122*地域経済性分析・初期条件!$O$15</f>
        <v>0</v>
      </c>
      <c r="M134" s="692">
        <f>M122*地域経済性分析・初期条件!$O$15</f>
        <v>0</v>
      </c>
      <c r="N134" s="692">
        <f>N122*地域経済性分析・初期条件!$O$15</f>
        <v>0</v>
      </c>
      <c r="O134" s="692">
        <f>O122*地域経済性分析・初期条件!$O$15</f>
        <v>0</v>
      </c>
      <c r="P134" s="692">
        <f>P122*地域経済性分析・初期条件!$O$15</f>
        <v>0</v>
      </c>
      <c r="Q134" s="692">
        <f>Q122*地域経済性分析・初期条件!$O$15</f>
        <v>0</v>
      </c>
      <c r="R134" s="692">
        <f>R122*地域経済性分析・初期条件!$O$15</f>
        <v>0</v>
      </c>
      <c r="S134" s="692">
        <f>S122*地域経済性分析・初期条件!$O$15</f>
        <v>0</v>
      </c>
      <c r="T134" s="692">
        <f>T122*地域経済性分析・初期条件!$O$15</f>
        <v>0</v>
      </c>
      <c r="U134" s="692">
        <f>U122*地域経済性分析・初期条件!$O$15</f>
        <v>0</v>
      </c>
      <c r="V134" s="692">
        <f>V122*地域経済性分析・初期条件!$O$15</f>
        <v>0</v>
      </c>
      <c r="W134" s="692">
        <f>W122*地域経済性分析・初期条件!$O$15</f>
        <v>0</v>
      </c>
      <c r="X134" s="692">
        <f>X122*地域経済性分析・初期条件!$O$15</f>
        <v>0</v>
      </c>
      <c r="Y134" s="692">
        <f>Y122*地域経済性分析・初期条件!$O$15</f>
        <v>0</v>
      </c>
      <c r="Z134" s="692">
        <f>Z122*地域経済性分析・初期条件!$O$15</f>
        <v>0</v>
      </c>
      <c r="AA134" s="692">
        <f>AA122*地域経済性分析・初期条件!$O$15</f>
        <v>0</v>
      </c>
      <c r="AB134" s="692">
        <f>AB122*地域経済性分析・初期条件!$O$15</f>
        <v>0</v>
      </c>
      <c r="AC134" s="692">
        <f>AC122*地域経済性分析・初期条件!$O$15</f>
        <v>0</v>
      </c>
      <c r="AD134" s="692">
        <f>AD122*地域経済性分析・初期条件!$O$15</f>
        <v>0</v>
      </c>
      <c r="AE134" s="692">
        <f>AE122*地域経済性分析・初期条件!$O$15</f>
        <v>0</v>
      </c>
      <c r="AF134" s="692">
        <f>AF122*地域経済性分析・初期条件!$O$15</f>
        <v>0</v>
      </c>
      <c r="AG134" s="692">
        <f>AG122*地域経済性分析・初期条件!$O$15</f>
        <v>0</v>
      </c>
      <c r="AH134" s="692">
        <f>AH122*地域経済性分析・初期条件!$O$15</f>
        <v>0</v>
      </c>
      <c r="AI134" s="694">
        <f>SUM(D134:N134)</f>
        <v>0</v>
      </c>
      <c r="AJ134" s="694">
        <f t="shared" si="61"/>
        <v>0</v>
      </c>
      <c r="AK134" s="695">
        <f t="shared" si="62"/>
        <v>0</v>
      </c>
    </row>
    <row r="135" spans="1:37" ht="12" thickTop="1" x14ac:dyDescent="0.25">
      <c r="A135" s="1409" t="s">
        <v>1089</v>
      </c>
      <c r="B135" s="439"/>
      <c r="C135" s="452" t="s">
        <v>1090</v>
      </c>
      <c r="D135" s="493">
        <f>SUM(D99:D106,D113:D120,,D127:D134)</f>
        <v>198986515.4219701</v>
      </c>
      <c r="E135" s="493">
        <f t="shared" ref="E135" si="63">SUM(E99:E106,E113:E120,,E127:E134)</f>
        <v>0</v>
      </c>
      <c r="F135" s="493">
        <f t="shared" ref="F135" si="64">SUM(F99:F106,F113:F120,,F127:F134)</f>
        <v>0</v>
      </c>
      <c r="G135" s="493">
        <f t="shared" ref="G135" si="65">SUM(G99:G106,G113:G120,,G127:G134)</f>
        <v>0</v>
      </c>
      <c r="H135" s="493">
        <f t="shared" ref="H135" si="66">SUM(H99:H106,H113:H120,,H127:H134)</f>
        <v>0</v>
      </c>
      <c r="I135" s="493">
        <f t="shared" ref="I135" si="67">SUM(I99:I106,I113:I120,,I127:I134)</f>
        <v>0</v>
      </c>
      <c r="J135" s="493">
        <f t="shared" ref="J135" si="68">SUM(J99:J106,J113:J120,,J127:J134)</f>
        <v>0</v>
      </c>
      <c r="K135" s="493">
        <f t="shared" ref="K135" si="69">SUM(K99:K106,K113:K120,,K127:K134)</f>
        <v>0</v>
      </c>
      <c r="L135" s="493">
        <f t="shared" ref="L135" si="70">SUM(L99:L106,L113:L120,,L127:L134)</f>
        <v>0</v>
      </c>
      <c r="M135" s="493">
        <f t="shared" ref="M135" si="71">SUM(M99:M106,M113:M120,,M127:M134)</f>
        <v>0</v>
      </c>
      <c r="N135" s="493">
        <f t="shared" ref="N135" si="72">SUM(N99:N106,N113:N120,,N127:N134)</f>
        <v>0</v>
      </c>
      <c r="O135" s="493">
        <f t="shared" ref="O135" si="73">SUM(O99:O106,O113:O120,,O127:O134)</f>
        <v>0</v>
      </c>
      <c r="P135" s="493">
        <f t="shared" ref="P135" si="74">SUM(P99:P106,P113:P120,,P127:P134)</f>
        <v>0</v>
      </c>
      <c r="Q135" s="493">
        <f t="shared" ref="Q135" si="75">SUM(Q99:Q106,Q113:Q120,,Q127:Q134)</f>
        <v>0</v>
      </c>
      <c r="R135" s="493">
        <f t="shared" ref="R135" si="76">SUM(R99:R106,R113:R120,,R127:R134)</f>
        <v>0</v>
      </c>
      <c r="S135" s="493">
        <f t="shared" ref="S135" si="77">SUM(S99:S106,S113:S120,,S127:S134)</f>
        <v>0</v>
      </c>
      <c r="T135" s="493">
        <f t="shared" ref="T135" si="78">SUM(T99:T106,T113:T120,,T127:T134)</f>
        <v>0</v>
      </c>
      <c r="U135" s="493">
        <f t="shared" ref="U135" si="79">SUM(U99:U106,U113:U120,,U127:U134)</f>
        <v>0</v>
      </c>
      <c r="V135" s="493">
        <f t="shared" ref="V135" si="80">SUM(V99:V106,V113:V120,,V127:V134)</f>
        <v>0</v>
      </c>
      <c r="W135" s="493">
        <f t="shared" ref="W135" si="81">SUM(W99:W106,W113:W120,,W127:W134)</f>
        <v>0</v>
      </c>
      <c r="X135" s="493">
        <f t="shared" ref="X135" si="82">SUM(X99:X106,X113:X120,,X127:X134)</f>
        <v>0</v>
      </c>
      <c r="Y135" s="493">
        <f t="shared" ref="Y135" si="83">SUM(Y99:Y106,Y113:Y120,,Y127:Y134)</f>
        <v>0</v>
      </c>
      <c r="Z135" s="493">
        <f t="shared" ref="Z135" si="84">SUM(Z99:Z106,Z113:Z120,,Z127:Z134)</f>
        <v>0</v>
      </c>
      <c r="AA135" s="493">
        <f t="shared" ref="AA135" si="85">SUM(AA99:AA106,AA113:AA120,,AA127:AA134)</f>
        <v>0</v>
      </c>
      <c r="AB135" s="493">
        <f t="shared" ref="AB135" si="86">SUM(AB99:AB106,AB113:AB120,,AB127:AB134)</f>
        <v>0</v>
      </c>
      <c r="AC135" s="493">
        <f t="shared" ref="AC135" si="87">SUM(AC99:AC106,AC113:AC120,,AC127:AC134)</f>
        <v>0</v>
      </c>
      <c r="AD135" s="493">
        <f t="shared" ref="AD135" si="88">SUM(AD99:AD106,AD113:AD120,,AD127:AD134)</f>
        <v>0</v>
      </c>
      <c r="AE135" s="493">
        <f t="shared" ref="AE135" si="89">SUM(AE99:AE106,AE113:AE120,,AE127:AE134)</f>
        <v>0</v>
      </c>
      <c r="AF135" s="493">
        <f t="shared" ref="AF135" si="90">SUM(AF99:AF106,AF113:AF120,,AF127:AF134)</f>
        <v>0</v>
      </c>
      <c r="AG135" s="493">
        <f t="shared" ref="AG135" si="91">SUM(AG99:AG106,AG113:AG120,,AG127:AG134)</f>
        <v>0</v>
      </c>
      <c r="AH135" s="493">
        <f t="shared" ref="AH135" si="92">SUM(AH99:AH106,AH113:AH120,,AH127:AH134)</f>
        <v>0</v>
      </c>
      <c r="AI135" s="535">
        <f t="shared" ref="AI135" si="93">SUM(AI99:AI106,AI113:AI120,,AI127:AI134)</f>
        <v>198986515.4219701</v>
      </c>
      <c r="AJ135" s="535">
        <f t="shared" ref="AJ135" si="94">SUM(AJ99:AJ106,AJ113:AJ120,,AJ127:AJ134)</f>
        <v>198986515.4219701</v>
      </c>
      <c r="AK135" s="497">
        <f t="shared" ref="AK135" si="95">SUM(AK99:AK106,AK113:AK120,,AK127:AK134)</f>
        <v>198986515.4219701</v>
      </c>
    </row>
    <row r="136" spans="1:37" ht="11.5" x14ac:dyDescent="0.25">
      <c r="A136" s="1410" t="s">
        <v>1091</v>
      </c>
      <c r="B136" s="1403"/>
      <c r="C136" s="1404" t="s">
        <v>37</v>
      </c>
      <c r="D136" s="1397">
        <f>D92*1.1-D135</f>
        <v>1126566076.0261967</v>
      </c>
      <c r="E136" s="1397">
        <f t="shared" ref="E136" si="96">E92*1.1-E135</f>
        <v>0</v>
      </c>
      <c r="F136" s="1397">
        <f t="shared" ref="F136" si="97">F92*1.1-F135</f>
        <v>0</v>
      </c>
      <c r="G136" s="1397">
        <f t="shared" ref="G136" si="98">G92*1.1-G135</f>
        <v>0</v>
      </c>
      <c r="H136" s="1397">
        <f t="shared" ref="H136" si="99">H92*1.1-H135</f>
        <v>0</v>
      </c>
      <c r="I136" s="1397">
        <f t="shared" ref="I136" si="100">I92*1.1-I135</f>
        <v>0</v>
      </c>
      <c r="J136" s="1397">
        <f t="shared" ref="J136" si="101">J92*1.1-J135</f>
        <v>0</v>
      </c>
      <c r="K136" s="1397">
        <f t="shared" ref="K136" si="102">K92*1.1-K135</f>
        <v>0</v>
      </c>
      <c r="L136" s="1397">
        <f t="shared" ref="L136" si="103">L92*1.1-L135</f>
        <v>0</v>
      </c>
      <c r="M136" s="1397">
        <f t="shared" ref="M136" si="104">M92*1.1-M135</f>
        <v>0</v>
      </c>
      <c r="N136" s="1397">
        <f t="shared" ref="N136" si="105">N92*1.1-N135</f>
        <v>0</v>
      </c>
      <c r="O136" s="1397">
        <f t="shared" ref="O136" si="106">O92*1.1-O135</f>
        <v>0</v>
      </c>
      <c r="P136" s="1397">
        <f t="shared" ref="P136" si="107">P92*1.1-P135</f>
        <v>0</v>
      </c>
      <c r="Q136" s="1397">
        <f t="shared" ref="Q136" si="108">Q92*1.1-Q135</f>
        <v>0</v>
      </c>
      <c r="R136" s="1397">
        <f t="shared" ref="R136" si="109">R92*1.1-R135</f>
        <v>0</v>
      </c>
      <c r="S136" s="1397">
        <f t="shared" ref="S136" si="110">S92*1.1-S135</f>
        <v>0</v>
      </c>
      <c r="T136" s="1397">
        <f t="shared" ref="T136" si="111">T92*1.1-T135</f>
        <v>0</v>
      </c>
      <c r="U136" s="1397">
        <f t="shared" ref="U136" si="112">U92*1.1-U135</f>
        <v>0</v>
      </c>
      <c r="V136" s="1397">
        <f t="shared" ref="V136" si="113">V92*1.1-V135</f>
        <v>0</v>
      </c>
      <c r="W136" s="1397">
        <f t="shared" ref="W136" si="114">W92*1.1-W135</f>
        <v>0</v>
      </c>
      <c r="X136" s="1397">
        <f t="shared" ref="X136" si="115">X92*1.1-X135</f>
        <v>0</v>
      </c>
      <c r="Y136" s="1397">
        <f t="shared" ref="Y136" si="116">Y92*1.1-Y135</f>
        <v>0</v>
      </c>
      <c r="Z136" s="1397">
        <f t="shared" ref="Z136" si="117">Z92*1.1-Z135</f>
        <v>0</v>
      </c>
      <c r="AA136" s="1397">
        <f t="shared" ref="AA136" si="118">AA92*1.1-AA135</f>
        <v>0</v>
      </c>
      <c r="AB136" s="1397">
        <f t="shared" ref="AB136" si="119">AB92*1.1-AB135</f>
        <v>0</v>
      </c>
      <c r="AC136" s="1397">
        <f t="shared" ref="AC136" si="120">AC92*1.1-AC135</f>
        <v>0</v>
      </c>
      <c r="AD136" s="1397">
        <f t="shared" ref="AD136" si="121">AD92*1.1-AD135</f>
        <v>0</v>
      </c>
      <c r="AE136" s="1397">
        <f t="shared" ref="AE136" si="122">AE92*1.1-AE135</f>
        <v>0</v>
      </c>
      <c r="AF136" s="1397">
        <f t="shared" ref="AF136" si="123">AF92*1.1-AF135</f>
        <v>0</v>
      </c>
      <c r="AG136" s="1397">
        <f t="shared" ref="AG136" si="124">AG92*1.1-AG135</f>
        <v>0</v>
      </c>
      <c r="AH136" s="1397">
        <f t="shared" ref="AH136" si="125">AH92*1.1-AH135</f>
        <v>0</v>
      </c>
      <c r="AI136" s="1405">
        <f t="shared" ref="AI136:AK136" si="126">AI92-AI135</f>
        <v>1006061294.9854541</v>
      </c>
      <c r="AJ136" s="1405">
        <f t="shared" si="126"/>
        <v>1006061294.9854541</v>
      </c>
      <c r="AK136" s="1406">
        <f t="shared" si="126"/>
        <v>1006061294.9854541</v>
      </c>
    </row>
    <row r="137" spans="1:37" ht="11.5" x14ac:dyDescent="0.25">
      <c r="A137" s="490" t="s">
        <v>204</v>
      </c>
      <c r="B137" s="490"/>
      <c r="C137" s="482"/>
      <c r="D137" s="587"/>
      <c r="E137" s="483"/>
      <c r="F137" s="483"/>
      <c r="G137" s="483"/>
      <c r="H137" s="483"/>
      <c r="I137" s="483"/>
      <c r="J137" s="483"/>
      <c r="K137" s="483"/>
      <c r="L137" s="483"/>
      <c r="M137" s="483"/>
      <c r="N137" s="483"/>
      <c r="O137" s="483"/>
      <c r="P137" s="483"/>
      <c r="Q137" s="483"/>
      <c r="R137" s="483"/>
      <c r="S137" s="483"/>
      <c r="T137" s="483"/>
      <c r="U137" s="483"/>
      <c r="V137" s="483"/>
      <c r="W137" s="483"/>
      <c r="X137" s="483"/>
      <c r="Y137" s="483"/>
      <c r="Z137" s="483"/>
      <c r="AA137" s="483"/>
      <c r="AB137" s="483"/>
      <c r="AC137" s="483"/>
      <c r="AD137" s="483"/>
      <c r="AE137" s="483"/>
      <c r="AF137" s="483"/>
      <c r="AG137" s="483"/>
      <c r="AH137" s="483"/>
      <c r="AI137" s="539"/>
      <c r="AJ137" s="539"/>
      <c r="AK137" s="540"/>
    </row>
    <row r="138" spans="1:37" ht="11.5" x14ac:dyDescent="0.25">
      <c r="A138" s="439" t="str">
        <f>B31</f>
        <v>燃料　調達</v>
      </c>
      <c r="B138" s="439"/>
      <c r="C138" s="451" t="s">
        <v>37</v>
      </c>
      <c r="D138" s="493"/>
      <c r="E138" s="493">
        <f t="shared" ref="E138:AH138" si="127">E31</f>
        <v>495000000</v>
      </c>
      <c r="F138" s="493">
        <f t="shared" si="127"/>
        <v>495000000</v>
      </c>
      <c r="G138" s="493">
        <f t="shared" si="127"/>
        <v>495000000</v>
      </c>
      <c r="H138" s="493">
        <f t="shared" si="127"/>
        <v>495000000</v>
      </c>
      <c r="I138" s="493">
        <f t="shared" si="127"/>
        <v>495000000</v>
      </c>
      <c r="J138" s="493">
        <f t="shared" si="127"/>
        <v>495000000</v>
      </c>
      <c r="K138" s="493">
        <f t="shared" si="127"/>
        <v>495000000</v>
      </c>
      <c r="L138" s="493">
        <f t="shared" si="127"/>
        <v>495000000</v>
      </c>
      <c r="M138" s="493">
        <f t="shared" si="127"/>
        <v>495000000</v>
      </c>
      <c r="N138" s="493">
        <f t="shared" si="127"/>
        <v>495000000</v>
      </c>
      <c r="O138" s="493">
        <f t="shared" si="127"/>
        <v>495000000</v>
      </c>
      <c r="P138" s="493">
        <f t="shared" si="127"/>
        <v>495000000</v>
      </c>
      <c r="Q138" s="493">
        <f t="shared" si="127"/>
        <v>495000000</v>
      </c>
      <c r="R138" s="493">
        <f t="shared" si="127"/>
        <v>495000000</v>
      </c>
      <c r="S138" s="493">
        <f t="shared" si="127"/>
        <v>495000000</v>
      </c>
      <c r="T138" s="493">
        <f t="shared" si="127"/>
        <v>495000000</v>
      </c>
      <c r="U138" s="493">
        <f t="shared" si="127"/>
        <v>495000000</v>
      </c>
      <c r="V138" s="493">
        <f t="shared" si="127"/>
        <v>495000000</v>
      </c>
      <c r="W138" s="493">
        <f t="shared" si="127"/>
        <v>495000000</v>
      </c>
      <c r="X138" s="493">
        <f t="shared" si="127"/>
        <v>495000000</v>
      </c>
      <c r="Y138" s="493">
        <f t="shared" si="127"/>
        <v>495000000</v>
      </c>
      <c r="Z138" s="493">
        <f t="shared" si="127"/>
        <v>495000000</v>
      </c>
      <c r="AA138" s="493">
        <f t="shared" si="127"/>
        <v>495000000</v>
      </c>
      <c r="AB138" s="493">
        <f t="shared" si="127"/>
        <v>495000000</v>
      </c>
      <c r="AC138" s="493">
        <f t="shared" si="127"/>
        <v>495000000</v>
      </c>
      <c r="AD138" s="493">
        <f t="shared" si="127"/>
        <v>495000000</v>
      </c>
      <c r="AE138" s="493">
        <f t="shared" si="127"/>
        <v>495000000</v>
      </c>
      <c r="AF138" s="493">
        <f t="shared" si="127"/>
        <v>495000000</v>
      </c>
      <c r="AG138" s="493">
        <f t="shared" si="127"/>
        <v>495000000</v>
      </c>
      <c r="AH138" s="493">
        <f t="shared" si="127"/>
        <v>495000000</v>
      </c>
      <c r="AI138" s="535">
        <f>SUM(D138:N138)</f>
        <v>4950000000</v>
      </c>
      <c r="AJ138" s="535">
        <f>SUM(D138:X138)</f>
        <v>9900000000</v>
      </c>
      <c r="AK138" s="497">
        <f>SUM(D138:AH138)</f>
        <v>14850000000</v>
      </c>
    </row>
    <row r="139" spans="1:37" ht="11.5" x14ac:dyDescent="0.25">
      <c r="A139" s="487" t="str">
        <f>地域経済性分析・初期条件!$G$17</f>
        <v>木材・木製品製造業</v>
      </c>
      <c r="C139" s="452"/>
      <c r="D139" s="493"/>
      <c r="E139" s="465"/>
      <c r="F139" s="466"/>
      <c r="G139" s="465"/>
      <c r="H139" s="465"/>
      <c r="I139" s="465"/>
      <c r="J139" s="465"/>
      <c r="K139" s="465"/>
      <c r="L139" s="465"/>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c r="AI139" s="535"/>
      <c r="AJ139" s="535"/>
      <c r="AK139" s="497"/>
    </row>
    <row r="140" spans="1:37" ht="11.5" x14ac:dyDescent="0.25">
      <c r="A140" s="533" t="str">
        <f>A139&amp;B140</f>
        <v>木材・木製品製造業売上（税別）</v>
      </c>
      <c r="B140" s="439" t="s">
        <v>1092</v>
      </c>
      <c r="C140" s="451" t="s">
        <v>37</v>
      </c>
      <c r="D140" s="493">
        <f>D138*地域経済性分析・初期条件!$F$17</f>
        <v>0</v>
      </c>
      <c r="E140" s="493">
        <f>E138*地域経済性分析・初期条件!$F$17</f>
        <v>495000000</v>
      </c>
      <c r="F140" s="493">
        <f>F138*地域経済性分析・初期条件!$F$17</f>
        <v>495000000</v>
      </c>
      <c r="G140" s="493">
        <f>G138*地域経済性分析・初期条件!$F$17</f>
        <v>495000000</v>
      </c>
      <c r="H140" s="493">
        <f>H138*地域経済性分析・初期条件!$F$17</f>
        <v>495000000</v>
      </c>
      <c r="I140" s="493">
        <f>I138*地域経済性分析・初期条件!$F$17</f>
        <v>495000000</v>
      </c>
      <c r="J140" s="493">
        <f>J138*地域経済性分析・初期条件!$F$17</f>
        <v>495000000</v>
      </c>
      <c r="K140" s="493">
        <f>K138*地域経済性分析・初期条件!$F$17</f>
        <v>495000000</v>
      </c>
      <c r="L140" s="493">
        <f>L138*地域経済性分析・初期条件!$F$17</f>
        <v>495000000</v>
      </c>
      <c r="M140" s="493">
        <f>M138*地域経済性分析・初期条件!$F$17</f>
        <v>495000000</v>
      </c>
      <c r="N140" s="493">
        <f>N138*地域経済性分析・初期条件!$F$17</f>
        <v>495000000</v>
      </c>
      <c r="O140" s="493">
        <f>O138*地域経済性分析・初期条件!$F$17</f>
        <v>495000000</v>
      </c>
      <c r="P140" s="493">
        <f>P138*地域経済性分析・初期条件!$F$17</f>
        <v>495000000</v>
      </c>
      <c r="Q140" s="493">
        <f>Q138*地域経済性分析・初期条件!$F$17</f>
        <v>495000000</v>
      </c>
      <c r="R140" s="493">
        <f>R138*地域経済性分析・初期条件!$F$17</f>
        <v>495000000</v>
      </c>
      <c r="S140" s="493">
        <f>S138*地域経済性分析・初期条件!$F$17</f>
        <v>495000000</v>
      </c>
      <c r="T140" s="493">
        <f>T138*地域経済性分析・初期条件!$F$17</f>
        <v>495000000</v>
      </c>
      <c r="U140" s="493">
        <f>U138*地域経済性分析・初期条件!$F$17</f>
        <v>495000000</v>
      </c>
      <c r="V140" s="493">
        <f>V138*地域経済性分析・初期条件!$F$17</f>
        <v>495000000</v>
      </c>
      <c r="W140" s="493">
        <f>W138*地域経済性分析・初期条件!$F$17</f>
        <v>495000000</v>
      </c>
      <c r="X140" s="493">
        <f>X138*地域経済性分析・初期条件!$F$17</f>
        <v>495000000</v>
      </c>
      <c r="Y140" s="493">
        <f>Y138*地域経済性分析・初期条件!$F$17</f>
        <v>495000000</v>
      </c>
      <c r="Z140" s="493">
        <f>Z138*地域経済性分析・初期条件!$F$17</f>
        <v>495000000</v>
      </c>
      <c r="AA140" s="493">
        <f>AA138*地域経済性分析・初期条件!$F$17</f>
        <v>495000000</v>
      </c>
      <c r="AB140" s="493">
        <f>AB138*地域経済性分析・初期条件!$F$17</f>
        <v>495000000</v>
      </c>
      <c r="AC140" s="493">
        <f>AC138*地域経済性分析・初期条件!$F$17</f>
        <v>495000000</v>
      </c>
      <c r="AD140" s="493">
        <f>AD138*地域経済性分析・初期条件!$F$17</f>
        <v>495000000</v>
      </c>
      <c r="AE140" s="493">
        <f>AE138*地域経済性分析・初期条件!$F$17</f>
        <v>495000000</v>
      </c>
      <c r="AF140" s="493">
        <f>AF138*地域経済性分析・初期条件!$F$17</f>
        <v>495000000</v>
      </c>
      <c r="AG140" s="493">
        <f>AG138*地域経済性分析・初期条件!$F$17</f>
        <v>495000000</v>
      </c>
      <c r="AH140" s="493">
        <f>AH138*地域経済性分析・初期条件!$F$17</f>
        <v>495000000</v>
      </c>
      <c r="AI140" s="535">
        <f t="shared" ref="AI140:AI148" si="128">SUM(D140:N140)</f>
        <v>4950000000</v>
      </c>
      <c r="AJ140" s="535">
        <f t="shared" ref="AJ140:AJ148" si="129">SUM(D140:X140)</f>
        <v>9900000000</v>
      </c>
      <c r="AK140" s="497">
        <f t="shared" ref="AK140:AK148" si="130">SUM(D140:AH140)</f>
        <v>14850000000</v>
      </c>
    </row>
    <row r="141" spans="1:37" ht="11.5" x14ac:dyDescent="0.25">
      <c r="A141" s="533"/>
      <c r="B141" s="439" t="s">
        <v>1136</v>
      </c>
      <c r="C141" s="451" t="s">
        <v>37</v>
      </c>
      <c r="D141" s="493">
        <f>IF(D140&lt;0,0,D140*波及効果シート!$D$72)</f>
        <v>0</v>
      </c>
      <c r="E141" s="493">
        <f>IF(E140&lt;0,0,E140*波及効果シート!$D$72)</f>
        <v>5445000</v>
      </c>
      <c r="F141" s="493">
        <f>IF(F140&lt;0,0,F140*波及効果シート!$D$72)</f>
        <v>5445000</v>
      </c>
      <c r="G141" s="493">
        <f>IF(G140&lt;0,0,G140*波及効果シート!$D$72)</f>
        <v>5445000</v>
      </c>
      <c r="H141" s="493">
        <f>IF(H140&lt;0,0,H140*波及効果シート!$D$72)</f>
        <v>5445000</v>
      </c>
      <c r="I141" s="493">
        <f>IF(I140&lt;0,0,I140*波及効果シート!$D$72)</f>
        <v>5445000</v>
      </c>
      <c r="J141" s="493">
        <f>IF(J140&lt;0,0,J140*波及効果シート!$D$72)</f>
        <v>5445000</v>
      </c>
      <c r="K141" s="493">
        <f>IF(K140&lt;0,0,K140*波及効果シート!$D$72)</f>
        <v>5445000</v>
      </c>
      <c r="L141" s="493">
        <f>IF(L140&lt;0,0,L140*波及効果シート!$D$72)</f>
        <v>5445000</v>
      </c>
      <c r="M141" s="493">
        <f>IF(M140&lt;0,0,M140*波及効果シート!$D$72)</f>
        <v>5445000</v>
      </c>
      <c r="N141" s="493">
        <f>IF(N140&lt;0,0,N140*波及効果シート!$D$72)</f>
        <v>5445000</v>
      </c>
      <c r="O141" s="493">
        <f>IF(O140&lt;0,0,O140*波及効果シート!$D$72)</f>
        <v>5445000</v>
      </c>
      <c r="P141" s="493">
        <f>IF(P140&lt;0,0,P140*波及効果シート!$D$72)</f>
        <v>5445000</v>
      </c>
      <c r="Q141" s="493">
        <f>IF(Q140&lt;0,0,Q140*波及効果シート!$D$72)</f>
        <v>5445000</v>
      </c>
      <c r="R141" s="493">
        <f>IF(R140&lt;0,0,R140*波及効果シート!$D$72)</f>
        <v>5445000</v>
      </c>
      <c r="S141" s="493">
        <f>IF(S140&lt;0,0,S140*波及効果シート!$D$72)</f>
        <v>5445000</v>
      </c>
      <c r="T141" s="493">
        <f>IF(T140&lt;0,0,T140*波及効果シート!$D$72)</f>
        <v>5445000</v>
      </c>
      <c r="U141" s="493">
        <f>IF(U140&lt;0,0,U140*波及効果シート!$D$72)</f>
        <v>5445000</v>
      </c>
      <c r="V141" s="493">
        <f>IF(V140&lt;0,0,V140*波及効果シート!$D$72)</f>
        <v>5445000</v>
      </c>
      <c r="W141" s="493">
        <f>IF(W140&lt;0,0,W140*波及効果シート!$D$72)</f>
        <v>5445000</v>
      </c>
      <c r="X141" s="493">
        <f>IF(X140&lt;0,0,X140*波及効果シート!$D$72)</f>
        <v>5445000</v>
      </c>
      <c r="Y141" s="493">
        <f>IF(Y140&lt;0,0,Y140*波及効果シート!$D$72)</f>
        <v>5445000</v>
      </c>
      <c r="Z141" s="493">
        <f>IF(Z140&lt;0,0,Z140*波及効果シート!$D$72)</f>
        <v>5445000</v>
      </c>
      <c r="AA141" s="493">
        <f>IF(AA140&lt;0,0,AA140*波及効果シート!$D$72)</f>
        <v>5445000</v>
      </c>
      <c r="AB141" s="493">
        <f>IF(AB140&lt;0,0,AB140*波及効果シート!$D$72)</f>
        <v>5445000</v>
      </c>
      <c r="AC141" s="493">
        <f>IF(AC140&lt;0,0,AC140*波及効果シート!$D$72)</f>
        <v>5445000</v>
      </c>
      <c r="AD141" s="493">
        <f>IF(AD140&lt;0,0,AD140*波及効果シート!$D$72)</f>
        <v>5445000</v>
      </c>
      <c r="AE141" s="493">
        <f>IF(AE140&lt;0,0,AE140*波及効果シート!$D$72)</f>
        <v>5445000</v>
      </c>
      <c r="AF141" s="493">
        <f>IF(AF140&lt;0,0,AF140*波及効果シート!$D$72)</f>
        <v>5445000</v>
      </c>
      <c r="AG141" s="493">
        <f>IF(AG140&lt;0,0,AG140*波及効果シート!$D$72)</f>
        <v>5445000</v>
      </c>
      <c r="AH141" s="493">
        <f>IF(AH140&lt;0,0,AH140*波及効果シート!$D$72)</f>
        <v>5445000</v>
      </c>
      <c r="AI141" s="535">
        <f t="shared" ref="AI141:AI142" si="131">SUM(D141:N141)</f>
        <v>54450000</v>
      </c>
      <c r="AJ141" s="535">
        <f t="shared" ref="AJ141:AJ142" si="132">SUM(D141:X141)</f>
        <v>108900000</v>
      </c>
      <c r="AK141" s="497">
        <f t="shared" ref="AK141:AK142" si="133">SUM(D141:AH141)</f>
        <v>163350000</v>
      </c>
    </row>
    <row r="142" spans="1:37" ht="11.5" x14ac:dyDescent="0.25">
      <c r="A142" s="533"/>
      <c r="B142" s="439" t="s">
        <v>1137</v>
      </c>
      <c r="C142" s="452" t="s">
        <v>37</v>
      </c>
      <c r="D142" s="493">
        <f>IF(D140&lt;0,0,D140*波及効果シート!$D$74)</f>
        <v>0</v>
      </c>
      <c r="E142" s="493">
        <f>IF(E140&lt;0,0,E140*波及効果シート!$D$74)</f>
        <v>5445000</v>
      </c>
      <c r="F142" s="493">
        <f>IF(F140&lt;0,0,F140*波及効果シート!$D$74)</f>
        <v>5445000</v>
      </c>
      <c r="G142" s="493">
        <f>IF(G140&lt;0,0,G140*波及効果シート!$D$74)</f>
        <v>5445000</v>
      </c>
      <c r="H142" s="493">
        <f>IF(H140&lt;0,0,H140*波及効果シート!$D$74)</f>
        <v>5445000</v>
      </c>
      <c r="I142" s="493">
        <f>IF(I140&lt;0,0,I140*波及効果シート!$D$74)</f>
        <v>5445000</v>
      </c>
      <c r="J142" s="493">
        <f>IF(J140&lt;0,0,J140*波及効果シート!$D$74)</f>
        <v>5445000</v>
      </c>
      <c r="K142" s="493">
        <f>IF(K140&lt;0,0,K140*波及効果シート!$D$74)</f>
        <v>5445000</v>
      </c>
      <c r="L142" s="493">
        <f>IF(L140&lt;0,0,L140*波及効果シート!$D$74)</f>
        <v>5445000</v>
      </c>
      <c r="M142" s="493">
        <f>IF(M140&lt;0,0,M140*波及効果シート!$D$74)</f>
        <v>5445000</v>
      </c>
      <c r="N142" s="493">
        <f>IF(N140&lt;0,0,N140*波及効果シート!$D$74)</f>
        <v>5445000</v>
      </c>
      <c r="O142" s="493">
        <f>IF(O140&lt;0,0,O140*波及効果シート!$D$74)</f>
        <v>5445000</v>
      </c>
      <c r="P142" s="493">
        <f>IF(P140&lt;0,0,P140*波及効果シート!$D$74)</f>
        <v>5445000</v>
      </c>
      <c r="Q142" s="493">
        <f>IF(Q140&lt;0,0,Q140*波及効果シート!$D$74)</f>
        <v>5445000</v>
      </c>
      <c r="R142" s="493">
        <f>IF(R140&lt;0,0,R140*波及効果シート!$D$74)</f>
        <v>5445000</v>
      </c>
      <c r="S142" s="493">
        <f>IF(S140&lt;0,0,S140*波及効果シート!$D$74)</f>
        <v>5445000</v>
      </c>
      <c r="T142" s="493">
        <f>IF(T140&lt;0,0,T140*波及効果シート!$D$74)</f>
        <v>5445000</v>
      </c>
      <c r="U142" s="493">
        <f>IF(U140&lt;0,0,U140*波及効果シート!$D$74)</f>
        <v>5445000</v>
      </c>
      <c r="V142" s="493">
        <f>IF(V140&lt;0,0,V140*波及効果シート!$D$74)</f>
        <v>5445000</v>
      </c>
      <c r="W142" s="493">
        <f>IF(W140&lt;0,0,W140*波及効果シート!$D$74)</f>
        <v>5445000</v>
      </c>
      <c r="X142" s="493">
        <f>IF(X140&lt;0,0,X140*波及効果シート!$D$74)</f>
        <v>5445000</v>
      </c>
      <c r="Y142" s="493">
        <f>IF(Y140&lt;0,0,Y140*波及効果シート!$D$74)</f>
        <v>5445000</v>
      </c>
      <c r="Z142" s="493">
        <f>IF(Z140&lt;0,0,Z140*波及効果シート!$D$74)</f>
        <v>5445000</v>
      </c>
      <c r="AA142" s="493">
        <f>IF(AA140&lt;0,0,AA140*波及効果シート!$D$74)</f>
        <v>5445000</v>
      </c>
      <c r="AB142" s="493">
        <f>IF(AB140&lt;0,0,AB140*波及効果シート!$D$74)</f>
        <v>5445000</v>
      </c>
      <c r="AC142" s="493">
        <f>IF(AC140&lt;0,0,AC140*波及効果シート!$D$74)</f>
        <v>5445000</v>
      </c>
      <c r="AD142" s="493">
        <f>IF(AD140&lt;0,0,AD140*波及効果シート!$D$74)</f>
        <v>5445000</v>
      </c>
      <c r="AE142" s="493">
        <f>IF(AE140&lt;0,0,AE140*波及効果シート!$D$74)</f>
        <v>5445000</v>
      </c>
      <c r="AF142" s="493">
        <f>IF(AF140&lt;0,0,AF140*波及効果シート!$D$74)</f>
        <v>5445000</v>
      </c>
      <c r="AG142" s="493">
        <f>IF(AG140&lt;0,0,AG140*波及効果シート!$D$74)</f>
        <v>5445000</v>
      </c>
      <c r="AH142" s="493">
        <f>IF(AH140&lt;0,0,AH140*波及効果シート!$D$74)</f>
        <v>5445000</v>
      </c>
      <c r="AI142" s="535">
        <f t="shared" si="131"/>
        <v>54450000</v>
      </c>
      <c r="AJ142" s="535">
        <f t="shared" si="132"/>
        <v>108900000</v>
      </c>
      <c r="AK142" s="497">
        <f t="shared" si="133"/>
        <v>163350000</v>
      </c>
    </row>
    <row r="143" spans="1:37" ht="11.5" x14ac:dyDescent="0.25">
      <c r="A143" s="533" t="str">
        <f>A139&amp;B143</f>
        <v>木材・木製品製造業所得税（国税）</v>
      </c>
      <c r="B143" s="439" t="s">
        <v>351</v>
      </c>
      <c r="C143" s="452" t="s">
        <v>333</v>
      </c>
      <c r="D143" s="493">
        <f>D140*地域経済性分析・初期条件!$P$17</f>
        <v>0</v>
      </c>
      <c r="E143" s="493">
        <f>E140*地域経済性分析・初期条件!$P$17</f>
        <v>99000000</v>
      </c>
      <c r="F143" s="493">
        <f>F140*地域経済性分析・初期条件!$P$17</f>
        <v>99000000</v>
      </c>
      <c r="G143" s="493">
        <f>G140*地域経済性分析・初期条件!$P$17</f>
        <v>99000000</v>
      </c>
      <c r="H143" s="493">
        <f>H140*地域経済性分析・初期条件!$P$17</f>
        <v>99000000</v>
      </c>
      <c r="I143" s="493">
        <f>I140*地域経済性分析・初期条件!$P$17</f>
        <v>99000000</v>
      </c>
      <c r="J143" s="493">
        <f>J140*地域経済性分析・初期条件!$P$17</f>
        <v>99000000</v>
      </c>
      <c r="K143" s="493">
        <f>K140*地域経済性分析・初期条件!$P$17</f>
        <v>99000000</v>
      </c>
      <c r="L143" s="493">
        <f>L140*地域経済性分析・初期条件!$P$17</f>
        <v>99000000</v>
      </c>
      <c r="M143" s="493">
        <f>M140*地域経済性分析・初期条件!$P$17</f>
        <v>99000000</v>
      </c>
      <c r="N143" s="493">
        <f>N140*地域経済性分析・初期条件!$P$17</f>
        <v>99000000</v>
      </c>
      <c r="O143" s="493">
        <f>O140*地域経済性分析・初期条件!$P$17</f>
        <v>99000000</v>
      </c>
      <c r="P143" s="493">
        <f>P140*地域経済性分析・初期条件!$P$17</f>
        <v>99000000</v>
      </c>
      <c r="Q143" s="493">
        <f>Q140*地域経済性分析・初期条件!$P$17</f>
        <v>99000000</v>
      </c>
      <c r="R143" s="493">
        <f>R140*地域経済性分析・初期条件!$P$17</f>
        <v>99000000</v>
      </c>
      <c r="S143" s="493">
        <f>S140*地域経済性分析・初期条件!$P$17</f>
        <v>99000000</v>
      </c>
      <c r="T143" s="493">
        <f>T140*地域経済性分析・初期条件!$P$17</f>
        <v>99000000</v>
      </c>
      <c r="U143" s="493">
        <f>U140*地域経済性分析・初期条件!$P$17</f>
        <v>99000000</v>
      </c>
      <c r="V143" s="493">
        <f>V140*地域経済性分析・初期条件!$P$17</f>
        <v>99000000</v>
      </c>
      <c r="W143" s="493">
        <f>W140*地域経済性分析・初期条件!$P$17</f>
        <v>99000000</v>
      </c>
      <c r="X143" s="493">
        <f>X140*地域経済性分析・初期条件!$P$17</f>
        <v>99000000</v>
      </c>
      <c r="Y143" s="493">
        <f>Y140*地域経済性分析・初期条件!$P$17</f>
        <v>99000000</v>
      </c>
      <c r="Z143" s="493">
        <f>Z140*地域経済性分析・初期条件!$P$17</f>
        <v>99000000</v>
      </c>
      <c r="AA143" s="493">
        <f>AA140*地域経済性分析・初期条件!$P$17</f>
        <v>99000000</v>
      </c>
      <c r="AB143" s="493">
        <f>AB140*地域経済性分析・初期条件!$P$17</f>
        <v>99000000</v>
      </c>
      <c r="AC143" s="493">
        <f>AC140*地域経済性分析・初期条件!$P$17</f>
        <v>99000000</v>
      </c>
      <c r="AD143" s="493">
        <f>AD140*地域経済性分析・初期条件!$P$17</f>
        <v>99000000</v>
      </c>
      <c r="AE143" s="493">
        <f>AE140*地域経済性分析・初期条件!$P$17</f>
        <v>99000000</v>
      </c>
      <c r="AF143" s="493">
        <f>AF140*地域経済性分析・初期条件!$P$17</f>
        <v>99000000</v>
      </c>
      <c r="AG143" s="493">
        <f>AG140*地域経済性分析・初期条件!$P$17</f>
        <v>99000000</v>
      </c>
      <c r="AH143" s="493">
        <f>AH140*地域経済性分析・初期条件!$P$17</f>
        <v>99000000</v>
      </c>
      <c r="AI143" s="535">
        <f t="shared" si="128"/>
        <v>990000000</v>
      </c>
      <c r="AJ143" s="535">
        <f t="shared" si="129"/>
        <v>1980000000</v>
      </c>
      <c r="AK143" s="497">
        <f t="shared" si="130"/>
        <v>2970000000</v>
      </c>
    </row>
    <row r="144" spans="1:37" ht="11.5" x14ac:dyDescent="0.25">
      <c r="A144" s="533" t="str">
        <f>A139&amp;B144</f>
        <v>木材・木製品製造業法人税（国税）</v>
      </c>
      <c r="B144" s="439" t="s">
        <v>350</v>
      </c>
      <c r="C144" s="452" t="s">
        <v>333</v>
      </c>
      <c r="D144" s="493">
        <f>D140*地域経済性分析・初期条件!$Q$17</f>
        <v>0</v>
      </c>
      <c r="E144" s="493">
        <f>E140*地域経済性分析・初期条件!$Q$17</f>
        <v>74250000</v>
      </c>
      <c r="F144" s="493">
        <f>F140*地域経済性分析・初期条件!$Q$17</f>
        <v>74250000</v>
      </c>
      <c r="G144" s="493">
        <f>G140*地域経済性分析・初期条件!$Q$17</f>
        <v>74250000</v>
      </c>
      <c r="H144" s="493">
        <f>H140*地域経済性分析・初期条件!$Q$17</f>
        <v>74250000</v>
      </c>
      <c r="I144" s="493">
        <f>I140*地域経済性分析・初期条件!$Q$17</f>
        <v>74250000</v>
      </c>
      <c r="J144" s="493">
        <f>J140*地域経済性分析・初期条件!$Q$17</f>
        <v>74250000</v>
      </c>
      <c r="K144" s="493">
        <f>K140*地域経済性分析・初期条件!$Q$17</f>
        <v>74250000</v>
      </c>
      <c r="L144" s="493">
        <f>L140*地域経済性分析・初期条件!$Q$17</f>
        <v>74250000</v>
      </c>
      <c r="M144" s="493">
        <f>M140*地域経済性分析・初期条件!$Q$17</f>
        <v>74250000</v>
      </c>
      <c r="N144" s="493">
        <f>N140*地域経済性分析・初期条件!$Q$17</f>
        <v>74250000</v>
      </c>
      <c r="O144" s="493">
        <f>O140*地域経済性分析・初期条件!$Q$17</f>
        <v>74250000</v>
      </c>
      <c r="P144" s="493">
        <f>P140*地域経済性分析・初期条件!$Q$17</f>
        <v>74250000</v>
      </c>
      <c r="Q144" s="493">
        <f>Q140*地域経済性分析・初期条件!$Q$17</f>
        <v>74250000</v>
      </c>
      <c r="R144" s="493">
        <f>R140*地域経済性分析・初期条件!$Q$17</f>
        <v>74250000</v>
      </c>
      <c r="S144" s="493">
        <f>S140*地域経済性分析・初期条件!$Q$17</f>
        <v>74250000</v>
      </c>
      <c r="T144" s="493">
        <f>T140*地域経済性分析・初期条件!$Q$17</f>
        <v>74250000</v>
      </c>
      <c r="U144" s="493">
        <f>U140*地域経済性分析・初期条件!$Q$17</f>
        <v>74250000</v>
      </c>
      <c r="V144" s="493">
        <f>V140*地域経済性分析・初期条件!$Q$17</f>
        <v>74250000</v>
      </c>
      <c r="W144" s="493">
        <f>W140*地域経済性分析・初期条件!$Q$17</f>
        <v>74250000</v>
      </c>
      <c r="X144" s="493">
        <f>X140*地域経済性分析・初期条件!$Q$17</f>
        <v>74250000</v>
      </c>
      <c r="Y144" s="493">
        <f>Y140*地域経済性分析・初期条件!$Q$17</f>
        <v>74250000</v>
      </c>
      <c r="Z144" s="493">
        <f>Z140*地域経済性分析・初期条件!$Q$17</f>
        <v>74250000</v>
      </c>
      <c r="AA144" s="493">
        <f>AA140*地域経済性分析・初期条件!$Q$17</f>
        <v>74250000</v>
      </c>
      <c r="AB144" s="493">
        <f>AB140*地域経済性分析・初期条件!$Q$17</f>
        <v>74250000</v>
      </c>
      <c r="AC144" s="493">
        <f>AC140*地域経済性分析・初期条件!$Q$17</f>
        <v>74250000</v>
      </c>
      <c r="AD144" s="493">
        <f>AD140*地域経済性分析・初期条件!$Q$17</f>
        <v>74250000</v>
      </c>
      <c r="AE144" s="493">
        <f>AE140*地域経済性分析・初期条件!$Q$17</f>
        <v>74250000</v>
      </c>
      <c r="AF144" s="493">
        <f>AF140*地域経済性分析・初期条件!$Q$17</f>
        <v>74250000</v>
      </c>
      <c r="AG144" s="493">
        <f>AG140*地域経済性分析・初期条件!$Q$17</f>
        <v>74250000</v>
      </c>
      <c r="AH144" s="493">
        <f>AH140*地域経済性分析・初期条件!$Q$17</f>
        <v>74250000</v>
      </c>
      <c r="AI144" s="535">
        <f t="shared" si="128"/>
        <v>742500000</v>
      </c>
      <c r="AJ144" s="535">
        <f t="shared" si="129"/>
        <v>1485000000</v>
      </c>
      <c r="AK144" s="497">
        <f t="shared" si="130"/>
        <v>2227500000</v>
      </c>
    </row>
    <row r="145" spans="1:37" ht="11.5" x14ac:dyDescent="0.25">
      <c r="A145" s="533" t="str">
        <f>A139&amp;B145</f>
        <v>木材・木製品製造業従業員の可処分所得（一次）</v>
      </c>
      <c r="B145" s="439" t="s">
        <v>329</v>
      </c>
      <c r="C145" s="451" t="s">
        <v>37</v>
      </c>
      <c r="D145" s="493">
        <f>D140*地域経済性分析・初期条件!$H$17</f>
        <v>0</v>
      </c>
      <c r="E145" s="493">
        <f>E140*地域経済性分析・初期条件!$H$17</f>
        <v>43797007.805387668</v>
      </c>
      <c r="F145" s="493">
        <f>F140*地域経済性分析・初期条件!$H$17</f>
        <v>43797007.805387668</v>
      </c>
      <c r="G145" s="493">
        <f>G140*地域経済性分析・初期条件!$H$17</f>
        <v>43797007.805387668</v>
      </c>
      <c r="H145" s="493">
        <f>H140*地域経済性分析・初期条件!$H$17</f>
        <v>43797007.805387668</v>
      </c>
      <c r="I145" s="493">
        <f>I140*地域経済性分析・初期条件!$H$17</f>
        <v>43797007.805387668</v>
      </c>
      <c r="J145" s="493">
        <f>J140*地域経済性分析・初期条件!$H$17</f>
        <v>43797007.805387668</v>
      </c>
      <c r="K145" s="493">
        <f>K140*地域経済性分析・初期条件!$H$17</f>
        <v>43797007.805387668</v>
      </c>
      <c r="L145" s="493">
        <f>L140*地域経済性分析・初期条件!$H$17</f>
        <v>43797007.805387668</v>
      </c>
      <c r="M145" s="493">
        <f>M140*地域経済性分析・初期条件!$H$17</f>
        <v>43797007.805387668</v>
      </c>
      <c r="N145" s="493">
        <f>N140*地域経済性分析・初期条件!$H$17</f>
        <v>43797007.805387668</v>
      </c>
      <c r="O145" s="493">
        <f>O140*地域経済性分析・初期条件!$H$17</f>
        <v>43797007.805387668</v>
      </c>
      <c r="P145" s="493">
        <f>P140*地域経済性分析・初期条件!$H$17</f>
        <v>43797007.805387668</v>
      </c>
      <c r="Q145" s="493">
        <f>Q140*地域経済性分析・初期条件!$H$17</f>
        <v>43797007.805387668</v>
      </c>
      <c r="R145" s="493">
        <f>R140*地域経済性分析・初期条件!$H$17</f>
        <v>43797007.805387668</v>
      </c>
      <c r="S145" s="493">
        <f>S140*地域経済性分析・初期条件!$H$17</f>
        <v>43797007.805387668</v>
      </c>
      <c r="T145" s="493">
        <f>T140*地域経済性分析・初期条件!$H$17</f>
        <v>43797007.805387668</v>
      </c>
      <c r="U145" s="493">
        <f>U140*地域経済性分析・初期条件!$H$17</f>
        <v>43797007.805387668</v>
      </c>
      <c r="V145" s="493">
        <f>V140*地域経済性分析・初期条件!$H$17</f>
        <v>43797007.805387668</v>
      </c>
      <c r="W145" s="493">
        <f>W140*地域経済性分析・初期条件!$H$17</f>
        <v>43797007.805387668</v>
      </c>
      <c r="X145" s="493">
        <f>X140*地域経済性分析・初期条件!$H$17</f>
        <v>43797007.805387668</v>
      </c>
      <c r="Y145" s="493">
        <f>Y140*地域経済性分析・初期条件!$H$17</f>
        <v>43797007.805387668</v>
      </c>
      <c r="Z145" s="493">
        <f>Z140*地域経済性分析・初期条件!$H$17</f>
        <v>43797007.805387668</v>
      </c>
      <c r="AA145" s="493">
        <f>AA140*地域経済性分析・初期条件!$H$17</f>
        <v>43797007.805387668</v>
      </c>
      <c r="AB145" s="493">
        <f>AB140*地域経済性分析・初期条件!$H$17</f>
        <v>43797007.805387668</v>
      </c>
      <c r="AC145" s="493">
        <f>AC140*地域経済性分析・初期条件!$H$17</f>
        <v>43797007.805387668</v>
      </c>
      <c r="AD145" s="493">
        <f>AD140*地域経済性分析・初期条件!$H$17</f>
        <v>43797007.805387668</v>
      </c>
      <c r="AE145" s="493">
        <f>AE140*地域経済性分析・初期条件!$H$17</f>
        <v>43797007.805387668</v>
      </c>
      <c r="AF145" s="493">
        <f>AF140*地域経済性分析・初期条件!$H$17</f>
        <v>43797007.805387668</v>
      </c>
      <c r="AG145" s="493">
        <f>AG140*地域経済性分析・初期条件!$H$17</f>
        <v>43797007.805387668</v>
      </c>
      <c r="AH145" s="493">
        <f>AH140*地域経済性分析・初期条件!$H$17</f>
        <v>43797007.805387668</v>
      </c>
      <c r="AI145" s="535">
        <f t="shared" si="128"/>
        <v>437970078.0538767</v>
      </c>
      <c r="AJ145" s="535">
        <f t="shared" si="129"/>
        <v>875940156.10775304</v>
      </c>
      <c r="AK145" s="497">
        <f t="shared" si="130"/>
        <v>1313910234.1616299</v>
      </c>
    </row>
    <row r="146" spans="1:37" ht="11.5" x14ac:dyDescent="0.25">
      <c r="A146" s="533" t="str">
        <f>A139&amp;B146</f>
        <v>木材・木製品製造業企業の税引後利益（一次）</v>
      </c>
      <c r="B146" s="439" t="s">
        <v>330</v>
      </c>
      <c r="C146" s="451" t="s">
        <v>37</v>
      </c>
      <c r="D146" s="493">
        <f>D140*地域経済性分析・初期条件!$I$17</f>
        <v>0</v>
      </c>
      <c r="E146" s="493">
        <f>E140*地域経済性分析・初期条件!$I$17</f>
        <v>11016691.46294941</v>
      </c>
      <c r="F146" s="493">
        <f>F140*地域経済性分析・初期条件!$I$17</f>
        <v>11016691.46294941</v>
      </c>
      <c r="G146" s="493">
        <f>G140*地域経済性分析・初期条件!$I$17</f>
        <v>11016691.46294941</v>
      </c>
      <c r="H146" s="493">
        <f>H140*地域経済性分析・初期条件!$I$17</f>
        <v>11016691.46294941</v>
      </c>
      <c r="I146" s="493">
        <f>I140*地域経済性分析・初期条件!$I$17</f>
        <v>11016691.46294941</v>
      </c>
      <c r="J146" s="493">
        <f>J140*地域経済性分析・初期条件!$I$17</f>
        <v>11016691.46294941</v>
      </c>
      <c r="K146" s="493">
        <f>K140*地域経済性分析・初期条件!$I$17</f>
        <v>11016691.46294941</v>
      </c>
      <c r="L146" s="493">
        <f>L140*地域経済性分析・初期条件!$I$17</f>
        <v>11016691.46294941</v>
      </c>
      <c r="M146" s="493">
        <f>M140*地域経済性分析・初期条件!$I$17</f>
        <v>11016691.46294941</v>
      </c>
      <c r="N146" s="493">
        <f>N140*地域経済性分析・初期条件!$I$17</f>
        <v>11016691.46294941</v>
      </c>
      <c r="O146" s="493">
        <f>O140*地域経済性分析・初期条件!$I$17</f>
        <v>11016691.46294941</v>
      </c>
      <c r="P146" s="493">
        <f>P140*地域経済性分析・初期条件!$I$17</f>
        <v>11016691.46294941</v>
      </c>
      <c r="Q146" s="493">
        <f>Q140*地域経済性分析・初期条件!$I$17</f>
        <v>11016691.46294941</v>
      </c>
      <c r="R146" s="493">
        <f>R140*地域経済性分析・初期条件!$I$17</f>
        <v>11016691.46294941</v>
      </c>
      <c r="S146" s="493">
        <f>S140*地域経済性分析・初期条件!$I$17</f>
        <v>11016691.46294941</v>
      </c>
      <c r="T146" s="493">
        <f>T140*地域経済性分析・初期条件!$I$17</f>
        <v>11016691.46294941</v>
      </c>
      <c r="U146" s="493">
        <f>U140*地域経済性分析・初期条件!$I$17</f>
        <v>11016691.46294941</v>
      </c>
      <c r="V146" s="493">
        <f>V140*地域経済性分析・初期条件!$I$17</f>
        <v>11016691.46294941</v>
      </c>
      <c r="W146" s="493">
        <f>W140*地域経済性分析・初期条件!$I$17</f>
        <v>11016691.46294941</v>
      </c>
      <c r="X146" s="493">
        <f>X140*地域経済性分析・初期条件!$I$17</f>
        <v>11016691.46294941</v>
      </c>
      <c r="Y146" s="493">
        <f>Y140*地域経済性分析・初期条件!$I$17</f>
        <v>11016691.46294941</v>
      </c>
      <c r="Z146" s="493">
        <f>Z140*地域経済性分析・初期条件!$I$17</f>
        <v>11016691.46294941</v>
      </c>
      <c r="AA146" s="493">
        <f>AA140*地域経済性分析・初期条件!$I$17</f>
        <v>11016691.46294941</v>
      </c>
      <c r="AB146" s="493">
        <f>AB140*地域経済性分析・初期条件!$I$17</f>
        <v>11016691.46294941</v>
      </c>
      <c r="AC146" s="493">
        <f>AC140*地域経済性分析・初期条件!$I$17</f>
        <v>11016691.46294941</v>
      </c>
      <c r="AD146" s="493">
        <f>AD140*地域経済性分析・初期条件!$I$17</f>
        <v>11016691.46294941</v>
      </c>
      <c r="AE146" s="493">
        <f>AE140*地域経済性分析・初期条件!$I$17</f>
        <v>11016691.46294941</v>
      </c>
      <c r="AF146" s="493">
        <f>AF140*地域経済性分析・初期条件!$I$17</f>
        <v>11016691.46294941</v>
      </c>
      <c r="AG146" s="493">
        <f>AG140*地域経済性分析・初期条件!$I$17</f>
        <v>11016691.46294941</v>
      </c>
      <c r="AH146" s="493">
        <f>AH140*地域経済性分析・初期条件!$I$17</f>
        <v>11016691.46294941</v>
      </c>
      <c r="AI146" s="535">
        <f t="shared" si="128"/>
        <v>110166914.6294941</v>
      </c>
      <c r="AJ146" s="535">
        <f t="shared" si="129"/>
        <v>220333829.25898808</v>
      </c>
      <c r="AK146" s="497">
        <f t="shared" si="130"/>
        <v>330500743.88848203</v>
      </c>
    </row>
    <row r="147" spans="1:37" ht="11.5" x14ac:dyDescent="0.25">
      <c r="A147" s="533" t="str">
        <f>A139&amp;B147</f>
        <v>木材・木製品製造業都道府県税収（一次）</v>
      </c>
      <c r="B147" s="439" t="s">
        <v>331</v>
      </c>
      <c r="C147" s="451" t="s">
        <v>37</v>
      </c>
      <c r="D147" s="493">
        <f>D140*地域経済性分析・初期条件!$J$17</f>
        <v>0</v>
      </c>
      <c r="E147" s="493">
        <f>E140*地域経済性分析・初期条件!$J$17</f>
        <v>5303368.3320651324</v>
      </c>
      <c r="F147" s="493">
        <f>F140*地域経済性分析・初期条件!$J$17</f>
        <v>5303368.3320651324</v>
      </c>
      <c r="G147" s="493">
        <f>G140*地域経済性分析・初期条件!$J$17</f>
        <v>5303368.3320651324</v>
      </c>
      <c r="H147" s="493">
        <f>H140*地域経済性分析・初期条件!$J$17</f>
        <v>5303368.3320651324</v>
      </c>
      <c r="I147" s="493">
        <f>I140*地域経済性分析・初期条件!$J$17</f>
        <v>5303368.3320651324</v>
      </c>
      <c r="J147" s="493">
        <f>J140*地域経済性分析・初期条件!$J$17</f>
        <v>5303368.3320651324</v>
      </c>
      <c r="K147" s="493">
        <f>K140*地域経済性分析・初期条件!$J$17</f>
        <v>5303368.3320651324</v>
      </c>
      <c r="L147" s="493">
        <f>L140*地域経済性分析・初期条件!$J$17</f>
        <v>5303368.3320651324</v>
      </c>
      <c r="M147" s="493">
        <f>M140*地域経済性分析・初期条件!$J$17</f>
        <v>5303368.3320651324</v>
      </c>
      <c r="N147" s="493">
        <f>N140*地域経済性分析・初期条件!$J$17</f>
        <v>5303368.3320651324</v>
      </c>
      <c r="O147" s="493">
        <f>O140*地域経済性分析・初期条件!$J$17</f>
        <v>5303368.3320651324</v>
      </c>
      <c r="P147" s="493">
        <f>P140*地域経済性分析・初期条件!$J$17</f>
        <v>5303368.3320651324</v>
      </c>
      <c r="Q147" s="493">
        <f>Q140*地域経済性分析・初期条件!$J$17</f>
        <v>5303368.3320651324</v>
      </c>
      <c r="R147" s="493">
        <f>R140*地域経済性分析・初期条件!$J$17</f>
        <v>5303368.3320651324</v>
      </c>
      <c r="S147" s="493">
        <f>S140*地域経済性分析・初期条件!$J$17</f>
        <v>5303368.3320651324</v>
      </c>
      <c r="T147" s="493">
        <f>T140*地域経済性分析・初期条件!$J$17</f>
        <v>5303368.3320651324</v>
      </c>
      <c r="U147" s="493">
        <f>U140*地域経済性分析・初期条件!$J$17</f>
        <v>5303368.3320651324</v>
      </c>
      <c r="V147" s="493">
        <f>V140*地域経済性分析・初期条件!$J$17</f>
        <v>5303368.3320651324</v>
      </c>
      <c r="W147" s="493">
        <f>W140*地域経済性分析・初期条件!$J$17</f>
        <v>5303368.3320651324</v>
      </c>
      <c r="X147" s="493">
        <f>X140*地域経済性分析・初期条件!$J$17</f>
        <v>5303368.3320651324</v>
      </c>
      <c r="Y147" s="493">
        <f>Y140*地域経済性分析・初期条件!$J$17</f>
        <v>5303368.3320651324</v>
      </c>
      <c r="Z147" s="493">
        <f>Z140*地域経済性分析・初期条件!$J$17</f>
        <v>5303368.3320651324</v>
      </c>
      <c r="AA147" s="493">
        <f>AA140*地域経済性分析・初期条件!$J$17</f>
        <v>5303368.3320651324</v>
      </c>
      <c r="AB147" s="493">
        <f>AB140*地域経済性分析・初期条件!$J$17</f>
        <v>5303368.3320651324</v>
      </c>
      <c r="AC147" s="493">
        <f>AC140*地域経済性分析・初期条件!$J$17</f>
        <v>5303368.3320651324</v>
      </c>
      <c r="AD147" s="493">
        <f>AD140*地域経済性分析・初期条件!$J$17</f>
        <v>5303368.3320651324</v>
      </c>
      <c r="AE147" s="493">
        <f>AE140*地域経済性分析・初期条件!$J$17</f>
        <v>5303368.3320651324</v>
      </c>
      <c r="AF147" s="493">
        <f>AF140*地域経済性分析・初期条件!$J$17</f>
        <v>5303368.3320651324</v>
      </c>
      <c r="AG147" s="493">
        <f>AG140*地域経済性分析・初期条件!$J$17</f>
        <v>5303368.3320651324</v>
      </c>
      <c r="AH147" s="493">
        <f>AH140*地域経済性分析・初期条件!$J$17</f>
        <v>5303368.3320651324</v>
      </c>
      <c r="AI147" s="535">
        <f t="shared" si="128"/>
        <v>53033683.32065133</v>
      </c>
      <c r="AJ147" s="535">
        <f t="shared" si="129"/>
        <v>106067366.64130268</v>
      </c>
      <c r="AK147" s="497">
        <f t="shared" si="130"/>
        <v>159101049.96195403</v>
      </c>
    </row>
    <row r="148" spans="1:37" ht="11.5" x14ac:dyDescent="0.25">
      <c r="A148" s="533" t="str">
        <f>A139&amp;B148</f>
        <v>木材・木製品製造業市町村税収（一次）</v>
      </c>
      <c r="B148" s="439" t="s">
        <v>332</v>
      </c>
      <c r="C148" s="452" t="s">
        <v>37</v>
      </c>
      <c r="D148" s="493">
        <f>D140*地域経済性分析・初期条件!$K$17</f>
        <v>0</v>
      </c>
      <c r="E148" s="493">
        <f>E140*地域経済性分析・初期条件!$K$17</f>
        <v>2750038.1010121889</v>
      </c>
      <c r="F148" s="493">
        <f>F140*地域経済性分析・初期条件!$K$17</f>
        <v>2750038.1010121889</v>
      </c>
      <c r="G148" s="493">
        <f>G140*地域経済性分析・初期条件!$K$17</f>
        <v>2750038.1010121889</v>
      </c>
      <c r="H148" s="493">
        <f>H140*地域経済性分析・初期条件!$K$17</f>
        <v>2750038.1010121889</v>
      </c>
      <c r="I148" s="493">
        <f>I140*地域経済性分析・初期条件!$K$17</f>
        <v>2750038.1010121889</v>
      </c>
      <c r="J148" s="493">
        <f>J140*地域経済性分析・初期条件!$K$17</f>
        <v>2750038.1010121889</v>
      </c>
      <c r="K148" s="493">
        <f>K140*地域経済性分析・初期条件!$K$17</f>
        <v>2750038.1010121889</v>
      </c>
      <c r="L148" s="493">
        <f>L140*地域経済性分析・初期条件!$K$17</f>
        <v>2750038.1010121889</v>
      </c>
      <c r="M148" s="493">
        <f>M140*地域経済性分析・初期条件!$K$17</f>
        <v>2750038.1010121889</v>
      </c>
      <c r="N148" s="493">
        <f>N140*地域経済性分析・初期条件!$K$17</f>
        <v>2750038.1010121889</v>
      </c>
      <c r="O148" s="493">
        <f>O140*地域経済性分析・初期条件!$K$17</f>
        <v>2750038.1010121889</v>
      </c>
      <c r="P148" s="493">
        <f>P140*地域経済性分析・初期条件!$K$17</f>
        <v>2750038.1010121889</v>
      </c>
      <c r="Q148" s="493">
        <f>Q140*地域経済性分析・初期条件!$K$17</f>
        <v>2750038.1010121889</v>
      </c>
      <c r="R148" s="493">
        <f>R140*地域経済性分析・初期条件!$K$17</f>
        <v>2750038.1010121889</v>
      </c>
      <c r="S148" s="493">
        <f>S140*地域経済性分析・初期条件!$K$17</f>
        <v>2750038.1010121889</v>
      </c>
      <c r="T148" s="493">
        <f>T140*地域経済性分析・初期条件!$K$17</f>
        <v>2750038.1010121889</v>
      </c>
      <c r="U148" s="493">
        <f>U140*地域経済性分析・初期条件!$K$17</f>
        <v>2750038.1010121889</v>
      </c>
      <c r="V148" s="493">
        <f>V140*地域経済性分析・初期条件!$K$17</f>
        <v>2750038.1010121889</v>
      </c>
      <c r="W148" s="493">
        <f>W140*地域経済性分析・初期条件!$K$17</f>
        <v>2750038.1010121889</v>
      </c>
      <c r="X148" s="493">
        <f>X140*地域経済性分析・初期条件!$K$17</f>
        <v>2750038.1010121889</v>
      </c>
      <c r="Y148" s="493">
        <f>Y140*地域経済性分析・初期条件!$K$17</f>
        <v>2750038.1010121889</v>
      </c>
      <c r="Z148" s="493">
        <f>Z140*地域経済性分析・初期条件!$K$17</f>
        <v>2750038.1010121889</v>
      </c>
      <c r="AA148" s="493">
        <f>AA140*地域経済性分析・初期条件!$K$17</f>
        <v>2750038.1010121889</v>
      </c>
      <c r="AB148" s="493">
        <f>AB140*地域経済性分析・初期条件!$K$17</f>
        <v>2750038.1010121889</v>
      </c>
      <c r="AC148" s="493">
        <f>AC140*地域経済性分析・初期条件!$K$17</f>
        <v>2750038.1010121889</v>
      </c>
      <c r="AD148" s="493">
        <f>AD140*地域経済性分析・初期条件!$K$17</f>
        <v>2750038.1010121889</v>
      </c>
      <c r="AE148" s="493">
        <f>AE140*地域経済性分析・初期条件!$K$17</f>
        <v>2750038.1010121889</v>
      </c>
      <c r="AF148" s="493">
        <f>AF140*地域経済性分析・初期条件!$K$17</f>
        <v>2750038.1010121889</v>
      </c>
      <c r="AG148" s="493">
        <f>AG140*地域経済性分析・初期条件!$K$17</f>
        <v>2750038.1010121889</v>
      </c>
      <c r="AH148" s="493">
        <f>AH140*地域経済性分析・初期条件!$K$17</f>
        <v>2750038.1010121889</v>
      </c>
      <c r="AI148" s="535">
        <f t="shared" si="128"/>
        <v>27500381.010121889</v>
      </c>
      <c r="AJ148" s="535">
        <f t="shared" si="129"/>
        <v>55000762.020243749</v>
      </c>
      <c r="AK148" s="497">
        <f t="shared" si="130"/>
        <v>82501143.030365601</v>
      </c>
    </row>
    <row r="149" spans="1:37" ht="11.5" x14ac:dyDescent="0.25">
      <c r="A149" s="533" t="str">
        <f>A139&amp;B149</f>
        <v>木材・木製品製造業従業員の可処分所得（二次以降）</v>
      </c>
      <c r="B149" s="439" t="s">
        <v>334</v>
      </c>
      <c r="C149" s="452" t="s">
        <v>333</v>
      </c>
      <c r="D149" s="493">
        <f>D140*地域経済性分析・初期条件!$L$17</f>
        <v>0</v>
      </c>
      <c r="E149" s="493">
        <f>E140*地域経済性分析・初期条件!$L$17</f>
        <v>28831968.034060616</v>
      </c>
      <c r="F149" s="493">
        <f>F140*地域経済性分析・初期条件!$L$17</f>
        <v>28831968.034060616</v>
      </c>
      <c r="G149" s="493">
        <f>G140*地域経済性分析・初期条件!$L$17</f>
        <v>28831968.034060616</v>
      </c>
      <c r="H149" s="493">
        <f>H140*地域経済性分析・初期条件!$L$17</f>
        <v>28831968.034060616</v>
      </c>
      <c r="I149" s="493">
        <f>I140*地域経済性分析・初期条件!$L$17</f>
        <v>28831968.034060616</v>
      </c>
      <c r="J149" s="493">
        <f>J140*地域経済性分析・初期条件!$L$17</f>
        <v>28831968.034060616</v>
      </c>
      <c r="K149" s="493">
        <f>K140*地域経済性分析・初期条件!$L$17</f>
        <v>28831968.034060616</v>
      </c>
      <c r="L149" s="493">
        <f>L140*地域経済性分析・初期条件!$L$17</f>
        <v>28831968.034060616</v>
      </c>
      <c r="M149" s="493">
        <f>M140*地域経済性分析・初期条件!$L$17</f>
        <v>28831968.034060616</v>
      </c>
      <c r="N149" s="493">
        <f>N140*地域経済性分析・初期条件!$L$17</f>
        <v>28831968.034060616</v>
      </c>
      <c r="O149" s="493">
        <f>O140*地域経済性分析・初期条件!$L$17</f>
        <v>28831968.034060616</v>
      </c>
      <c r="P149" s="493">
        <f>P140*地域経済性分析・初期条件!$L$17</f>
        <v>28831968.034060616</v>
      </c>
      <c r="Q149" s="493">
        <f>Q140*地域経済性分析・初期条件!$L$17</f>
        <v>28831968.034060616</v>
      </c>
      <c r="R149" s="493">
        <f>R140*地域経済性分析・初期条件!$L$17</f>
        <v>28831968.034060616</v>
      </c>
      <c r="S149" s="493">
        <f>S140*地域経済性分析・初期条件!$L$17</f>
        <v>28831968.034060616</v>
      </c>
      <c r="T149" s="493">
        <f>T140*地域経済性分析・初期条件!$L$17</f>
        <v>28831968.034060616</v>
      </c>
      <c r="U149" s="493">
        <f>U140*地域経済性分析・初期条件!$L$17</f>
        <v>28831968.034060616</v>
      </c>
      <c r="V149" s="493">
        <f>V140*地域経済性分析・初期条件!$L$17</f>
        <v>28831968.034060616</v>
      </c>
      <c r="W149" s="493">
        <f>W140*地域経済性分析・初期条件!$L$17</f>
        <v>28831968.034060616</v>
      </c>
      <c r="X149" s="493">
        <f>X140*地域経済性分析・初期条件!$L$17</f>
        <v>28831968.034060616</v>
      </c>
      <c r="Y149" s="493">
        <f>Y140*地域経済性分析・初期条件!$L$17</f>
        <v>28831968.034060616</v>
      </c>
      <c r="Z149" s="493">
        <f>Z140*地域経済性分析・初期条件!$L$17</f>
        <v>28831968.034060616</v>
      </c>
      <c r="AA149" s="493">
        <f>AA140*地域経済性分析・初期条件!$L$17</f>
        <v>28831968.034060616</v>
      </c>
      <c r="AB149" s="493">
        <f>AB140*地域経済性分析・初期条件!$L$17</f>
        <v>28831968.034060616</v>
      </c>
      <c r="AC149" s="493">
        <f>AC140*地域経済性分析・初期条件!$L$17</f>
        <v>28831968.034060616</v>
      </c>
      <c r="AD149" s="493">
        <f>AD140*地域経済性分析・初期条件!$L$17</f>
        <v>28831968.034060616</v>
      </c>
      <c r="AE149" s="493">
        <f>AE140*地域経済性分析・初期条件!$L$17</f>
        <v>28831968.034060616</v>
      </c>
      <c r="AF149" s="493">
        <f>AF140*地域経済性分析・初期条件!$L$17</f>
        <v>28831968.034060616</v>
      </c>
      <c r="AG149" s="493">
        <f>AG140*地域経済性分析・初期条件!$L$17</f>
        <v>28831968.034060616</v>
      </c>
      <c r="AH149" s="493">
        <f>AH140*地域経済性分析・初期条件!$L$17</f>
        <v>28831968.034060616</v>
      </c>
      <c r="AI149" s="535">
        <f>SUM(D149:N149)</f>
        <v>288319680.34060621</v>
      </c>
      <c r="AJ149" s="535">
        <f>SUM(D149:X149)</f>
        <v>576639360.68121219</v>
      </c>
      <c r="AK149" s="497">
        <f>SUM(D149:AH149)</f>
        <v>864959041.02181816</v>
      </c>
    </row>
    <row r="150" spans="1:37" ht="11.5" x14ac:dyDescent="0.25">
      <c r="A150" s="533" t="str">
        <f>A139&amp;B150</f>
        <v>木材・木製品製造業企業の税引後利益（二次以降）</v>
      </c>
      <c r="B150" s="439" t="s">
        <v>335</v>
      </c>
      <c r="C150" s="452" t="s">
        <v>333</v>
      </c>
      <c r="D150" s="493">
        <f>D140*地域経済性分析・初期条件!$M$17</f>
        <v>0</v>
      </c>
      <c r="E150" s="493">
        <f>E140*地域経済性分析・初期条件!$M$17</f>
        <v>21890566.645908907</v>
      </c>
      <c r="F150" s="493">
        <f>F140*地域経済性分析・初期条件!$M$17</f>
        <v>21890566.645908907</v>
      </c>
      <c r="G150" s="493">
        <f>G140*地域経済性分析・初期条件!$M$17</f>
        <v>21890566.645908907</v>
      </c>
      <c r="H150" s="493">
        <f>H140*地域経済性分析・初期条件!$M$17</f>
        <v>21890566.645908907</v>
      </c>
      <c r="I150" s="493">
        <f>I140*地域経済性分析・初期条件!$M$17</f>
        <v>21890566.645908907</v>
      </c>
      <c r="J150" s="493">
        <f>J140*地域経済性分析・初期条件!$M$17</f>
        <v>21890566.645908907</v>
      </c>
      <c r="K150" s="493">
        <f>K140*地域経済性分析・初期条件!$M$17</f>
        <v>21890566.645908907</v>
      </c>
      <c r="L150" s="493">
        <f>L140*地域経済性分析・初期条件!$M$17</f>
        <v>21890566.645908907</v>
      </c>
      <c r="M150" s="493">
        <f>M140*地域経済性分析・初期条件!$M$17</f>
        <v>21890566.645908907</v>
      </c>
      <c r="N150" s="493">
        <f>N140*地域経済性分析・初期条件!$M$17</f>
        <v>21890566.645908907</v>
      </c>
      <c r="O150" s="493">
        <f>O140*地域経済性分析・初期条件!$M$17</f>
        <v>21890566.645908907</v>
      </c>
      <c r="P150" s="493">
        <f>P140*地域経済性分析・初期条件!$M$17</f>
        <v>21890566.645908907</v>
      </c>
      <c r="Q150" s="493">
        <f>Q140*地域経済性分析・初期条件!$M$17</f>
        <v>21890566.645908907</v>
      </c>
      <c r="R150" s="493">
        <f>R140*地域経済性分析・初期条件!$M$17</f>
        <v>21890566.645908907</v>
      </c>
      <c r="S150" s="493">
        <f>S140*地域経済性分析・初期条件!$M$17</f>
        <v>21890566.645908907</v>
      </c>
      <c r="T150" s="493">
        <f>T140*地域経済性分析・初期条件!$M$17</f>
        <v>21890566.645908907</v>
      </c>
      <c r="U150" s="493">
        <f>U140*地域経済性分析・初期条件!$M$17</f>
        <v>21890566.645908907</v>
      </c>
      <c r="V150" s="493">
        <f>V140*地域経済性分析・初期条件!$M$17</f>
        <v>21890566.645908907</v>
      </c>
      <c r="W150" s="493">
        <f>W140*地域経済性分析・初期条件!$M$17</f>
        <v>21890566.645908907</v>
      </c>
      <c r="X150" s="493">
        <f>X140*地域経済性分析・初期条件!$M$17</f>
        <v>21890566.645908907</v>
      </c>
      <c r="Y150" s="493">
        <f>Y140*地域経済性分析・初期条件!$M$17</f>
        <v>21890566.645908907</v>
      </c>
      <c r="Z150" s="493">
        <f>Z140*地域経済性分析・初期条件!$M$17</f>
        <v>21890566.645908907</v>
      </c>
      <c r="AA150" s="493">
        <f>AA140*地域経済性分析・初期条件!$M$17</f>
        <v>21890566.645908907</v>
      </c>
      <c r="AB150" s="493">
        <f>AB140*地域経済性分析・初期条件!$M$17</f>
        <v>21890566.645908907</v>
      </c>
      <c r="AC150" s="493">
        <f>AC140*地域経済性分析・初期条件!$M$17</f>
        <v>21890566.645908907</v>
      </c>
      <c r="AD150" s="493">
        <f>AD140*地域経済性分析・初期条件!$M$17</f>
        <v>21890566.645908907</v>
      </c>
      <c r="AE150" s="493">
        <f>AE140*地域経済性分析・初期条件!$M$17</f>
        <v>21890566.645908907</v>
      </c>
      <c r="AF150" s="493">
        <f>AF140*地域経済性分析・初期条件!$M$17</f>
        <v>21890566.645908907</v>
      </c>
      <c r="AG150" s="493">
        <f>AG140*地域経済性分析・初期条件!$M$17</f>
        <v>21890566.645908907</v>
      </c>
      <c r="AH150" s="493">
        <f>AH140*地域経済性分析・初期条件!$M$17</f>
        <v>21890566.645908907</v>
      </c>
      <c r="AI150" s="535">
        <f>SUM(D150:N150)</f>
        <v>218905666.45908904</v>
      </c>
      <c r="AJ150" s="535">
        <f>SUM(D150:X150)</f>
        <v>437811332.91817796</v>
      </c>
      <c r="AK150" s="497">
        <f>SUM(D150:AH150)</f>
        <v>656716999.37726724</v>
      </c>
    </row>
    <row r="151" spans="1:37" ht="11.5" x14ac:dyDescent="0.25">
      <c r="A151" s="533" t="str">
        <f>A139&amp;B151</f>
        <v>木材・木製品製造業都道府県税収（二次以降）</v>
      </c>
      <c r="B151" s="439" t="s">
        <v>336</v>
      </c>
      <c r="C151" s="452" t="s">
        <v>333</v>
      </c>
      <c r="D151" s="493">
        <f>D140*地域経済性分析・初期条件!$N$17</f>
        <v>0</v>
      </c>
      <c r="E151" s="493">
        <f>E140*地域経済性分析・初期条件!$N$17</f>
        <v>5423741.3088911483</v>
      </c>
      <c r="F151" s="493">
        <f>F140*地域経済性分析・初期条件!$N$17</f>
        <v>5423741.3088911483</v>
      </c>
      <c r="G151" s="493">
        <f>G140*地域経済性分析・初期条件!$N$17</f>
        <v>5423741.3088911483</v>
      </c>
      <c r="H151" s="493">
        <f>H140*地域経済性分析・初期条件!$N$17</f>
        <v>5423741.3088911483</v>
      </c>
      <c r="I151" s="493">
        <f>I140*地域経済性分析・初期条件!$N$17</f>
        <v>5423741.3088911483</v>
      </c>
      <c r="J151" s="493">
        <f>J140*地域経済性分析・初期条件!$N$17</f>
        <v>5423741.3088911483</v>
      </c>
      <c r="K151" s="493">
        <f>K140*地域経済性分析・初期条件!$N$17</f>
        <v>5423741.3088911483</v>
      </c>
      <c r="L151" s="493">
        <f>L140*地域経済性分析・初期条件!$N$17</f>
        <v>5423741.3088911483</v>
      </c>
      <c r="M151" s="493">
        <f>M140*地域経済性分析・初期条件!$N$17</f>
        <v>5423741.3088911483</v>
      </c>
      <c r="N151" s="493">
        <f>N140*地域経済性分析・初期条件!$N$17</f>
        <v>5423741.3088911483</v>
      </c>
      <c r="O151" s="493">
        <f>O140*地域経済性分析・初期条件!$N$17</f>
        <v>5423741.3088911483</v>
      </c>
      <c r="P151" s="493">
        <f>P140*地域経済性分析・初期条件!$N$17</f>
        <v>5423741.3088911483</v>
      </c>
      <c r="Q151" s="493">
        <f>Q140*地域経済性分析・初期条件!$N$17</f>
        <v>5423741.3088911483</v>
      </c>
      <c r="R151" s="493">
        <f>R140*地域経済性分析・初期条件!$N$17</f>
        <v>5423741.3088911483</v>
      </c>
      <c r="S151" s="493">
        <f>S140*地域経済性分析・初期条件!$N$17</f>
        <v>5423741.3088911483</v>
      </c>
      <c r="T151" s="493">
        <f>T140*地域経済性分析・初期条件!$N$17</f>
        <v>5423741.3088911483</v>
      </c>
      <c r="U151" s="493">
        <f>U140*地域経済性分析・初期条件!$N$17</f>
        <v>5423741.3088911483</v>
      </c>
      <c r="V151" s="493">
        <f>V140*地域経済性分析・初期条件!$N$17</f>
        <v>5423741.3088911483</v>
      </c>
      <c r="W151" s="493">
        <f>W140*地域経済性分析・初期条件!$N$17</f>
        <v>5423741.3088911483</v>
      </c>
      <c r="X151" s="493">
        <f>X140*地域経済性分析・初期条件!$N$17</f>
        <v>5423741.3088911483</v>
      </c>
      <c r="Y151" s="493">
        <f>Y140*地域経済性分析・初期条件!$N$17</f>
        <v>5423741.3088911483</v>
      </c>
      <c r="Z151" s="493">
        <f>Z140*地域経済性分析・初期条件!$N$17</f>
        <v>5423741.3088911483</v>
      </c>
      <c r="AA151" s="493">
        <f>AA140*地域経済性分析・初期条件!$N$17</f>
        <v>5423741.3088911483</v>
      </c>
      <c r="AB151" s="493">
        <f>AB140*地域経済性分析・初期条件!$N$17</f>
        <v>5423741.3088911483</v>
      </c>
      <c r="AC151" s="493">
        <f>AC140*地域経済性分析・初期条件!$N$17</f>
        <v>5423741.3088911483</v>
      </c>
      <c r="AD151" s="493">
        <f>AD140*地域経済性分析・初期条件!$N$17</f>
        <v>5423741.3088911483</v>
      </c>
      <c r="AE151" s="493">
        <f>AE140*地域経済性分析・初期条件!$N$17</f>
        <v>5423741.3088911483</v>
      </c>
      <c r="AF151" s="493">
        <f>AF140*地域経済性分析・初期条件!$N$17</f>
        <v>5423741.3088911483</v>
      </c>
      <c r="AG151" s="493">
        <f>AG140*地域経済性分析・初期条件!$N$17</f>
        <v>5423741.3088911483</v>
      </c>
      <c r="AH151" s="493">
        <f>AH140*地域経済性分析・初期条件!$N$17</f>
        <v>5423741.3088911483</v>
      </c>
      <c r="AI151" s="535">
        <f>SUM(D151:N151)</f>
        <v>54237413.088911481</v>
      </c>
      <c r="AJ151" s="535">
        <f>SUM(D151:X151)</f>
        <v>108474826.17782296</v>
      </c>
      <c r="AK151" s="497">
        <f>SUM(D151:AH151)</f>
        <v>162712239.26673445</v>
      </c>
    </row>
    <row r="152" spans="1:37" ht="11.5" x14ac:dyDescent="0.25">
      <c r="A152" s="533" t="str">
        <f>A139&amp;B152</f>
        <v>木材・木製品製造業市町村税収（二次以降）</v>
      </c>
      <c r="B152" s="439" t="s">
        <v>337</v>
      </c>
      <c r="C152" s="452" t="s">
        <v>333</v>
      </c>
      <c r="D152" s="493">
        <f>D140*地域経済性分析・初期条件!$O$17</f>
        <v>0</v>
      </c>
      <c r="E152" s="493">
        <f>E140*地域経済性分析・初期条件!$O$17</f>
        <v>2034943.8152871281</v>
      </c>
      <c r="F152" s="493">
        <f>F140*地域経済性分析・初期条件!$O$17</f>
        <v>2034943.8152871281</v>
      </c>
      <c r="G152" s="493">
        <f>G140*地域経済性分析・初期条件!$O$17</f>
        <v>2034943.8152871281</v>
      </c>
      <c r="H152" s="493">
        <f>H140*地域経済性分析・初期条件!$O$17</f>
        <v>2034943.8152871281</v>
      </c>
      <c r="I152" s="493">
        <f>I140*地域経済性分析・初期条件!$O$17</f>
        <v>2034943.8152871281</v>
      </c>
      <c r="J152" s="493">
        <f>J140*地域経済性分析・初期条件!$O$17</f>
        <v>2034943.8152871281</v>
      </c>
      <c r="K152" s="493">
        <f>K140*地域経済性分析・初期条件!$O$17</f>
        <v>2034943.8152871281</v>
      </c>
      <c r="L152" s="493">
        <f>L140*地域経済性分析・初期条件!$O$17</f>
        <v>2034943.8152871281</v>
      </c>
      <c r="M152" s="493">
        <f>M140*地域経済性分析・初期条件!$O$17</f>
        <v>2034943.8152871281</v>
      </c>
      <c r="N152" s="493">
        <f>N140*地域経済性分析・初期条件!$O$17</f>
        <v>2034943.8152871281</v>
      </c>
      <c r="O152" s="493">
        <f>O140*地域経済性分析・初期条件!$O$17</f>
        <v>2034943.8152871281</v>
      </c>
      <c r="P152" s="493">
        <f>P140*地域経済性分析・初期条件!$O$17</f>
        <v>2034943.8152871281</v>
      </c>
      <c r="Q152" s="493">
        <f>Q140*地域経済性分析・初期条件!$O$17</f>
        <v>2034943.8152871281</v>
      </c>
      <c r="R152" s="493">
        <f>R140*地域経済性分析・初期条件!$O$17</f>
        <v>2034943.8152871281</v>
      </c>
      <c r="S152" s="493">
        <f>S140*地域経済性分析・初期条件!$O$17</f>
        <v>2034943.8152871281</v>
      </c>
      <c r="T152" s="493">
        <f>T140*地域経済性分析・初期条件!$O$17</f>
        <v>2034943.8152871281</v>
      </c>
      <c r="U152" s="493">
        <f>U140*地域経済性分析・初期条件!$O$17</f>
        <v>2034943.8152871281</v>
      </c>
      <c r="V152" s="493">
        <f>V140*地域経済性分析・初期条件!$O$17</f>
        <v>2034943.8152871281</v>
      </c>
      <c r="W152" s="493">
        <f>W140*地域経済性分析・初期条件!$O$17</f>
        <v>2034943.8152871281</v>
      </c>
      <c r="X152" s="493">
        <f>X140*地域経済性分析・初期条件!$O$17</f>
        <v>2034943.8152871281</v>
      </c>
      <c r="Y152" s="493">
        <f>Y140*地域経済性分析・初期条件!$O$17</f>
        <v>2034943.8152871281</v>
      </c>
      <c r="Z152" s="493">
        <f>Z140*地域経済性分析・初期条件!$O$17</f>
        <v>2034943.8152871281</v>
      </c>
      <c r="AA152" s="493">
        <f>AA140*地域経済性分析・初期条件!$O$17</f>
        <v>2034943.8152871281</v>
      </c>
      <c r="AB152" s="493">
        <f>AB140*地域経済性分析・初期条件!$O$17</f>
        <v>2034943.8152871281</v>
      </c>
      <c r="AC152" s="493">
        <f>AC140*地域経済性分析・初期条件!$O$17</f>
        <v>2034943.8152871281</v>
      </c>
      <c r="AD152" s="493">
        <f>AD140*地域経済性分析・初期条件!$O$17</f>
        <v>2034943.8152871281</v>
      </c>
      <c r="AE152" s="493">
        <f>AE140*地域経済性分析・初期条件!$O$17</f>
        <v>2034943.8152871281</v>
      </c>
      <c r="AF152" s="493">
        <f>AF140*地域経済性分析・初期条件!$O$17</f>
        <v>2034943.8152871281</v>
      </c>
      <c r="AG152" s="493">
        <f>AG140*地域経済性分析・初期条件!$O$17</f>
        <v>2034943.8152871281</v>
      </c>
      <c r="AH152" s="493">
        <f>AH140*地域経済性分析・初期条件!$O$17</f>
        <v>2034943.8152871281</v>
      </c>
      <c r="AI152" s="535">
        <f>SUM(D152:N152)</f>
        <v>20349438.152871281</v>
      </c>
      <c r="AJ152" s="535">
        <f>SUM(D152:X152)</f>
        <v>40698876.305742562</v>
      </c>
      <c r="AK152" s="497">
        <f>SUM(D152:AH152)</f>
        <v>61048314.458613843</v>
      </c>
    </row>
    <row r="153" spans="1:37" ht="11.5" x14ac:dyDescent="0.25">
      <c r="A153" s="488">
        <f>地域経済性分析・初期条件!$G$18</f>
        <v>0</v>
      </c>
      <c r="C153" s="452"/>
      <c r="D153" s="493"/>
      <c r="E153" s="493"/>
      <c r="F153" s="465"/>
      <c r="G153" s="465"/>
      <c r="H153" s="465"/>
      <c r="I153" s="465"/>
      <c r="J153" s="465"/>
      <c r="K153" s="465"/>
      <c r="L153" s="465"/>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5"/>
      <c r="AI153" s="535"/>
      <c r="AJ153" s="535"/>
      <c r="AK153" s="497"/>
    </row>
    <row r="154" spans="1:37" ht="11.5" x14ac:dyDescent="0.25">
      <c r="A154" s="533" t="str">
        <f>A153&amp;B154</f>
        <v>0売上（税別）</v>
      </c>
      <c r="B154" s="439" t="s">
        <v>1092</v>
      </c>
      <c r="C154" s="451" t="s">
        <v>37</v>
      </c>
      <c r="D154" s="493">
        <f>D138*地域経済性分析・初期条件!$F$18</f>
        <v>0</v>
      </c>
      <c r="E154" s="493">
        <f>E138*地域経済性分析・初期条件!$F$18</f>
        <v>0</v>
      </c>
      <c r="F154" s="493">
        <f>F138*地域経済性分析・初期条件!$F$18</f>
        <v>0</v>
      </c>
      <c r="G154" s="493">
        <f>G138*地域経済性分析・初期条件!$F$18</f>
        <v>0</v>
      </c>
      <c r="H154" s="493">
        <f>H138*地域経済性分析・初期条件!$F$18</f>
        <v>0</v>
      </c>
      <c r="I154" s="493">
        <f>I138*地域経済性分析・初期条件!$F$18</f>
        <v>0</v>
      </c>
      <c r="J154" s="493">
        <f>J138*地域経済性分析・初期条件!$F$18</f>
        <v>0</v>
      </c>
      <c r="K154" s="493">
        <f>K138*地域経済性分析・初期条件!$F$18</f>
        <v>0</v>
      </c>
      <c r="L154" s="493">
        <f>L138*地域経済性分析・初期条件!$F$18</f>
        <v>0</v>
      </c>
      <c r="M154" s="493">
        <f>M138*地域経済性分析・初期条件!$F$18</f>
        <v>0</v>
      </c>
      <c r="N154" s="493">
        <f>N138*地域経済性分析・初期条件!$F$18</f>
        <v>0</v>
      </c>
      <c r="O154" s="493">
        <f>O138*地域経済性分析・初期条件!$F$18</f>
        <v>0</v>
      </c>
      <c r="P154" s="493">
        <f>P138*地域経済性分析・初期条件!$F$18</f>
        <v>0</v>
      </c>
      <c r="Q154" s="493">
        <f>Q138*地域経済性分析・初期条件!$F$18</f>
        <v>0</v>
      </c>
      <c r="R154" s="493">
        <f>R138*地域経済性分析・初期条件!$F$18</f>
        <v>0</v>
      </c>
      <c r="S154" s="493">
        <f>S138*地域経済性分析・初期条件!$F$18</f>
        <v>0</v>
      </c>
      <c r="T154" s="493">
        <f>T138*地域経済性分析・初期条件!$F$18</f>
        <v>0</v>
      </c>
      <c r="U154" s="493">
        <f>U138*地域経済性分析・初期条件!$F$18</f>
        <v>0</v>
      </c>
      <c r="V154" s="493">
        <f>V138*地域経済性分析・初期条件!$F$18</f>
        <v>0</v>
      </c>
      <c r="W154" s="493">
        <f>W138*地域経済性分析・初期条件!$F$18</f>
        <v>0</v>
      </c>
      <c r="X154" s="493">
        <f>X138*地域経済性分析・初期条件!$F$18</f>
        <v>0</v>
      </c>
      <c r="Y154" s="493">
        <f>Y138*地域経済性分析・初期条件!$F$18</f>
        <v>0</v>
      </c>
      <c r="Z154" s="493">
        <f>Z138*地域経済性分析・初期条件!$F$18</f>
        <v>0</v>
      </c>
      <c r="AA154" s="493">
        <f>AA138*地域経済性分析・初期条件!$F$18</f>
        <v>0</v>
      </c>
      <c r="AB154" s="493">
        <f>AB138*地域経済性分析・初期条件!$F$18</f>
        <v>0</v>
      </c>
      <c r="AC154" s="493">
        <f>AC138*地域経済性分析・初期条件!$F$18</f>
        <v>0</v>
      </c>
      <c r="AD154" s="493">
        <f>AD138*地域経済性分析・初期条件!$F$18</f>
        <v>0</v>
      </c>
      <c r="AE154" s="493">
        <f>AE138*地域経済性分析・初期条件!$F$18</f>
        <v>0</v>
      </c>
      <c r="AF154" s="493">
        <f>AF138*地域経済性分析・初期条件!$F$18</f>
        <v>0</v>
      </c>
      <c r="AG154" s="493">
        <f>AG138*地域経済性分析・初期条件!$F$18</f>
        <v>0</v>
      </c>
      <c r="AH154" s="493">
        <f>AH138*地域経済性分析・初期条件!$F$18</f>
        <v>0</v>
      </c>
      <c r="AI154" s="535">
        <f t="shared" ref="AI154:AI162" si="134">SUM(D154:N154)</f>
        <v>0</v>
      </c>
      <c r="AJ154" s="535">
        <f t="shared" ref="AJ154:AJ162" si="135">SUM(D154:X154)</f>
        <v>0</v>
      </c>
      <c r="AK154" s="497">
        <f t="shared" ref="AK154:AK162" si="136">SUM(D154:AH154)</f>
        <v>0</v>
      </c>
    </row>
    <row r="155" spans="1:37" ht="11.5" x14ac:dyDescent="0.25">
      <c r="A155" s="533"/>
      <c r="B155" s="439" t="s">
        <v>1136</v>
      </c>
      <c r="C155" s="451" t="s">
        <v>37</v>
      </c>
      <c r="D155" s="493">
        <f>IF(D154&lt;0,0,D154*波及効果シート!$D$72)</f>
        <v>0</v>
      </c>
      <c r="E155" s="493">
        <f>IF(E154&lt;0,0,E154*波及効果シート!$D$72)</f>
        <v>0</v>
      </c>
      <c r="F155" s="493">
        <f>IF(F154&lt;0,0,F154*波及効果シート!$D$72)</f>
        <v>0</v>
      </c>
      <c r="G155" s="493">
        <f>IF(G154&lt;0,0,G154*波及効果シート!$D$72)</f>
        <v>0</v>
      </c>
      <c r="H155" s="493">
        <f>IF(H154&lt;0,0,H154*波及効果シート!$D$72)</f>
        <v>0</v>
      </c>
      <c r="I155" s="493">
        <f>IF(I154&lt;0,0,I154*波及効果シート!$D$72)</f>
        <v>0</v>
      </c>
      <c r="J155" s="493">
        <f>IF(J154&lt;0,0,J154*波及効果シート!$D$72)</f>
        <v>0</v>
      </c>
      <c r="K155" s="493">
        <f>IF(K154&lt;0,0,K154*波及効果シート!$D$72)</f>
        <v>0</v>
      </c>
      <c r="L155" s="493">
        <f>IF(L154&lt;0,0,L154*波及効果シート!$D$72)</f>
        <v>0</v>
      </c>
      <c r="M155" s="493">
        <f>IF(M154&lt;0,0,M154*波及効果シート!$D$72)</f>
        <v>0</v>
      </c>
      <c r="N155" s="493">
        <f>IF(N154&lt;0,0,N154*波及効果シート!$D$72)</f>
        <v>0</v>
      </c>
      <c r="O155" s="493">
        <f>IF(O154&lt;0,0,O154*波及効果シート!$D$72)</f>
        <v>0</v>
      </c>
      <c r="P155" s="493">
        <f>IF(P154&lt;0,0,P154*波及効果シート!$D$72)</f>
        <v>0</v>
      </c>
      <c r="Q155" s="493">
        <f>IF(Q154&lt;0,0,Q154*波及効果シート!$D$72)</f>
        <v>0</v>
      </c>
      <c r="R155" s="493">
        <f>IF(R154&lt;0,0,R154*波及効果シート!$D$72)</f>
        <v>0</v>
      </c>
      <c r="S155" s="493">
        <f>IF(S154&lt;0,0,S154*波及効果シート!$D$72)</f>
        <v>0</v>
      </c>
      <c r="T155" s="493">
        <f>IF(T154&lt;0,0,T154*波及効果シート!$D$72)</f>
        <v>0</v>
      </c>
      <c r="U155" s="493">
        <f>IF(U154&lt;0,0,U154*波及効果シート!$D$72)</f>
        <v>0</v>
      </c>
      <c r="V155" s="493">
        <f>IF(V154&lt;0,0,V154*波及効果シート!$D$72)</f>
        <v>0</v>
      </c>
      <c r="W155" s="493">
        <f>IF(W154&lt;0,0,W154*波及効果シート!$D$72)</f>
        <v>0</v>
      </c>
      <c r="X155" s="493">
        <f>IF(X154&lt;0,0,X154*波及効果シート!$D$72)</f>
        <v>0</v>
      </c>
      <c r="Y155" s="493">
        <f>IF(Y154&lt;0,0,Y154*波及効果シート!$D$72)</f>
        <v>0</v>
      </c>
      <c r="Z155" s="493">
        <f>IF(Z154&lt;0,0,Z154*波及効果シート!$D$72)</f>
        <v>0</v>
      </c>
      <c r="AA155" s="493">
        <f>IF(AA154&lt;0,0,AA154*波及効果シート!$D$72)</f>
        <v>0</v>
      </c>
      <c r="AB155" s="493">
        <f>IF(AB154&lt;0,0,AB154*波及効果シート!$D$72)</f>
        <v>0</v>
      </c>
      <c r="AC155" s="493">
        <f>IF(AC154&lt;0,0,AC154*波及効果シート!$D$72)</f>
        <v>0</v>
      </c>
      <c r="AD155" s="493">
        <f>IF(AD154&lt;0,0,AD154*波及効果シート!$D$72)</f>
        <v>0</v>
      </c>
      <c r="AE155" s="493">
        <f>IF(AE154&lt;0,0,AE154*波及効果シート!$D$72)</f>
        <v>0</v>
      </c>
      <c r="AF155" s="493">
        <f>IF(AF154&lt;0,0,AF154*波及効果シート!$D$72)</f>
        <v>0</v>
      </c>
      <c r="AG155" s="493">
        <f>IF(AG154&lt;0,0,AG154*波及効果シート!$D$72)</f>
        <v>0</v>
      </c>
      <c r="AH155" s="493">
        <f>IF(AH154&lt;0,0,AH154*波及効果シート!$D$72)</f>
        <v>0</v>
      </c>
      <c r="AI155" s="535">
        <f t="shared" ref="AI155:AI156" si="137">SUM(D155:N155)</f>
        <v>0</v>
      </c>
      <c r="AJ155" s="535">
        <f t="shared" ref="AJ155:AJ156" si="138">SUM(D155:X155)</f>
        <v>0</v>
      </c>
      <c r="AK155" s="497">
        <f t="shared" ref="AK155:AK156" si="139">SUM(D155:AH155)</f>
        <v>0</v>
      </c>
    </row>
    <row r="156" spans="1:37" ht="11.5" x14ac:dyDescent="0.25">
      <c r="A156" s="533"/>
      <c r="B156" s="439" t="s">
        <v>1137</v>
      </c>
      <c r="C156" s="452" t="s">
        <v>37</v>
      </c>
      <c r="D156" s="493">
        <f>IF(D154&lt;0,0,D154*波及効果シート!$D$74)</f>
        <v>0</v>
      </c>
      <c r="E156" s="493">
        <f>IF(E154&lt;0,0,E154*波及効果シート!$D$74)</f>
        <v>0</v>
      </c>
      <c r="F156" s="493">
        <f>IF(F154&lt;0,0,F154*波及効果シート!$D$74)</f>
        <v>0</v>
      </c>
      <c r="G156" s="493">
        <f>IF(G154&lt;0,0,G154*波及効果シート!$D$74)</f>
        <v>0</v>
      </c>
      <c r="H156" s="493">
        <f>IF(H154&lt;0,0,H154*波及効果シート!$D$74)</f>
        <v>0</v>
      </c>
      <c r="I156" s="493">
        <f>IF(I154&lt;0,0,I154*波及効果シート!$D$74)</f>
        <v>0</v>
      </c>
      <c r="J156" s="493">
        <f>IF(J154&lt;0,0,J154*波及効果シート!$D$74)</f>
        <v>0</v>
      </c>
      <c r="K156" s="493">
        <f>IF(K154&lt;0,0,K154*波及効果シート!$D$74)</f>
        <v>0</v>
      </c>
      <c r="L156" s="493">
        <f>IF(L154&lt;0,0,L154*波及効果シート!$D$74)</f>
        <v>0</v>
      </c>
      <c r="M156" s="493">
        <f>IF(M154&lt;0,0,M154*波及効果シート!$D$74)</f>
        <v>0</v>
      </c>
      <c r="N156" s="493">
        <f>IF(N154&lt;0,0,N154*波及効果シート!$D$74)</f>
        <v>0</v>
      </c>
      <c r="O156" s="493">
        <f>IF(O154&lt;0,0,O154*波及効果シート!$D$74)</f>
        <v>0</v>
      </c>
      <c r="P156" s="493">
        <f>IF(P154&lt;0,0,P154*波及効果シート!$D$74)</f>
        <v>0</v>
      </c>
      <c r="Q156" s="493">
        <f>IF(Q154&lt;0,0,Q154*波及効果シート!$D$74)</f>
        <v>0</v>
      </c>
      <c r="R156" s="493">
        <f>IF(R154&lt;0,0,R154*波及効果シート!$D$74)</f>
        <v>0</v>
      </c>
      <c r="S156" s="493">
        <f>IF(S154&lt;0,0,S154*波及効果シート!$D$74)</f>
        <v>0</v>
      </c>
      <c r="T156" s="493">
        <f>IF(T154&lt;0,0,T154*波及効果シート!$D$74)</f>
        <v>0</v>
      </c>
      <c r="U156" s="493">
        <f>IF(U154&lt;0,0,U154*波及効果シート!$D$74)</f>
        <v>0</v>
      </c>
      <c r="V156" s="493">
        <f>IF(V154&lt;0,0,V154*波及効果シート!$D$74)</f>
        <v>0</v>
      </c>
      <c r="W156" s="493">
        <f>IF(W154&lt;0,0,W154*波及効果シート!$D$74)</f>
        <v>0</v>
      </c>
      <c r="X156" s="493">
        <f>IF(X154&lt;0,0,X154*波及効果シート!$D$74)</f>
        <v>0</v>
      </c>
      <c r="Y156" s="493">
        <f>IF(Y154&lt;0,0,Y154*波及効果シート!$D$74)</f>
        <v>0</v>
      </c>
      <c r="Z156" s="493">
        <f>IF(Z154&lt;0,0,Z154*波及効果シート!$D$74)</f>
        <v>0</v>
      </c>
      <c r="AA156" s="493">
        <f>IF(AA154&lt;0,0,AA154*波及効果シート!$D$74)</f>
        <v>0</v>
      </c>
      <c r="AB156" s="493">
        <f>IF(AB154&lt;0,0,AB154*波及効果シート!$D$74)</f>
        <v>0</v>
      </c>
      <c r="AC156" s="493">
        <f>IF(AC154&lt;0,0,AC154*波及効果シート!$D$74)</f>
        <v>0</v>
      </c>
      <c r="AD156" s="493">
        <f>IF(AD154&lt;0,0,AD154*波及効果シート!$D$74)</f>
        <v>0</v>
      </c>
      <c r="AE156" s="493">
        <f>IF(AE154&lt;0,0,AE154*波及効果シート!$D$74)</f>
        <v>0</v>
      </c>
      <c r="AF156" s="493">
        <f>IF(AF154&lt;0,0,AF154*波及効果シート!$D$74)</f>
        <v>0</v>
      </c>
      <c r="AG156" s="493">
        <f>IF(AG154&lt;0,0,AG154*波及効果シート!$D$74)</f>
        <v>0</v>
      </c>
      <c r="AH156" s="493">
        <f>IF(AH154&lt;0,0,AH154*波及効果シート!$D$74)</f>
        <v>0</v>
      </c>
      <c r="AI156" s="535">
        <f t="shared" si="137"/>
        <v>0</v>
      </c>
      <c r="AJ156" s="535">
        <f t="shared" si="138"/>
        <v>0</v>
      </c>
      <c r="AK156" s="497">
        <f t="shared" si="139"/>
        <v>0</v>
      </c>
    </row>
    <row r="157" spans="1:37" ht="11.5" x14ac:dyDescent="0.25">
      <c r="A157" s="533" t="str">
        <f>A153&amp;B157</f>
        <v>0所得税（国税）</v>
      </c>
      <c r="B157" s="439" t="s">
        <v>351</v>
      </c>
      <c r="C157" s="452" t="s">
        <v>333</v>
      </c>
      <c r="D157" s="493">
        <f>D154*地域経済性分析・初期条件!$P$17</f>
        <v>0</v>
      </c>
      <c r="E157" s="493">
        <f>E154*地域経済性分析・初期条件!$P$17</f>
        <v>0</v>
      </c>
      <c r="F157" s="493">
        <f>F154*地域経済性分析・初期条件!$P$17</f>
        <v>0</v>
      </c>
      <c r="G157" s="493">
        <f>G154*地域経済性分析・初期条件!$P$17</f>
        <v>0</v>
      </c>
      <c r="H157" s="493">
        <f>H154*地域経済性分析・初期条件!$P$17</f>
        <v>0</v>
      </c>
      <c r="I157" s="493">
        <f>I154*地域経済性分析・初期条件!$P$17</f>
        <v>0</v>
      </c>
      <c r="J157" s="493">
        <f>J154*地域経済性分析・初期条件!$P$17</f>
        <v>0</v>
      </c>
      <c r="K157" s="493">
        <f>K154*地域経済性分析・初期条件!$P$17</f>
        <v>0</v>
      </c>
      <c r="L157" s="493">
        <f>L154*地域経済性分析・初期条件!$P$17</f>
        <v>0</v>
      </c>
      <c r="M157" s="493">
        <f>M154*地域経済性分析・初期条件!$P$17</f>
        <v>0</v>
      </c>
      <c r="N157" s="493">
        <f>N154*地域経済性分析・初期条件!$P$17</f>
        <v>0</v>
      </c>
      <c r="O157" s="493">
        <f>O154*地域経済性分析・初期条件!$P$17</f>
        <v>0</v>
      </c>
      <c r="P157" s="493">
        <f>P154*地域経済性分析・初期条件!$P$17</f>
        <v>0</v>
      </c>
      <c r="Q157" s="493">
        <f>Q154*地域経済性分析・初期条件!$P$17</f>
        <v>0</v>
      </c>
      <c r="R157" s="493">
        <f>R154*地域経済性分析・初期条件!$P$17</f>
        <v>0</v>
      </c>
      <c r="S157" s="493">
        <f>S154*地域経済性分析・初期条件!$P$17</f>
        <v>0</v>
      </c>
      <c r="T157" s="493">
        <f>T154*地域経済性分析・初期条件!$P$17</f>
        <v>0</v>
      </c>
      <c r="U157" s="493">
        <f>U154*地域経済性分析・初期条件!$P$17</f>
        <v>0</v>
      </c>
      <c r="V157" s="493">
        <f>V154*地域経済性分析・初期条件!$P$17</f>
        <v>0</v>
      </c>
      <c r="W157" s="493">
        <f>W154*地域経済性分析・初期条件!$P$17</f>
        <v>0</v>
      </c>
      <c r="X157" s="493">
        <f>X154*地域経済性分析・初期条件!$P$17</f>
        <v>0</v>
      </c>
      <c r="Y157" s="493">
        <f>Y154*地域経済性分析・初期条件!$P$17</f>
        <v>0</v>
      </c>
      <c r="Z157" s="493">
        <f>Z154*地域経済性分析・初期条件!$P$17</f>
        <v>0</v>
      </c>
      <c r="AA157" s="493">
        <f>AA154*地域経済性分析・初期条件!$P$17</f>
        <v>0</v>
      </c>
      <c r="AB157" s="493">
        <f>AB154*地域経済性分析・初期条件!$P$17</f>
        <v>0</v>
      </c>
      <c r="AC157" s="493">
        <f>AC154*地域経済性分析・初期条件!$P$17</f>
        <v>0</v>
      </c>
      <c r="AD157" s="493">
        <f>AD154*地域経済性分析・初期条件!$P$17</f>
        <v>0</v>
      </c>
      <c r="AE157" s="493">
        <f>AE154*地域経済性分析・初期条件!$P$17</f>
        <v>0</v>
      </c>
      <c r="AF157" s="493">
        <f>AF154*地域経済性分析・初期条件!$P$17</f>
        <v>0</v>
      </c>
      <c r="AG157" s="493">
        <f>AG154*地域経済性分析・初期条件!$P$17</f>
        <v>0</v>
      </c>
      <c r="AH157" s="493">
        <f>AH154*地域経済性分析・初期条件!$P$17</f>
        <v>0</v>
      </c>
      <c r="AI157" s="535">
        <f t="shared" si="134"/>
        <v>0</v>
      </c>
      <c r="AJ157" s="535">
        <f t="shared" si="135"/>
        <v>0</v>
      </c>
      <c r="AK157" s="497">
        <f t="shared" si="136"/>
        <v>0</v>
      </c>
    </row>
    <row r="158" spans="1:37" ht="11.5" x14ac:dyDescent="0.25">
      <c r="A158" s="533" t="str">
        <f>A153&amp;B158</f>
        <v>0法人税（国税）</v>
      </c>
      <c r="B158" s="439" t="s">
        <v>350</v>
      </c>
      <c r="C158" s="452" t="s">
        <v>333</v>
      </c>
      <c r="D158" s="493">
        <f>D154*地域経済性分析・初期条件!$Q$17</f>
        <v>0</v>
      </c>
      <c r="E158" s="493">
        <f>E154*地域経済性分析・初期条件!$Q$17</f>
        <v>0</v>
      </c>
      <c r="F158" s="493">
        <f>F154*地域経済性分析・初期条件!$Q$17</f>
        <v>0</v>
      </c>
      <c r="G158" s="493">
        <f>G154*地域経済性分析・初期条件!$Q$17</f>
        <v>0</v>
      </c>
      <c r="H158" s="493">
        <f>H154*地域経済性分析・初期条件!$Q$17</f>
        <v>0</v>
      </c>
      <c r="I158" s="493">
        <f>I154*地域経済性分析・初期条件!$Q$17</f>
        <v>0</v>
      </c>
      <c r="J158" s="493">
        <f>J154*地域経済性分析・初期条件!$Q$17</f>
        <v>0</v>
      </c>
      <c r="K158" s="493">
        <f>K154*地域経済性分析・初期条件!$Q$17</f>
        <v>0</v>
      </c>
      <c r="L158" s="493">
        <f>L154*地域経済性分析・初期条件!$Q$17</f>
        <v>0</v>
      </c>
      <c r="M158" s="493">
        <f>M154*地域経済性分析・初期条件!$Q$17</f>
        <v>0</v>
      </c>
      <c r="N158" s="493">
        <f>N154*地域経済性分析・初期条件!$Q$17</f>
        <v>0</v>
      </c>
      <c r="O158" s="493">
        <f>O154*地域経済性分析・初期条件!$Q$17</f>
        <v>0</v>
      </c>
      <c r="P158" s="493">
        <f>P154*地域経済性分析・初期条件!$Q$17</f>
        <v>0</v>
      </c>
      <c r="Q158" s="493">
        <f>Q154*地域経済性分析・初期条件!$Q$17</f>
        <v>0</v>
      </c>
      <c r="R158" s="493">
        <f>R154*地域経済性分析・初期条件!$Q$17</f>
        <v>0</v>
      </c>
      <c r="S158" s="493">
        <f>S154*地域経済性分析・初期条件!$Q$17</f>
        <v>0</v>
      </c>
      <c r="T158" s="493">
        <f>T154*地域経済性分析・初期条件!$Q$17</f>
        <v>0</v>
      </c>
      <c r="U158" s="493">
        <f>U154*地域経済性分析・初期条件!$Q$17</f>
        <v>0</v>
      </c>
      <c r="V158" s="493">
        <f>V154*地域経済性分析・初期条件!$Q$17</f>
        <v>0</v>
      </c>
      <c r="W158" s="493">
        <f>W154*地域経済性分析・初期条件!$Q$17</f>
        <v>0</v>
      </c>
      <c r="X158" s="493">
        <f>X154*地域経済性分析・初期条件!$Q$17</f>
        <v>0</v>
      </c>
      <c r="Y158" s="493">
        <f>Y154*地域経済性分析・初期条件!$Q$17</f>
        <v>0</v>
      </c>
      <c r="Z158" s="493">
        <f>Z154*地域経済性分析・初期条件!$Q$17</f>
        <v>0</v>
      </c>
      <c r="AA158" s="493">
        <f>AA154*地域経済性分析・初期条件!$Q$17</f>
        <v>0</v>
      </c>
      <c r="AB158" s="493">
        <f>AB154*地域経済性分析・初期条件!$Q$17</f>
        <v>0</v>
      </c>
      <c r="AC158" s="493">
        <f>AC154*地域経済性分析・初期条件!$Q$17</f>
        <v>0</v>
      </c>
      <c r="AD158" s="493">
        <f>AD154*地域経済性分析・初期条件!$Q$17</f>
        <v>0</v>
      </c>
      <c r="AE158" s="493">
        <f>AE154*地域経済性分析・初期条件!$Q$17</f>
        <v>0</v>
      </c>
      <c r="AF158" s="493">
        <f>AF154*地域経済性分析・初期条件!$Q$17</f>
        <v>0</v>
      </c>
      <c r="AG158" s="493">
        <f>AG154*地域経済性分析・初期条件!$Q$17</f>
        <v>0</v>
      </c>
      <c r="AH158" s="493">
        <f>AH154*地域経済性分析・初期条件!$Q$17</f>
        <v>0</v>
      </c>
      <c r="AI158" s="535">
        <f t="shared" si="134"/>
        <v>0</v>
      </c>
      <c r="AJ158" s="535">
        <f t="shared" si="135"/>
        <v>0</v>
      </c>
      <c r="AK158" s="497">
        <f t="shared" si="136"/>
        <v>0</v>
      </c>
    </row>
    <row r="159" spans="1:37" ht="11.5" x14ac:dyDescent="0.25">
      <c r="A159" s="533" t="str">
        <f>A153&amp;B159</f>
        <v>0従業員の可処分所得（一次）</v>
      </c>
      <c r="B159" s="439" t="s">
        <v>329</v>
      </c>
      <c r="C159" s="451" t="s">
        <v>37</v>
      </c>
      <c r="D159" s="493">
        <f>D154*地域経済性分析・初期条件!$H$17</f>
        <v>0</v>
      </c>
      <c r="E159" s="493">
        <f>E154*地域経済性分析・初期条件!$H$17</f>
        <v>0</v>
      </c>
      <c r="F159" s="493">
        <f>F154*地域経済性分析・初期条件!$H$17</f>
        <v>0</v>
      </c>
      <c r="G159" s="493">
        <f>G154*地域経済性分析・初期条件!$H$17</f>
        <v>0</v>
      </c>
      <c r="H159" s="493">
        <f>H154*地域経済性分析・初期条件!$H$17</f>
        <v>0</v>
      </c>
      <c r="I159" s="493">
        <f>I154*地域経済性分析・初期条件!$H$17</f>
        <v>0</v>
      </c>
      <c r="J159" s="493">
        <f>J154*地域経済性分析・初期条件!$H$17</f>
        <v>0</v>
      </c>
      <c r="K159" s="493">
        <f>K154*地域経済性分析・初期条件!$H$17</f>
        <v>0</v>
      </c>
      <c r="L159" s="493">
        <f>L154*地域経済性分析・初期条件!$H$17</f>
        <v>0</v>
      </c>
      <c r="M159" s="493">
        <f>M154*地域経済性分析・初期条件!$H$17</f>
        <v>0</v>
      </c>
      <c r="N159" s="493">
        <f>N154*地域経済性分析・初期条件!$H$17</f>
        <v>0</v>
      </c>
      <c r="O159" s="493">
        <f>O154*地域経済性分析・初期条件!$H$17</f>
        <v>0</v>
      </c>
      <c r="P159" s="493">
        <f>P154*地域経済性分析・初期条件!$H$17</f>
        <v>0</v>
      </c>
      <c r="Q159" s="493">
        <f>Q154*地域経済性分析・初期条件!$H$17</f>
        <v>0</v>
      </c>
      <c r="R159" s="493">
        <f>R154*地域経済性分析・初期条件!$H$17</f>
        <v>0</v>
      </c>
      <c r="S159" s="493">
        <f>S154*地域経済性分析・初期条件!$H$17</f>
        <v>0</v>
      </c>
      <c r="T159" s="493">
        <f>T154*地域経済性分析・初期条件!$H$17</f>
        <v>0</v>
      </c>
      <c r="U159" s="493">
        <f>U154*地域経済性分析・初期条件!$H$17</f>
        <v>0</v>
      </c>
      <c r="V159" s="493">
        <f>V154*地域経済性分析・初期条件!$H$17</f>
        <v>0</v>
      </c>
      <c r="W159" s="493">
        <f>W154*地域経済性分析・初期条件!$H$17</f>
        <v>0</v>
      </c>
      <c r="X159" s="493">
        <f>X154*地域経済性分析・初期条件!$H$17</f>
        <v>0</v>
      </c>
      <c r="Y159" s="493">
        <f>Y154*地域経済性分析・初期条件!$H$17</f>
        <v>0</v>
      </c>
      <c r="Z159" s="493">
        <f>Z154*地域経済性分析・初期条件!$H$17</f>
        <v>0</v>
      </c>
      <c r="AA159" s="493">
        <f>AA154*地域経済性分析・初期条件!$H$17</f>
        <v>0</v>
      </c>
      <c r="AB159" s="493">
        <f>AB154*地域経済性分析・初期条件!$H$17</f>
        <v>0</v>
      </c>
      <c r="AC159" s="493">
        <f>AC154*地域経済性分析・初期条件!$H$17</f>
        <v>0</v>
      </c>
      <c r="AD159" s="493">
        <f>AD154*地域経済性分析・初期条件!$H$17</f>
        <v>0</v>
      </c>
      <c r="AE159" s="493">
        <f>AE154*地域経済性分析・初期条件!$H$17</f>
        <v>0</v>
      </c>
      <c r="AF159" s="493">
        <f>AF154*地域経済性分析・初期条件!$H$17</f>
        <v>0</v>
      </c>
      <c r="AG159" s="493">
        <f>AG154*地域経済性分析・初期条件!$H$17</f>
        <v>0</v>
      </c>
      <c r="AH159" s="493">
        <f>AH154*地域経済性分析・初期条件!$H$17</f>
        <v>0</v>
      </c>
      <c r="AI159" s="535">
        <f t="shared" si="134"/>
        <v>0</v>
      </c>
      <c r="AJ159" s="535">
        <f t="shared" si="135"/>
        <v>0</v>
      </c>
      <c r="AK159" s="497">
        <f t="shared" si="136"/>
        <v>0</v>
      </c>
    </row>
    <row r="160" spans="1:37" ht="11.5" x14ac:dyDescent="0.25">
      <c r="A160" s="533" t="str">
        <f>A153&amp;B160</f>
        <v>0企業の税引後利益（一次）</v>
      </c>
      <c r="B160" s="439" t="s">
        <v>330</v>
      </c>
      <c r="C160" s="451" t="s">
        <v>37</v>
      </c>
      <c r="D160" s="493">
        <f>D154*地域経済性分析・初期条件!$I$17</f>
        <v>0</v>
      </c>
      <c r="E160" s="493">
        <f>E154*地域経済性分析・初期条件!$I$17</f>
        <v>0</v>
      </c>
      <c r="F160" s="493">
        <f>F154*地域経済性分析・初期条件!$I$17</f>
        <v>0</v>
      </c>
      <c r="G160" s="493">
        <f>G154*地域経済性分析・初期条件!$I$17</f>
        <v>0</v>
      </c>
      <c r="H160" s="493">
        <f>H154*地域経済性分析・初期条件!$I$17</f>
        <v>0</v>
      </c>
      <c r="I160" s="493">
        <f>I154*地域経済性分析・初期条件!$I$17</f>
        <v>0</v>
      </c>
      <c r="J160" s="493">
        <f>J154*地域経済性分析・初期条件!$I$17</f>
        <v>0</v>
      </c>
      <c r="K160" s="493">
        <f>K154*地域経済性分析・初期条件!$I$17</f>
        <v>0</v>
      </c>
      <c r="L160" s="493">
        <f>L154*地域経済性分析・初期条件!$I$17</f>
        <v>0</v>
      </c>
      <c r="M160" s="493">
        <f>M154*地域経済性分析・初期条件!$I$17</f>
        <v>0</v>
      </c>
      <c r="N160" s="493">
        <f>N154*地域経済性分析・初期条件!$I$17</f>
        <v>0</v>
      </c>
      <c r="O160" s="493">
        <f>O154*地域経済性分析・初期条件!$I$17</f>
        <v>0</v>
      </c>
      <c r="P160" s="493">
        <f>P154*地域経済性分析・初期条件!$I$17</f>
        <v>0</v>
      </c>
      <c r="Q160" s="493">
        <f>Q154*地域経済性分析・初期条件!$I$17</f>
        <v>0</v>
      </c>
      <c r="R160" s="493">
        <f>R154*地域経済性分析・初期条件!$I$17</f>
        <v>0</v>
      </c>
      <c r="S160" s="493">
        <f>S154*地域経済性分析・初期条件!$I$17</f>
        <v>0</v>
      </c>
      <c r="T160" s="493">
        <f>T154*地域経済性分析・初期条件!$I$17</f>
        <v>0</v>
      </c>
      <c r="U160" s="493">
        <f>U154*地域経済性分析・初期条件!$I$17</f>
        <v>0</v>
      </c>
      <c r="V160" s="493">
        <f>V154*地域経済性分析・初期条件!$I$17</f>
        <v>0</v>
      </c>
      <c r="W160" s="493">
        <f>W154*地域経済性分析・初期条件!$I$17</f>
        <v>0</v>
      </c>
      <c r="X160" s="493">
        <f>X154*地域経済性分析・初期条件!$I$17</f>
        <v>0</v>
      </c>
      <c r="Y160" s="493">
        <f>Y154*地域経済性分析・初期条件!$I$17</f>
        <v>0</v>
      </c>
      <c r="Z160" s="493">
        <f>Z154*地域経済性分析・初期条件!$I$17</f>
        <v>0</v>
      </c>
      <c r="AA160" s="493">
        <f>AA154*地域経済性分析・初期条件!$I$17</f>
        <v>0</v>
      </c>
      <c r="AB160" s="493">
        <f>AB154*地域経済性分析・初期条件!$I$17</f>
        <v>0</v>
      </c>
      <c r="AC160" s="493">
        <f>AC154*地域経済性分析・初期条件!$I$17</f>
        <v>0</v>
      </c>
      <c r="AD160" s="493">
        <f>AD154*地域経済性分析・初期条件!$I$17</f>
        <v>0</v>
      </c>
      <c r="AE160" s="493">
        <f>AE154*地域経済性分析・初期条件!$I$17</f>
        <v>0</v>
      </c>
      <c r="AF160" s="493">
        <f>AF154*地域経済性分析・初期条件!$I$17</f>
        <v>0</v>
      </c>
      <c r="AG160" s="493">
        <f>AG154*地域経済性分析・初期条件!$I$17</f>
        <v>0</v>
      </c>
      <c r="AH160" s="493">
        <f>AH154*地域経済性分析・初期条件!$I$17</f>
        <v>0</v>
      </c>
      <c r="AI160" s="535">
        <f t="shared" si="134"/>
        <v>0</v>
      </c>
      <c r="AJ160" s="535">
        <f t="shared" si="135"/>
        <v>0</v>
      </c>
      <c r="AK160" s="497">
        <f t="shared" si="136"/>
        <v>0</v>
      </c>
    </row>
    <row r="161" spans="1:37" ht="11.5" x14ac:dyDescent="0.25">
      <c r="A161" s="533" t="str">
        <f>A153&amp;B161</f>
        <v>0都道府県税収（一次）</v>
      </c>
      <c r="B161" s="439" t="s">
        <v>331</v>
      </c>
      <c r="C161" s="451" t="s">
        <v>37</v>
      </c>
      <c r="D161" s="493">
        <f>D154*地域経済性分析・初期条件!$J$17</f>
        <v>0</v>
      </c>
      <c r="E161" s="493">
        <f>E154*地域経済性分析・初期条件!$J$17</f>
        <v>0</v>
      </c>
      <c r="F161" s="493">
        <f>F154*地域経済性分析・初期条件!$J$17</f>
        <v>0</v>
      </c>
      <c r="G161" s="493">
        <f>G154*地域経済性分析・初期条件!$J$17</f>
        <v>0</v>
      </c>
      <c r="H161" s="493">
        <f>H154*地域経済性分析・初期条件!$J$17</f>
        <v>0</v>
      </c>
      <c r="I161" s="493">
        <f>I154*地域経済性分析・初期条件!$J$17</f>
        <v>0</v>
      </c>
      <c r="J161" s="493">
        <f>J154*地域経済性分析・初期条件!$J$17</f>
        <v>0</v>
      </c>
      <c r="K161" s="493">
        <f>K154*地域経済性分析・初期条件!$J$17</f>
        <v>0</v>
      </c>
      <c r="L161" s="493">
        <f>L154*地域経済性分析・初期条件!$J$17</f>
        <v>0</v>
      </c>
      <c r="M161" s="493">
        <f>M154*地域経済性分析・初期条件!$J$17</f>
        <v>0</v>
      </c>
      <c r="N161" s="493">
        <f>N154*地域経済性分析・初期条件!$J$17</f>
        <v>0</v>
      </c>
      <c r="O161" s="493">
        <f>O154*地域経済性分析・初期条件!$J$17</f>
        <v>0</v>
      </c>
      <c r="P161" s="493">
        <f>P154*地域経済性分析・初期条件!$J$17</f>
        <v>0</v>
      </c>
      <c r="Q161" s="493">
        <f>Q154*地域経済性分析・初期条件!$J$17</f>
        <v>0</v>
      </c>
      <c r="R161" s="493">
        <f>R154*地域経済性分析・初期条件!$J$17</f>
        <v>0</v>
      </c>
      <c r="S161" s="493">
        <f>S154*地域経済性分析・初期条件!$J$17</f>
        <v>0</v>
      </c>
      <c r="T161" s="493">
        <f>T154*地域経済性分析・初期条件!$J$17</f>
        <v>0</v>
      </c>
      <c r="U161" s="493">
        <f>U154*地域経済性分析・初期条件!$J$17</f>
        <v>0</v>
      </c>
      <c r="V161" s="493">
        <f>V154*地域経済性分析・初期条件!$J$17</f>
        <v>0</v>
      </c>
      <c r="W161" s="493">
        <f>W154*地域経済性分析・初期条件!$J$17</f>
        <v>0</v>
      </c>
      <c r="X161" s="493">
        <f>X154*地域経済性分析・初期条件!$J$17</f>
        <v>0</v>
      </c>
      <c r="Y161" s="493">
        <f>Y154*地域経済性分析・初期条件!$J$17</f>
        <v>0</v>
      </c>
      <c r="Z161" s="493">
        <f>Z154*地域経済性分析・初期条件!$J$17</f>
        <v>0</v>
      </c>
      <c r="AA161" s="493">
        <f>AA154*地域経済性分析・初期条件!$J$17</f>
        <v>0</v>
      </c>
      <c r="AB161" s="493">
        <f>AB154*地域経済性分析・初期条件!$J$17</f>
        <v>0</v>
      </c>
      <c r="AC161" s="493">
        <f>AC154*地域経済性分析・初期条件!$J$17</f>
        <v>0</v>
      </c>
      <c r="AD161" s="493">
        <f>AD154*地域経済性分析・初期条件!$J$17</f>
        <v>0</v>
      </c>
      <c r="AE161" s="493">
        <f>AE154*地域経済性分析・初期条件!$J$17</f>
        <v>0</v>
      </c>
      <c r="AF161" s="493">
        <f>AF154*地域経済性分析・初期条件!$J$17</f>
        <v>0</v>
      </c>
      <c r="AG161" s="493">
        <f>AG154*地域経済性分析・初期条件!$J$17</f>
        <v>0</v>
      </c>
      <c r="AH161" s="493">
        <f>AH154*地域経済性分析・初期条件!$J$17</f>
        <v>0</v>
      </c>
      <c r="AI161" s="535">
        <f t="shared" si="134"/>
        <v>0</v>
      </c>
      <c r="AJ161" s="535">
        <f t="shared" si="135"/>
        <v>0</v>
      </c>
      <c r="AK161" s="497">
        <f t="shared" si="136"/>
        <v>0</v>
      </c>
    </row>
    <row r="162" spans="1:37" ht="11.5" x14ac:dyDescent="0.25">
      <c r="A162" s="533" t="str">
        <f>A153&amp;B162</f>
        <v>0市町村税収（一次）</v>
      </c>
      <c r="B162" s="439" t="s">
        <v>332</v>
      </c>
      <c r="C162" s="452" t="s">
        <v>37</v>
      </c>
      <c r="D162" s="493">
        <f>D154*地域経済性分析・初期条件!$K$17</f>
        <v>0</v>
      </c>
      <c r="E162" s="493">
        <f>E154*地域経済性分析・初期条件!$K$17</f>
        <v>0</v>
      </c>
      <c r="F162" s="493">
        <f>F154*地域経済性分析・初期条件!$K$17</f>
        <v>0</v>
      </c>
      <c r="G162" s="493">
        <f>G154*地域経済性分析・初期条件!$K$17</f>
        <v>0</v>
      </c>
      <c r="H162" s="493">
        <f>H154*地域経済性分析・初期条件!$K$17</f>
        <v>0</v>
      </c>
      <c r="I162" s="493">
        <f>I154*地域経済性分析・初期条件!$K$17</f>
        <v>0</v>
      </c>
      <c r="J162" s="493">
        <f>J154*地域経済性分析・初期条件!$K$17</f>
        <v>0</v>
      </c>
      <c r="K162" s="493">
        <f>K154*地域経済性分析・初期条件!$K$17</f>
        <v>0</v>
      </c>
      <c r="L162" s="493">
        <f>L154*地域経済性分析・初期条件!$K$17</f>
        <v>0</v>
      </c>
      <c r="M162" s="493">
        <f>M154*地域経済性分析・初期条件!$K$17</f>
        <v>0</v>
      </c>
      <c r="N162" s="493">
        <f>N154*地域経済性分析・初期条件!$K$17</f>
        <v>0</v>
      </c>
      <c r="O162" s="493">
        <f>O154*地域経済性分析・初期条件!$K$17</f>
        <v>0</v>
      </c>
      <c r="P162" s="493">
        <f>P154*地域経済性分析・初期条件!$K$17</f>
        <v>0</v>
      </c>
      <c r="Q162" s="493">
        <f>Q154*地域経済性分析・初期条件!$K$17</f>
        <v>0</v>
      </c>
      <c r="R162" s="493">
        <f>R154*地域経済性分析・初期条件!$K$17</f>
        <v>0</v>
      </c>
      <c r="S162" s="493">
        <f>S154*地域経済性分析・初期条件!$K$17</f>
        <v>0</v>
      </c>
      <c r="T162" s="493">
        <f>T154*地域経済性分析・初期条件!$K$17</f>
        <v>0</v>
      </c>
      <c r="U162" s="493">
        <f>U154*地域経済性分析・初期条件!$K$17</f>
        <v>0</v>
      </c>
      <c r="V162" s="493">
        <f>V154*地域経済性分析・初期条件!$K$17</f>
        <v>0</v>
      </c>
      <c r="W162" s="493">
        <f>W154*地域経済性分析・初期条件!$K$17</f>
        <v>0</v>
      </c>
      <c r="X162" s="493">
        <f>X154*地域経済性分析・初期条件!$K$17</f>
        <v>0</v>
      </c>
      <c r="Y162" s="493">
        <f>Y154*地域経済性分析・初期条件!$K$17</f>
        <v>0</v>
      </c>
      <c r="Z162" s="493">
        <f>Z154*地域経済性分析・初期条件!$K$17</f>
        <v>0</v>
      </c>
      <c r="AA162" s="493">
        <f>AA154*地域経済性分析・初期条件!$K$17</f>
        <v>0</v>
      </c>
      <c r="AB162" s="493">
        <f>AB154*地域経済性分析・初期条件!$K$17</f>
        <v>0</v>
      </c>
      <c r="AC162" s="493">
        <f>AC154*地域経済性分析・初期条件!$K$17</f>
        <v>0</v>
      </c>
      <c r="AD162" s="493">
        <f>AD154*地域経済性分析・初期条件!$K$17</f>
        <v>0</v>
      </c>
      <c r="AE162" s="493">
        <f>AE154*地域経済性分析・初期条件!$K$17</f>
        <v>0</v>
      </c>
      <c r="AF162" s="493">
        <f>AF154*地域経済性分析・初期条件!$K$17</f>
        <v>0</v>
      </c>
      <c r="AG162" s="493">
        <f>AG154*地域経済性分析・初期条件!$K$17</f>
        <v>0</v>
      </c>
      <c r="AH162" s="493">
        <f>AH154*地域経済性分析・初期条件!$K$17</f>
        <v>0</v>
      </c>
      <c r="AI162" s="535">
        <f t="shared" si="134"/>
        <v>0</v>
      </c>
      <c r="AJ162" s="535">
        <f t="shared" si="135"/>
        <v>0</v>
      </c>
      <c r="AK162" s="497">
        <f t="shared" si="136"/>
        <v>0</v>
      </c>
    </row>
    <row r="163" spans="1:37" ht="11.5" x14ac:dyDescent="0.25">
      <c r="A163" s="533" t="str">
        <f>A153&amp;B163</f>
        <v>0従業員の可処分所得（二次以降）</v>
      </c>
      <c r="B163" s="439" t="s">
        <v>334</v>
      </c>
      <c r="C163" s="452" t="s">
        <v>333</v>
      </c>
      <c r="D163" s="493">
        <f>D154*地域経済性分析・初期条件!$L$17</f>
        <v>0</v>
      </c>
      <c r="E163" s="493">
        <f>E154*地域経済性分析・初期条件!$L$17</f>
        <v>0</v>
      </c>
      <c r="F163" s="493">
        <f>F154*地域経済性分析・初期条件!$L$17</f>
        <v>0</v>
      </c>
      <c r="G163" s="493">
        <f>G154*地域経済性分析・初期条件!$L$17</f>
        <v>0</v>
      </c>
      <c r="H163" s="493">
        <f>H154*地域経済性分析・初期条件!$L$17</f>
        <v>0</v>
      </c>
      <c r="I163" s="493">
        <f>I154*地域経済性分析・初期条件!$L$17</f>
        <v>0</v>
      </c>
      <c r="J163" s="493">
        <f>J154*地域経済性分析・初期条件!$L$17</f>
        <v>0</v>
      </c>
      <c r="K163" s="493">
        <f>K154*地域経済性分析・初期条件!$L$17</f>
        <v>0</v>
      </c>
      <c r="L163" s="493">
        <f>L154*地域経済性分析・初期条件!$L$17</f>
        <v>0</v>
      </c>
      <c r="M163" s="493">
        <f>M154*地域経済性分析・初期条件!$L$17</f>
        <v>0</v>
      </c>
      <c r="N163" s="493">
        <f>N154*地域経済性分析・初期条件!$L$17</f>
        <v>0</v>
      </c>
      <c r="O163" s="493">
        <f>O154*地域経済性分析・初期条件!$L$17</f>
        <v>0</v>
      </c>
      <c r="P163" s="493">
        <f>P154*地域経済性分析・初期条件!$L$17</f>
        <v>0</v>
      </c>
      <c r="Q163" s="493">
        <f>Q154*地域経済性分析・初期条件!$L$17</f>
        <v>0</v>
      </c>
      <c r="R163" s="493">
        <f>R154*地域経済性分析・初期条件!$L$17</f>
        <v>0</v>
      </c>
      <c r="S163" s="493">
        <f>S154*地域経済性分析・初期条件!$L$17</f>
        <v>0</v>
      </c>
      <c r="T163" s="493">
        <f>T154*地域経済性分析・初期条件!$L$17</f>
        <v>0</v>
      </c>
      <c r="U163" s="493">
        <f>U154*地域経済性分析・初期条件!$L$17</f>
        <v>0</v>
      </c>
      <c r="V163" s="493">
        <f>V154*地域経済性分析・初期条件!$L$17</f>
        <v>0</v>
      </c>
      <c r="W163" s="493">
        <f>W154*地域経済性分析・初期条件!$L$17</f>
        <v>0</v>
      </c>
      <c r="X163" s="493">
        <f>X154*地域経済性分析・初期条件!$L$17</f>
        <v>0</v>
      </c>
      <c r="Y163" s="493">
        <f>Y154*地域経済性分析・初期条件!$L$17</f>
        <v>0</v>
      </c>
      <c r="Z163" s="493">
        <f>Z154*地域経済性分析・初期条件!$L$17</f>
        <v>0</v>
      </c>
      <c r="AA163" s="493">
        <f>AA154*地域経済性分析・初期条件!$L$17</f>
        <v>0</v>
      </c>
      <c r="AB163" s="493">
        <f>AB154*地域経済性分析・初期条件!$L$17</f>
        <v>0</v>
      </c>
      <c r="AC163" s="493">
        <f>AC154*地域経済性分析・初期条件!$L$17</f>
        <v>0</v>
      </c>
      <c r="AD163" s="493">
        <f>AD154*地域経済性分析・初期条件!$L$17</f>
        <v>0</v>
      </c>
      <c r="AE163" s="493">
        <f>AE154*地域経済性分析・初期条件!$L$17</f>
        <v>0</v>
      </c>
      <c r="AF163" s="493">
        <f>AF154*地域経済性分析・初期条件!$L$17</f>
        <v>0</v>
      </c>
      <c r="AG163" s="493">
        <f>AG154*地域経済性分析・初期条件!$L$17</f>
        <v>0</v>
      </c>
      <c r="AH163" s="493">
        <f>AH154*地域経済性分析・初期条件!$L$17</f>
        <v>0</v>
      </c>
      <c r="AI163" s="535">
        <f>SUM(D163:N163)</f>
        <v>0</v>
      </c>
      <c r="AJ163" s="535">
        <f>SUM(D163:X163)</f>
        <v>0</v>
      </c>
      <c r="AK163" s="497">
        <f>SUM(D163:AH163)</f>
        <v>0</v>
      </c>
    </row>
    <row r="164" spans="1:37" ht="11.5" x14ac:dyDescent="0.25">
      <c r="A164" s="533" t="str">
        <f>A153&amp;B164</f>
        <v>0企業の税引後利益（二次以降）</v>
      </c>
      <c r="B164" s="439" t="s">
        <v>335</v>
      </c>
      <c r="C164" s="452" t="s">
        <v>333</v>
      </c>
      <c r="D164" s="493">
        <f>D154*地域経済性分析・初期条件!$M$17</f>
        <v>0</v>
      </c>
      <c r="E164" s="493">
        <f>E154*地域経済性分析・初期条件!$M$17</f>
        <v>0</v>
      </c>
      <c r="F164" s="493">
        <f>F154*地域経済性分析・初期条件!$M$17</f>
        <v>0</v>
      </c>
      <c r="G164" s="493">
        <f>G154*地域経済性分析・初期条件!$M$17</f>
        <v>0</v>
      </c>
      <c r="H164" s="493">
        <f>H154*地域経済性分析・初期条件!$M$17</f>
        <v>0</v>
      </c>
      <c r="I164" s="493">
        <f>I154*地域経済性分析・初期条件!$M$17</f>
        <v>0</v>
      </c>
      <c r="J164" s="493">
        <f>J154*地域経済性分析・初期条件!$M$17</f>
        <v>0</v>
      </c>
      <c r="K164" s="493">
        <f>K154*地域経済性分析・初期条件!$M$17</f>
        <v>0</v>
      </c>
      <c r="L164" s="493">
        <f>L154*地域経済性分析・初期条件!$M$17</f>
        <v>0</v>
      </c>
      <c r="M164" s="493">
        <f>M154*地域経済性分析・初期条件!$M$17</f>
        <v>0</v>
      </c>
      <c r="N164" s="493">
        <f>N154*地域経済性分析・初期条件!$M$17</f>
        <v>0</v>
      </c>
      <c r="O164" s="493">
        <f>O154*地域経済性分析・初期条件!$M$17</f>
        <v>0</v>
      </c>
      <c r="P164" s="493">
        <f>P154*地域経済性分析・初期条件!$M$17</f>
        <v>0</v>
      </c>
      <c r="Q164" s="493">
        <f>Q154*地域経済性分析・初期条件!$M$17</f>
        <v>0</v>
      </c>
      <c r="R164" s="493">
        <f>R154*地域経済性分析・初期条件!$M$17</f>
        <v>0</v>
      </c>
      <c r="S164" s="493">
        <f>S154*地域経済性分析・初期条件!$M$17</f>
        <v>0</v>
      </c>
      <c r="T164" s="493">
        <f>T154*地域経済性分析・初期条件!$M$17</f>
        <v>0</v>
      </c>
      <c r="U164" s="493">
        <f>U154*地域経済性分析・初期条件!$M$17</f>
        <v>0</v>
      </c>
      <c r="V164" s="493">
        <f>V154*地域経済性分析・初期条件!$M$17</f>
        <v>0</v>
      </c>
      <c r="W164" s="493">
        <f>W154*地域経済性分析・初期条件!$M$17</f>
        <v>0</v>
      </c>
      <c r="X164" s="493">
        <f>X154*地域経済性分析・初期条件!$M$17</f>
        <v>0</v>
      </c>
      <c r="Y164" s="493">
        <f>Y154*地域経済性分析・初期条件!$M$17</f>
        <v>0</v>
      </c>
      <c r="Z164" s="493">
        <f>Z154*地域経済性分析・初期条件!$M$17</f>
        <v>0</v>
      </c>
      <c r="AA164" s="493">
        <f>AA154*地域経済性分析・初期条件!$M$17</f>
        <v>0</v>
      </c>
      <c r="AB164" s="493">
        <f>AB154*地域経済性分析・初期条件!$M$17</f>
        <v>0</v>
      </c>
      <c r="AC164" s="493">
        <f>AC154*地域経済性分析・初期条件!$M$17</f>
        <v>0</v>
      </c>
      <c r="AD164" s="493">
        <f>AD154*地域経済性分析・初期条件!$M$17</f>
        <v>0</v>
      </c>
      <c r="AE164" s="493">
        <f>AE154*地域経済性分析・初期条件!$M$17</f>
        <v>0</v>
      </c>
      <c r="AF164" s="493">
        <f>AF154*地域経済性分析・初期条件!$M$17</f>
        <v>0</v>
      </c>
      <c r="AG164" s="493">
        <f>AG154*地域経済性分析・初期条件!$M$17</f>
        <v>0</v>
      </c>
      <c r="AH164" s="493">
        <f>AH154*地域経済性分析・初期条件!$M$17</f>
        <v>0</v>
      </c>
      <c r="AI164" s="535">
        <f>SUM(D164:N164)</f>
        <v>0</v>
      </c>
      <c r="AJ164" s="535">
        <f>SUM(D164:X164)</f>
        <v>0</v>
      </c>
      <c r="AK164" s="497">
        <f>SUM(D164:AH164)</f>
        <v>0</v>
      </c>
    </row>
    <row r="165" spans="1:37" ht="11.5" x14ac:dyDescent="0.25">
      <c r="A165" s="533" t="str">
        <f>A153&amp;B165</f>
        <v>0都道府県税収（二次以降）</v>
      </c>
      <c r="B165" s="439" t="s">
        <v>336</v>
      </c>
      <c r="C165" s="452" t="s">
        <v>333</v>
      </c>
      <c r="D165" s="493">
        <f>D154*地域経済性分析・初期条件!$N$17</f>
        <v>0</v>
      </c>
      <c r="E165" s="493">
        <f>E154*地域経済性分析・初期条件!$N$17</f>
        <v>0</v>
      </c>
      <c r="F165" s="493">
        <f>F154*地域経済性分析・初期条件!$N$17</f>
        <v>0</v>
      </c>
      <c r="G165" s="493">
        <f>G154*地域経済性分析・初期条件!$N$17</f>
        <v>0</v>
      </c>
      <c r="H165" s="493">
        <f>H154*地域経済性分析・初期条件!$N$17</f>
        <v>0</v>
      </c>
      <c r="I165" s="493">
        <f>I154*地域経済性分析・初期条件!$N$17</f>
        <v>0</v>
      </c>
      <c r="J165" s="493">
        <f>J154*地域経済性分析・初期条件!$N$17</f>
        <v>0</v>
      </c>
      <c r="K165" s="493">
        <f>K154*地域経済性分析・初期条件!$N$17</f>
        <v>0</v>
      </c>
      <c r="L165" s="493">
        <f>L154*地域経済性分析・初期条件!$N$17</f>
        <v>0</v>
      </c>
      <c r="M165" s="493">
        <f>M154*地域経済性分析・初期条件!$N$17</f>
        <v>0</v>
      </c>
      <c r="N165" s="493">
        <f>N154*地域経済性分析・初期条件!$N$17</f>
        <v>0</v>
      </c>
      <c r="O165" s="493">
        <f>O154*地域経済性分析・初期条件!$N$17</f>
        <v>0</v>
      </c>
      <c r="P165" s="493">
        <f>P154*地域経済性分析・初期条件!$N$17</f>
        <v>0</v>
      </c>
      <c r="Q165" s="493">
        <f>Q154*地域経済性分析・初期条件!$N$17</f>
        <v>0</v>
      </c>
      <c r="R165" s="493">
        <f>R154*地域経済性分析・初期条件!$N$17</f>
        <v>0</v>
      </c>
      <c r="S165" s="493">
        <f>S154*地域経済性分析・初期条件!$N$17</f>
        <v>0</v>
      </c>
      <c r="T165" s="493">
        <f>T154*地域経済性分析・初期条件!$N$17</f>
        <v>0</v>
      </c>
      <c r="U165" s="493">
        <f>U154*地域経済性分析・初期条件!$N$17</f>
        <v>0</v>
      </c>
      <c r="V165" s="493">
        <f>V154*地域経済性分析・初期条件!$N$17</f>
        <v>0</v>
      </c>
      <c r="W165" s="493">
        <f>W154*地域経済性分析・初期条件!$N$17</f>
        <v>0</v>
      </c>
      <c r="X165" s="493">
        <f>X154*地域経済性分析・初期条件!$N$17</f>
        <v>0</v>
      </c>
      <c r="Y165" s="493">
        <f>Y154*地域経済性分析・初期条件!$N$17</f>
        <v>0</v>
      </c>
      <c r="Z165" s="493">
        <f>Z154*地域経済性分析・初期条件!$N$17</f>
        <v>0</v>
      </c>
      <c r="AA165" s="493">
        <f>AA154*地域経済性分析・初期条件!$N$17</f>
        <v>0</v>
      </c>
      <c r="AB165" s="493">
        <f>AB154*地域経済性分析・初期条件!$N$17</f>
        <v>0</v>
      </c>
      <c r="AC165" s="493">
        <f>AC154*地域経済性分析・初期条件!$N$17</f>
        <v>0</v>
      </c>
      <c r="AD165" s="493">
        <f>AD154*地域経済性分析・初期条件!$N$17</f>
        <v>0</v>
      </c>
      <c r="AE165" s="493">
        <f>AE154*地域経済性分析・初期条件!$N$17</f>
        <v>0</v>
      </c>
      <c r="AF165" s="493">
        <f>AF154*地域経済性分析・初期条件!$N$17</f>
        <v>0</v>
      </c>
      <c r="AG165" s="493">
        <f>AG154*地域経済性分析・初期条件!$N$17</f>
        <v>0</v>
      </c>
      <c r="AH165" s="493">
        <f>AH154*地域経済性分析・初期条件!$N$17</f>
        <v>0</v>
      </c>
      <c r="AI165" s="535">
        <f>SUM(D165:N165)</f>
        <v>0</v>
      </c>
      <c r="AJ165" s="535">
        <f>SUM(D165:X165)</f>
        <v>0</v>
      </c>
      <c r="AK165" s="497">
        <f>SUM(D165:AH165)</f>
        <v>0</v>
      </c>
    </row>
    <row r="166" spans="1:37" ht="11.5" x14ac:dyDescent="0.25">
      <c r="A166" s="533" t="str">
        <f>A153&amp;B166</f>
        <v>0市町村税収（二次以降）</v>
      </c>
      <c r="B166" s="439" t="s">
        <v>337</v>
      </c>
      <c r="C166" s="452" t="s">
        <v>333</v>
      </c>
      <c r="D166" s="493">
        <f>D154*地域経済性分析・初期条件!$O$17</f>
        <v>0</v>
      </c>
      <c r="E166" s="493">
        <f>E154*地域経済性分析・初期条件!$O$17</f>
        <v>0</v>
      </c>
      <c r="F166" s="493">
        <f>F154*地域経済性分析・初期条件!$O$17</f>
        <v>0</v>
      </c>
      <c r="G166" s="493">
        <f>G154*地域経済性分析・初期条件!$O$17</f>
        <v>0</v>
      </c>
      <c r="H166" s="493">
        <f>H154*地域経済性分析・初期条件!$O$17</f>
        <v>0</v>
      </c>
      <c r="I166" s="493">
        <f>I154*地域経済性分析・初期条件!$O$17</f>
        <v>0</v>
      </c>
      <c r="J166" s="493">
        <f>J154*地域経済性分析・初期条件!$O$17</f>
        <v>0</v>
      </c>
      <c r="K166" s="493">
        <f>K154*地域経済性分析・初期条件!$O$17</f>
        <v>0</v>
      </c>
      <c r="L166" s="493">
        <f>L154*地域経済性分析・初期条件!$O$17</f>
        <v>0</v>
      </c>
      <c r="M166" s="493">
        <f>M154*地域経済性分析・初期条件!$O$17</f>
        <v>0</v>
      </c>
      <c r="N166" s="493">
        <f>N154*地域経済性分析・初期条件!$O$17</f>
        <v>0</v>
      </c>
      <c r="O166" s="493">
        <f>O154*地域経済性分析・初期条件!$O$17</f>
        <v>0</v>
      </c>
      <c r="P166" s="493">
        <f>P154*地域経済性分析・初期条件!$O$17</f>
        <v>0</v>
      </c>
      <c r="Q166" s="493">
        <f>Q154*地域経済性分析・初期条件!$O$17</f>
        <v>0</v>
      </c>
      <c r="R166" s="493">
        <f>R154*地域経済性分析・初期条件!$O$17</f>
        <v>0</v>
      </c>
      <c r="S166" s="493">
        <f>S154*地域経済性分析・初期条件!$O$17</f>
        <v>0</v>
      </c>
      <c r="T166" s="493">
        <f>T154*地域経済性分析・初期条件!$O$17</f>
        <v>0</v>
      </c>
      <c r="U166" s="493">
        <f>U154*地域経済性分析・初期条件!$O$17</f>
        <v>0</v>
      </c>
      <c r="V166" s="493">
        <f>V154*地域経済性分析・初期条件!$O$17</f>
        <v>0</v>
      </c>
      <c r="W166" s="493">
        <f>W154*地域経済性分析・初期条件!$O$17</f>
        <v>0</v>
      </c>
      <c r="X166" s="493">
        <f>X154*地域経済性分析・初期条件!$O$17</f>
        <v>0</v>
      </c>
      <c r="Y166" s="493">
        <f>Y154*地域経済性分析・初期条件!$O$17</f>
        <v>0</v>
      </c>
      <c r="Z166" s="493">
        <f>Z154*地域経済性分析・初期条件!$O$17</f>
        <v>0</v>
      </c>
      <c r="AA166" s="493">
        <f>AA154*地域経済性分析・初期条件!$O$17</f>
        <v>0</v>
      </c>
      <c r="AB166" s="493">
        <f>AB154*地域経済性分析・初期条件!$O$17</f>
        <v>0</v>
      </c>
      <c r="AC166" s="493">
        <f>AC154*地域経済性分析・初期条件!$O$17</f>
        <v>0</v>
      </c>
      <c r="AD166" s="493">
        <f>AD154*地域経済性分析・初期条件!$O$17</f>
        <v>0</v>
      </c>
      <c r="AE166" s="493">
        <f>AE154*地域経済性分析・初期条件!$O$17</f>
        <v>0</v>
      </c>
      <c r="AF166" s="493">
        <f>AF154*地域経済性分析・初期条件!$O$17</f>
        <v>0</v>
      </c>
      <c r="AG166" s="493">
        <f>AG154*地域経済性分析・初期条件!$O$17</f>
        <v>0</v>
      </c>
      <c r="AH166" s="493">
        <f>AH154*地域経済性分析・初期条件!$O$17</f>
        <v>0</v>
      </c>
      <c r="AI166" s="535">
        <f>SUM(D166:N166)</f>
        <v>0</v>
      </c>
      <c r="AJ166" s="535">
        <f>SUM(D166:X166)</f>
        <v>0</v>
      </c>
      <c r="AK166" s="497">
        <f>SUM(D166:AH166)</f>
        <v>0</v>
      </c>
    </row>
    <row r="167" spans="1:37" ht="11.5" x14ac:dyDescent="0.25">
      <c r="A167" s="488">
        <f>地域経済性分析・初期条件!$G$19</f>
        <v>0</v>
      </c>
      <c r="C167" s="452"/>
      <c r="D167" s="493"/>
      <c r="E167" s="493"/>
      <c r="F167" s="465"/>
      <c r="G167" s="465"/>
      <c r="H167" s="465"/>
      <c r="I167" s="465"/>
      <c r="J167" s="465"/>
      <c r="K167" s="465"/>
      <c r="L167" s="465"/>
      <c r="M167" s="465"/>
      <c r="N167" s="465"/>
      <c r="O167" s="465"/>
      <c r="P167" s="465"/>
      <c r="Q167" s="465"/>
      <c r="R167" s="465"/>
      <c r="S167" s="465"/>
      <c r="T167" s="465"/>
      <c r="U167" s="465"/>
      <c r="V167" s="465"/>
      <c r="W167" s="465"/>
      <c r="X167" s="465"/>
      <c r="Y167" s="465"/>
      <c r="Z167" s="465"/>
      <c r="AA167" s="465"/>
      <c r="AB167" s="465"/>
      <c r="AC167" s="465"/>
      <c r="AD167" s="465"/>
      <c r="AE167" s="465"/>
      <c r="AF167" s="465"/>
      <c r="AG167" s="465"/>
      <c r="AH167" s="465"/>
      <c r="AI167" s="535"/>
      <c r="AJ167" s="535"/>
      <c r="AK167" s="497"/>
    </row>
    <row r="168" spans="1:37" ht="11.5" x14ac:dyDescent="0.25">
      <c r="A168" s="533" t="str">
        <f>A167&amp;B168</f>
        <v>0売上（税別）</v>
      </c>
      <c r="B168" s="439" t="s">
        <v>1092</v>
      </c>
      <c r="C168" s="451" t="s">
        <v>37</v>
      </c>
      <c r="D168" s="493">
        <f>D138*地域経済性分析・初期条件!$F$19</f>
        <v>0</v>
      </c>
      <c r="E168" s="493">
        <f>E138*地域経済性分析・初期条件!$F$19</f>
        <v>0</v>
      </c>
      <c r="F168" s="493">
        <f>F138*地域経済性分析・初期条件!$F$19</f>
        <v>0</v>
      </c>
      <c r="G168" s="493">
        <f>G138*地域経済性分析・初期条件!$F$19</f>
        <v>0</v>
      </c>
      <c r="H168" s="493">
        <f>H138*地域経済性分析・初期条件!$F$19</f>
        <v>0</v>
      </c>
      <c r="I168" s="493">
        <f>I138*地域経済性分析・初期条件!$F$19</f>
        <v>0</v>
      </c>
      <c r="J168" s="493">
        <f>J138*地域経済性分析・初期条件!$F$19</f>
        <v>0</v>
      </c>
      <c r="K168" s="493">
        <f>K138*地域経済性分析・初期条件!$F$19</f>
        <v>0</v>
      </c>
      <c r="L168" s="493">
        <f>L138*地域経済性分析・初期条件!$F$19</f>
        <v>0</v>
      </c>
      <c r="M168" s="493">
        <f>M138*地域経済性分析・初期条件!$F$19</f>
        <v>0</v>
      </c>
      <c r="N168" s="493">
        <f>N138*地域経済性分析・初期条件!$F$19</f>
        <v>0</v>
      </c>
      <c r="O168" s="493">
        <f>O138*地域経済性分析・初期条件!$F$19</f>
        <v>0</v>
      </c>
      <c r="P168" s="493">
        <f>P138*地域経済性分析・初期条件!$F$19</f>
        <v>0</v>
      </c>
      <c r="Q168" s="493">
        <f>Q138*地域経済性分析・初期条件!$F$19</f>
        <v>0</v>
      </c>
      <c r="R168" s="493">
        <f>R138*地域経済性分析・初期条件!$F$19</f>
        <v>0</v>
      </c>
      <c r="S168" s="493">
        <f>S138*地域経済性分析・初期条件!$F$19</f>
        <v>0</v>
      </c>
      <c r="T168" s="493">
        <f>T138*地域経済性分析・初期条件!$F$19</f>
        <v>0</v>
      </c>
      <c r="U168" s="493">
        <f>U138*地域経済性分析・初期条件!$F$19</f>
        <v>0</v>
      </c>
      <c r="V168" s="493">
        <f>V138*地域経済性分析・初期条件!$F$19</f>
        <v>0</v>
      </c>
      <c r="W168" s="493">
        <f>W138*地域経済性分析・初期条件!$F$19</f>
        <v>0</v>
      </c>
      <c r="X168" s="493">
        <f>X138*地域経済性分析・初期条件!$F$19</f>
        <v>0</v>
      </c>
      <c r="Y168" s="493">
        <f>Y138*地域経済性分析・初期条件!$F$19</f>
        <v>0</v>
      </c>
      <c r="Z168" s="493">
        <f>Z138*地域経済性分析・初期条件!$F$19</f>
        <v>0</v>
      </c>
      <c r="AA168" s="493">
        <f>AA138*地域経済性分析・初期条件!$F$19</f>
        <v>0</v>
      </c>
      <c r="AB168" s="493">
        <f>AB138*地域経済性分析・初期条件!$F$19</f>
        <v>0</v>
      </c>
      <c r="AC168" s="493">
        <f>AC138*地域経済性分析・初期条件!$F$19</f>
        <v>0</v>
      </c>
      <c r="AD168" s="493">
        <f>AD138*地域経済性分析・初期条件!$F$19</f>
        <v>0</v>
      </c>
      <c r="AE168" s="493">
        <f>AE138*地域経済性分析・初期条件!$F$19</f>
        <v>0</v>
      </c>
      <c r="AF168" s="493">
        <f>AF138*地域経済性分析・初期条件!$F$19</f>
        <v>0</v>
      </c>
      <c r="AG168" s="493">
        <f>AG138*地域経済性分析・初期条件!$F$19</f>
        <v>0</v>
      </c>
      <c r="AH168" s="493">
        <f>AH138*地域経済性分析・初期条件!$F$19</f>
        <v>0</v>
      </c>
      <c r="AI168" s="535">
        <f t="shared" ref="AI168:AI176" si="140">SUM(D168:N168)</f>
        <v>0</v>
      </c>
      <c r="AJ168" s="535">
        <f t="shared" ref="AJ168:AJ176" si="141">SUM(D168:X168)</f>
        <v>0</v>
      </c>
      <c r="AK168" s="497">
        <f t="shared" ref="AK168:AK176" si="142">SUM(D168:AH168)</f>
        <v>0</v>
      </c>
    </row>
    <row r="169" spans="1:37" ht="11.5" x14ac:dyDescent="0.25">
      <c r="A169" s="533"/>
      <c r="B169" s="439" t="s">
        <v>1136</v>
      </c>
      <c r="C169" s="451" t="s">
        <v>37</v>
      </c>
      <c r="D169" s="493">
        <f>IF(D168&lt;0,0,D168*波及効果シート!$D$72)</f>
        <v>0</v>
      </c>
      <c r="E169" s="493">
        <f>IF(E168&lt;0,0,E168*波及効果シート!$D$72)</f>
        <v>0</v>
      </c>
      <c r="F169" s="493">
        <f>IF(F168&lt;0,0,F168*波及効果シート!$D$72)</f>
        <v>0</v>
      </c>
      <c r="G169" s="493">
        <f>IF(G168&lt;0,0,G168*波及効果シート!$D$72)</f>
        <v>0</v>
      </c>
      <c r="H169" s="493">
        <f>IF(H168&lt;0,0,H168*波及効果シート!$D$72)</f>
        <v>0</v>
      </c>
      <c r="I169" s="493">
        <f>IF(I168&lt;0,0,I168*波及効果シート!$D$72)</f>
        <v>0</v>
      </c>
      <c r="J169" s="493">
        <f>IF(J168&lt;0,0,J168*波及効果シート!$D$72)</f>
        <v>0</v>
      </c>
      <c r="K169" s="493">
        <f>IF(K168&lt;0,0,K168*波及効果シート!$D$72)</f>
        <v>0</v>
      </c>
      <c r="L169" s="493">
        <f>IF(L168&lt;0,0,L168*波及効果シート!$D$72)</f>
        <v>0</v>
      </c>
      <c r="M169" s="493">
        <f>IF(M168&lt;0,0,M168*波及効果シート!$D$72)</f>
        <v>0</v>
      </c>
      <c r="N169" s="493">
        <f>IF(N168&lt;0,0,N168*波及効果シート!$D$72)</f>
        <v>0</v>
      </c>
      <c r="O169" s="493">
        <f>IF(O168&lt;0,0,O168*波及効果シート!$D$72)</f>
        <v>0</v>
      </c>
      <c r="P169" s="493">
        <f>IF(P168&lt;0,0,P168*波及効果シート!$D$72)</f>
        <v>0</v>
      </c>
      <c r="Q169" s="493">
        <f>IF(Q168&lt;0,0,Q168*波及効果シート!$D$72)</f>
        <v>0</v>
      </c>
      <c r="R169" s="493">
        <f>IF(R168&lt;0,0,R168*波及効果シート!$D$72)</f>
        <v>0</v>
      </c>
      <c r="S169" s="493">
        <f>IF(S168&lt;0,0,S168*波及効果シート!$D$72)</f>
        <v>0</v>
      </c>
      <c r="T169" s="493">
        <f>IF(T168&lt;0,0,T168*波及効果シート!$D$72)</f>
        <v>0</v>
      </c>
      <c r="U169" s="493">
        <f>IF(U168&lt;0,0,U168*波及効果シート!$D$72)</f>
        <v>0</v>
      </c>
      <c r="V169" s="493">
        <f>IF(V168&lt;0,0,V168*波及効果シート!$D$72)</f>
        <v>0</v>
      </c>
      <c r="W169" s="493">
        <f>IF(W168&lt;0,0,W168*波及効果シート!$D$72)</f>
        <v>0</v>
      </c>
      <c r="X169" s="493">
        <f>IF(X168&lt;0,0,X168*波及効果シート!$D$72)</f>
        <v>0</v>
      </c>
      <c r="Y169" s="493">
        <f>IF(Y168&lt;0,0,Y168*波及効果シート!$D$72)</f>
        <v>0</v>
      </c>
      <c r="Z169" s="493">
        <f>IF(Z168&lt;0,0,Z168*波及効果シート!$D$72)</f>
        <v>0</v>
      </c>
      <c r="AA169" s="493">
        <f>IF(AA168&lt;0,0,AA168*波及効果シート!$D$72)</f>
        <v>0</v>
      </c>
      <c r="AB169" s="493">
        <f>IF(AB168&lt;0,0,AB168*波及効果シート!$D$72)</f>
        <v>0</v>
      </c>
      <c r="AC169" s="493">
        <f>IF(AC168&lt;0,0,AC168*波及効果シート!$D$72)</f>
        <v>0</v>
      </c>
      <c r="AD169" s="493">
        <f>IF(AD168&lt;0,0,AD168*波及効果シート!$D$72)</f>
        <v>0</v>
      </c>
      <c r="AE169" s="493">
        <f>IF(AE168&lt;0,0,AE168*波及効果シート!$D$72)</f>
        <v>0</v>
      </c>
      <c r="AF169" s="493">
        <f>IF(AF168&lt;0,0,AF168*波及効果シート!$D$72)</f>
        <v>0</v>
      </c>
      <c r="AG169" s="493">
        <f>IF(AG168&lt;0,0,AG168*波及効果シート!$D$72)</f>
        <v>0</v>
      </c>
      <c r="AH169" s="493">
        <f>IF(AH168&lt;0,0,AH168*波及効果シート!$D$72)</f>
        <v>0</v>
      </c>
      <c r="AI169" s="535">
        <f t="shared" ref="AI169:AI170" si="143">SUM(D169:N169)</f>
        <v>0</v>
      </c>
      <c r="AJ169" s="535">
        <f t="shared" ref="AJ169:AJ170" si="144">SUM(D169:X169)</f>
        <v>0</v>
      </c>
      <c r="AK169" s="497">
        <f t="shared" ref="AK169:AK170" si="145">SUM(D169:AH169)</f>
        <v>0</v>
      </c>
    </row>
    <row r="170" spans="1:37" ht="11.5" x14ac:dyDescent="0.25">
      <c r="A170" s="533"/>
      <c r="B170" s="439" t="s">
        <v>1137</v>
      </c>
      <c r="C170" s="452" t="s">
        <v>37</v>
      </c>
      <c r="D170" s="493">
        <f>IF(D168&lt;0,0,D168*波及効果シート!$D$74)</f>
        <v>0</v>
      </c>
      <c r="E170" s="493">
        <f>IF(E168&lt;0,0,E168*波及効果シート!$D$74)</f>
        <v>0</v>
      </c>
      <c r="F170" s="493">
        <f>IF(F168&lt;0,0,F168*波及効果シート!$D$74)</f>
        <v>0</v>
      </c>
      <c r="G170" s="493">
        <f>IF(G168&lt;0,0,G168*波及効果シート!$D$74)</f>
        <v>0</v>
      </c>
      <c r="H170" s="493">
        <f>IF(H168&lt;0,0,H168*波及効果シート!$D$74)</f>
        <v>0</v>
      </c>
      <c r="I170" s="493">
        <f>IF(I168&lt;0,0,I168*波及効果シート!$D$74)</f>
        <v>0</v>
      </c>
      <c r="J170" s="493">
        <f>IF(J168&lt;0,0,J168*波及効果シート!$D$74)</f>
        <v>0</v>
      </c>
      <c r="K170" s="493">
        <f>IF(K168&lt;0,0,K168*波及効果シート!$D$74)</f>
        <v>0</v>
      </c>
      <c r="L170" s="493">
        <f>IF(L168&lt;0,0,L168*波及効果シート!$D$74)</f>
        <v>0</v>
      </c>
      <c r="M170" s="493">
        <f>IF(M168&lt;0,0,M168*波及効果シート!$D$74)</f>
        <v>0</v>
      </c>
      <c r="N170" s="493">
        <f>IF(N168&lt;0,0,N168*波及効果シート!$D$74)</f>
        <v>0</v>
      </c>
      <c r="O170" s="493">
        <f>IF(O168&lt;0,0,O168*波及効果シート!$D$74)</f>
        <v>0</v>
      </c>
      <c r="P170" s="493">
        <f>IF(P168&lt;0,0,P168*波及効果シート!$D$74)</f>
        <v>0</v>
      </c>
      <c r="Q170" s="493">
        <f>IF(Q168&lt;0,0,Q168*波及効果シート!$D$74)</f>
        <v>0</v>
      </c>
      <c r="R170" s="493">
        <f>IF(R168&lt;0,0,R168*波及効果シート!$D$74)</f>
        <v>0</v>
      </c>
      <c r="S170" s="493">
        <f>IF(S168&lt;0,0,S168*波及効果シート!$D$74)</f>
        <v>0</v>
      </c>
      <c r="T170" s="493">
        <f>IF(T168&lt;0,0,T168*波及効果シート!$D$74)</f>
        <v>0</v>
      </c>
      <c r="U170" s="493">
        <f>IF(U168&lt;0,0,U168*波及効果シート!$D$74)</f>
        <v>0</v>
      </c>
      <c r="V170" s="493">
        <f>IF(V168&lt;0,0,V168*波及効果シート!$D$74)</f>
        <v>0</v>
      </c>
      <c r="W170" s="493">
        <f>IF(W168&lt;0,0,W168*波及効果シート!$D$74)</f>
        <v>0</v>
      </c>
      <c r="X170" s="493">
        <f>IF(X168&lt;0,0,X168*波及効果シート!$D$74)</f>
        <v>0</v>
      </c>
      <c r="Y170" s="493">
        <f>IF(Y168&lt;0,0,Y168*波及効果シート!$D$74)</f>
        <v>0</v>
      </c>
      <c r="Z170" s="493">
        <f>IF(Z168&lt;0,0,Z168*波及効果シート!$D$74)</f>
        <v>0</v>
      </c>
      <c r="AA170" s="493">
        <f>IF(AA168&lt;0,0,AA168*波及効果シート!$D$74)</f>
        <v>0</v>
      </c>
      <c r="AB170" s="493">
        <f>IF(AB168&lt;0,0,AB168*波及効果シート!$D$74)</f>
        <v>0</v>
      </c>
      <c r="AC170" s="493">
        <f>IF(AC168&lt;0,0,AC168*波及効果シート!$D$74)</f>
        <v>0</v>
      </c>
      <c r="AD170" s="493">
        <f>IF(AD168&lt;0,0,AD168*波及効果シート!$D$74)</f>
        <v>0</v>
      </c>
      <c r="AE170" s="493">
        <f>IF(AE168&lt;0,0,AE168*波及効果シート!$D$74)</f>
        <v>0</v>
      </c>
      <c r="AF170" s="493">
        <f>IF(AF168&lt;0,0,AF168*波及効果シート!$D$74)</f>
        <v>0</v>
      </c>
      <c r="AG170" s="493">
        <f>IF(AG168&lt;0,0,AG168*波及効果シート!$D$74)</f>
        <v>0</v>
      </c>
      <c r="AH170" s="493">
        <f>IF(AH168&lt;0,0,AH168*波及効果シート!$D$74)</f>
        <v>0</v>
      </c>
      <c r="AI170" s="535">
        <f t="shared" si="143"/>
        <v>0</v>
      </c>
      <c r="AJ170" s="535">
        <f t="shared" si="144"/>
        <v>0</v>
      </c>
      <c r="AK170" s="497">
        <f t="shared" si="145"/>
        <v>0</v>
      </c>
    </row>
    <row r="171" spans="1:37" ht="11.5" x14ac:dyDescent="0.25">
      <c r="A171" s="533" t="str">
        <f>A167&amp;B171</f>
        <v>0所得税（国税）</v>
      </c>
      <c r="B171" s="439" t="s">
        <v>351</v>
      </c>
      <c r="C171" s="452" t="s">
        <v>333</v>
      </c>
      <c r="D171" s="493">
        <f>D168*地域経済性分析・初期条件!$P$19</f>
        <v>0</v>
      </c>
      <c r="E171" s="493">
        <f>E168*地域経済性分析・初期条件!$P$19</f>
        <v>0</v>
      </c>
      <c r="F171" s="493">
        <f>F168*地域経済性分析・初期条件!$P$19</f>
        <v>0</v>
      </c>
      <c r="G171" s="493">
        <f>G168*地域経済性分析・初期条件!$P$19</f>
        <v>0</v>
      </c>
      <c r="H171" s="493">
        <f>H168*地域経済性分析・初期条件!$P$19</f>
        <v>0</v>
      </c>
      <c r="I171" s="493">
        <f>I168*地域経済性分析・初期条件!$P$19</f>
        <v>0</v>
      </c>
      <c r="J171" s="493">
        <f>J168*地域経済性分析・初期条件!$P$19</f>
        <v>0</v>
      </c>
      <c r="K171" s="493">
        <f>K168*地域経済性分析・初期条件!$P$19</f>
        <v>0</v>
      </c>
      <c r="L171" s="493">
        <f>L168*地域経済性分析・初期条件!$P$19</f>
        <v>0</v>
      </c>
      <c r="M171" s="493">
        <f>M168*地域経済性分析・初期条件!$P$19</f>
        <v>0</v>
      </c>
      <c r="N171" s="493">
        <f>N168*地域経済性分析・初期条件!$P$19</f>
        <v>0</v>
      </c>
      <c r="O171" s="493">
        <f>O168*地域経済性分析・初期条件!$P$19</f>
        <v>0</v>
      </c>
      <c r="P171" s="493">
        <f>P168*地域経済性分析・初期条件!$P$19</f>
        <v>0</v>
      </c>
      <c r="Q171" s="493">
        <f>Q168*地域経済性分析・初期条件!$P$19</f>
        <v>0</v>
      </c>
      <c r="R171" s="493">
        <f>R168*地域経済性分析・初期条件!$P$19</f>
        <v>0</v>
      </c>
      <c r="S171" s="493">
        <f>S168*地域経済性分析・初期条件!$P$19</f>
        <v>0</v>
      </c>
      <c r="T171" s="493">
        <f>T168*地域経済性分析・初期条件!$P$19</f>
        <v>0</v>
      </c>
      <c r="U171" s="493">
        <f>U168*地域経済性分析・初期条件!$P$19</f>
        <v>0</v>
      </c>
      <c r="V171" s="493">
        <f>V168*地域経済性分析・初期条件!$P$19</f>
        <v>0</v>
      </c>
      <c r="W171" s="493">
        <f>W168*地域経済性分析・初期条件!$P$19</f>
        <v>0</v>
      </c>
      <c r="X171" s="493">
        <f>X168*地域経済性分析・初期条件!$P$19</f>
        <v>0</v>
      </c>
      <c r="Y171" s="493">
        <f>Y168*地域経済性分析・初期条件!$P$19</f>
        <v>0</v>
      </c>
      <c r="Z171" s="493">
        <f>Z168*地域経済性分析・初期条件!$P$19</f>
        <v>0</v>
      </c>
      <c r="AA171" s="493">
        <f>AA168*地域経済性分析・初期条件!$P$19</f>
        <v>0</v>
      </c>
      <c r="AB171" s="493">
        <f>AB168*地域経済性分析・初期条件!$P$19</f>
        <v>0</v>
      </c>
      <c r="AC171" s="493">
        <f>AC168*地域経済性分析・初期条件!$P$19</f>
        <v>0</v>
      </c>
      <c r="AD171" s="493">
        <f>AD168*地域経済性分析・初期条件!$P$19</f>
        <v>0</v>
      </c>
      <c r="AE171" s="493">
        <f>AE168*地域経済性分析・初期条件!$P$19</f>
        <v>0</v>
      </c>
      <c r="AF171" s="493">
        <f>AF168*地域経済性分析・初期条件!$P$19</f>
        <v>0</v>
      </c>
      <c r="AG171" s="493">
        <f>AG168*地域経済性分析・初期条件!$P$19</f>
        <v>0</v>
      </c>
      <c r="AH171" s="493">
        <f>AH168*地域経済性分析・初期条件!$P$19</f>
        <v>0</v>
      </c>
      <c r="AI171" s="535">
        <f t="shared" si="140"/>
        <v>0</v>
      </c>
      <c r="AJ171" s="535">
        <f t="shared" si="141"/>
        <v>0</v>
      </c>
      <c r="AK171" s="497">
        <f t="shared" si="142"/>
        <v>0</v>
      </c>
    </row>
    <row r="172" spans="1:37" ht="11.5" x14ac:dyDescent="0.25">
      <c r="A172" s="533" t="str">
        <f>A167&amp;B172</f>
        <v>0法人税（国税）</v>
      </c>
      <c r="B172" s="439" t="s">
        <v>350</v>
      </c>
      <c r="C172" s="452" t="s">
        <v>333</v>
      </c>
      <c r="D172" s="493">
        <f>D168*地域経済性分析・初期条件!$Q$19</f>
        <v>0</v>
      </c>
      <c r="E172" s="493">
        <f>E168*地域経済性分析・初期条件!$Q$19</f>
        <v>0</v>
      </c>
      <c r="F172" s="493">
        <f>F168*地域経済性分析・初期条件!$Q$19</f>
        <v>0</v>
      </c>
      <c r="G172" s="493">
        <f>G168*地域経済性分析・初期条件!$Q$19</f>
        <v>0</v>
      </c>
      <c r="H172" s="493">
        <f>H168*地域経済性分析・初期条件!$Q$19</f>
        <v>0</v>
      </c>
      <c r="I172" s="493">
        <f>I168*地域経済性分析・初期条件!$Q$19</f>
        <v>0</v>
      </c>
      <c r="J172" s="493">
        <f>J168*地域経済性分析・初期条件!$Q$19</f>
        <v>0</v>
      </c>
      <c r="K172" s="493">
        <f>K168*地域経済性分析・初期条件!$Q$19</f>
        <v>0</v>
      </c>
      <c r="L172" s="493">
        <f>L168*地域経済性分析・初期条件!$Q$19</f>
        <v>0</v>
      </c>
      <c r="M172" s="493">
        <f>M168*地域経済性分析・初期条件!$Q$19</f>
        <v>0</v>
      </c>
      <c r="N172" s="493">
        <f>N168*地域経済性分析・初期条件!$Q$19</f>
        <v>0</v>
      </c>
      <c r="O172" s="493">
        <f>O168*地域経済性分析・初期条件!$Q$19</f>
        <v>0</v>
      </c>
      <c r="P172" s="493">
        <f>P168*地域経済性分析・初期条件!$Q$19</f>
        <v>0</v>
      </c>
      <c r="Q172" s="493">
        <f>Q168*地域経済性分析・初期条件!$Q$19</f>
        <v>0</v>
      </c>
      <c r="R172" s="493">
        <f>R168*地域経済性分析・初期条件!$Q$19</f>
        <v>0</v>
      </c>
      <c r="S172" s="493">
        <f>S168*地域経済性分析・初期条件!$Q$19</f>
        <v>0</v>
      </c>
      <c r="T172" s="493">
        <f>T168*地域経済性分析・初期条件!$Q$19</f>
        <v>0</v>
      </c>
      <c r="U172" s="493">
        <f>U168*地域経済性分析・初期条件!$Q$19</f>
        <v>0</v>
      </c>
      <c r="V172" s="493">
        <f>V168*地域経済性分析・初期条件!$Q$19</f>
        <v>0</v>
      </c>
      <c r="W172" s="493">
        <f>W168*地域経済性分析・初期条件!$Q$19</f>
        <v>0</v>
      </c>
      <c r="X172" s="493">
        <f>X168*地域経済性分析・初期条件!$Q$19</f>
        <v>0</v>
      </c>
      <c r="Y172" s="493">
        <f>Y168*地域経済性分析・初期条件!$Q$19</f>
        <v>0</v>
      </c>
      <c r="Z172" s="493">
        <f>Z168*地域経済性分析・初期条件!$Q$19</f>
        <v>0</v>
      </c>
      <c r="AA172" s="493">
        <f>AA168*地域経済性分析・初期条件!$Q$19</f>
        <v>0</v>
      </c>
      <c r="AB172" s="493">
        <f>AB168*地域経済性分析・初期条件!$Q$19</f>
        <v>0</v>
      </c>
      <c r="AC172" s="493">
        <f>AC168*地域経済性分析・初期条件!$Q$19</f>
        <v>0</v>
      </c>
      <c r="AD172" s="493">
        <f>AD168*地域経済性分析・初期条件!$Q$19</f>
        <v>0</v>
      </c>
      <c r="AE172" s="493">
        <f>AE168*地域経済性分析・初期条件!$Q$19</f>
        <v>0</v>
      </c>
      <c r="AF172" s="493">
        <f>AF168*地域経済性分析・初期条件!$Q$19</f>
        <v>0</v>
      </c>
      <c r="AG172" s="493">
        <f>AG168*地域経済性分析・初期条件!$Q$19</f>
        <v>0</v>
      </c>
      <c r="AH172" s="493">
        <f>AH168*地域経済性分析・初期条件!$Q$19</f>
        <v>0</v>
      </c>
      <c r="AI172" s="535">
        <f t="shared" si="140"/>
        <v>0</v>
      </c>
      <c r="AJ172" s="535">
        <f t="shared" si="141"/>
        <v>0</v>
      </c>
      <c r="AK172" s="497">
        <f t="shared" si="142"/>
        <v>0</v>
      </c>
    </row>
    <row r="173" spans="1:37" ht="11.5" x14ac:dyDescent="0.25">
      <c r="A173" s="533" t="str">
        <f>A167&amp;B173</f>
        <v>0従業員の可処分所得（一次）</v>
      </c>
      <c r="B173" s="439" t="s">
        <v>329</v>
      </c>
      <c r="C173" s="451" t="s">
        <v>37</v>
      </c>
      <c r="D173" s="493">
        <f>D168*地域経済性分析・初期条件!$H$19</f>
        <v>0</v>
      </c>
      <c r="E173" s="493">
        <f>E168*地域経済性分析・初期条件!$H$19</f>
        <v>0</v>
      </c>
      <c r="F173" s="493">
        <f>F168*地域経済性分析・初期条件!$H$19</f>
        <v>0</v>
      </c>
      <c r="G173" s="493">
        <f>G168*地域経済性分析・初期条件!$H$19</f>
        <v>0</v>
      </c>
      <c r="H173" s="493">
        <f>H168*地域経済性分析・初期条件!$H$19</f>
        <v>0</v>
      </c>
      <c r="I173" s="493">
        <f>I168*地域経済性分析・初期条件!$H$19</f>
        <v>0</v>
      </c>
      <c r="J173" s="493">
        <f>J168*地域経済性分析・初期条件!$H$19</f>
        <v>0</v>
      </c>
      <c r="K173" s="493">
        <f>K168*地域経済性分析・初期条件!$H$19</f>
        <v>0</v>
      </c>
      <c r="L173" s="493">
        <f>L168*地域経済性分析・初期条件!$H$19</f>
        <v>0</v>
      </c>
      <c r="M173" s="493">
        <f>M168*地域経済性分析・初期条件!$H$19</f>
        <v>0</v>
      </c>
      <c r="N173" s="493">
        <f>N168*地域経済性分析・初期条件!$H$19</f>
        <v>0</v>
      </c>
      <c r="O173" s="493">
        <f>O168*地域経済性分析・初期条件!$H$19</f>
        <v>0</v>
      </c>
      <c r="P173" s="493">
        <f>P168*地域経済性分析・初期条件!$H$19</f>
        <v>0</v>
      </c>
      <c r="Q173" s="493">
        <f>Q168*地域経済性分析・初期条件!$H$19</f>
        <v>0</v>
      </c>
      <c r="R173" s="493">
        <f>R168*地域経済性分析・初期条件!$H$19</f>
        <v>0</v>
      </c>
      <c r="S173" s="493">
        <f>S168*地域経済性分析・初期条件!$H$19</f>
        <v>0</v>
      </c>
      <c r="T173" s="493">
        <f>T168*地域経済性分析・初期条件!$H$19</f>
        <v>0</v>
      </c>
      <c r="U173" s="493">
        <f>U168*地域経済性分析・初期条件!$H$19</f>
        <v>0</v>
      </c>
      <c r="V173" s="493">
        <f>V168*地域経済性分析・初期条件!$H$19</f>
        <v>0</v>
      </c>
      <c r="W173" s="493">
        <f>W168*地域経済性分析・初期条件!$H$19</f>
        <v>0</v>
      </c>
      <c r="X173" s="493">
        <f>X168*地域経済性分析・初期条件!$H$19</f>
        <v>0</v>
      </c>
      <c r="Y173" s="493">
        <f>Y168*地域経済性分析・初期条件!$H$19</f>
        <v>0</v>
      </c>
      <c r="Z173" s="493">
        <f>Z168*地域経済性分析・初期条件!$H$19</f>
        <v>0</v>
      </c>
      <c r="AA173" s="493">
        <f>AA168*地域経済性分析・初期条件!$H$19</f>
        <v>0</v>
      </c>
      <c r="AB173" s="493">
        <f>AB168*地域経済性分析・初期条件!$H$19</f>
        <v>0</v>
      </c>
      <c r="AC173" s="493">
        <f>AC168*地域経済性分析・初期条件!$H$19</f>
        <v>0</v>
      </c>
      <c r="AD173" s="493">
        <f>AD168*地域経済性分析・初期条件!$H$19</f>
        <v>0</v>
      </c>
      <c r="AE173" s="493">
        <f>AE168*地域経済性分析・初期条件!$H$19</f>
        <v>0</v>
      </c>
      <c r="AF173" s="493">
        <f>AF168*地域経済性分析・初期条件!$H$19</f>
        <v>0</v>
      </c>
      <c r="AG173" s="493">
        <f>AG168*地域経済性分析・初期条件!$H$19</f>
        <v>0</v>
      </c>
      <c r="AH173" s="493">
        <f>AH168*地域経済性分析・初期条件!$H$19</f>
        <v>0</v>
      </c>
      <c r="AI173" s="535">
        <f t="shared" si="140"/>
        <v>0</v>
      </c>
      <c r="AJ173" s="535">
        <f t="shared" si="141"/>
        <v>0</v>
      </c>
      <c r="AK173" s="497">
        <f t="shared" si="142"/>
        <v>0</v>
      </c>
    </row>
    <row r="174" spans="1:37" ht="11.5" x14ac:dyDescent="0.25">
      <c r="A174" s="533" t="str">
        <f>A167&amp;B174</f>
        <v>0企業の税引後利益（一次）</v>
      </c>
      <c r="B174" s="439" t="s">
        <v>330</v>
      </c>
      <c r="C174" s="451" t="s">
        <v>37</v>
      </c>
      <c r="D174" s="493">
        <f>D168*地域経済性分析・初期条件!$I$19</f>
        <v>0</v>
      </c>
      <c r="E174" s="493">
        <f>E168*地域経済性分析・初期条件!$I$19</f>
        <v>0</v>
      </c>
      <c r="F174" s="493">
        <f>F168*地域経済性分析・初期条件!$I$19</f>
        <v>0</v>
      </c>
      <c r="G174" s="493">
        <f>G168*地域経済性分析・初期条件!$I$19</f>
        <v>0</v>
      </c>
      <c r="H174" s="493">
        <f>H168*地域経済性分析・初期条件!$I$19</f>
        <v>0</v>
      </c>
      <c r="I174" s="493">
        <f>I168*地域経済性分析・初期条件!$I$19</f>
        <v>0</v>
      </c>
      <c r="J174" s="493">
        <f>J168*地域経済性分析・初期条件!$I$19</f>
        <v>0</v>
      </c>
      <c r="K174" s="493">
        <f>K168*地域経済性分析・初期条件!$I$19</f>
        <v>0</v>
      </c>
      <c r="L174" s="493">
        <f>L168*地域経済性分析・初期条件!$I$19</f>
        <v>0</v>
      </c>
      <c r="M174" s="493">
        <f>M168*地域経済性分析・初期条件!$I$19</f>
        <v>0</v>
      </c>
      <c r="N174" s="493">
        <f>N168*地域経済性分析・初期条件!$I$19</f>
        <v>0</v>
      </c>
      <c r="O174" s="493">
        <f>O168*地域経済性分析・初期条件!$I$19</f>
        <v>0</v>
      </c>
      <c r="P174" s="493">
        <f>P168*地域経済性分析・初期条件!$I$19</f>
        <v>0</v>
      </c>
      <c r="Q174" s="493">
        <f>Q168*地域経済性分析・初期条件!$I$19</f>
        <v>0</v>
      </c>
      <c r="R174" s="493">
        <f>R168*地域経済性分析・初期条件!$I$19</f>
        <v>0</v>
      </c>
      <c r="S174" s="493">
        <f>S168*地域経済性分析・初期条件!$I$19</f>
        <v>0</v>
      </c>
      <c r="T174" s="493">
        <f>T168*地域経済性分析・初期条件!$I$19</f>
        <v>0</v>
      </c>
      <c r="U174" s="493">
        <f>U168*地域経済性分析・初期条件!$I$19</f>
        <v>0</v>
      </c>
      <c r="V174" s="493">
        <f>V168*地域経済性分析・初期条件!$I$19</f>
        <v>0</v>
      </c>
      <c r="W174" s="493">
        <f>W168*地域経済性分析・初期条件!$I$19</f>
        <v>0</v>
      </c>
      <c r="X174" s="493">
        <f>X168*地域経済性分析・初期条件!$I$19</f>
        <v>0</v>
      </c>
      <c r="Y174" s="493">
        <f>Y168*地域経済性分析・初期条件!$I$19</f>
        <v>0</v>
      </c>
      <c r="Z174" s="493">
        <f>Z168*地域経済性分析・初期条件!$I$19</f>
        <v>0</v>
      </c>
      <c r="AA174" s="493">
        <f>AA168*地域経済性分析・初期条件!$I$19</f>
        <v>0</v>
      </c>
      <c r="AB174" s="493">
        <f>AB168*地域経済性分析・初期条件!$I$19</f>
        <v>0</v>
      </c>
      <c r="AC174" s="493">
        <f>AC168*地域経済性分析・初期条件!$I$19</f>
        <v>0</v>
      </c>
      <c r="AD174" s="493">
        <f>AD168*地域経済性分析・初期条件!$I$19</f>
        <v>0</v>
      </c>
      <c r="AE174" s="493">
        <f>AE168*地域経済性分析・初期条件!$I$19</f>
        <v>0</v>
      </c>
      <c r="AF174" s="493">
        <f>AF168*地域経済性分析・初期条件!$I$19</f>
        <v>0</v>
      </c>
      <c r="AG174" s="493">
        <f>AG168*地域経済性分析・初期条件!$I$19</f>
        <v>0</v>
      </c>
      <c r="AH174" s="493">
        <f>AH168*地域経済性分析・初期条件!$I$19</f>
        <v>0</v>
      </c>
      <c r="AI174" s="535">
        <f t="shared" si="140"/>
        <v>0</v>
      </c>
      <c r="AJ174" s="535">
        <f t="shared" si="141"/>
        <v>0</v>
      </c>
      <c r="AK174" s="497">
        <f t="shared" si="142"/>
        <v>0</v>
      </c>
    </row>
    <row r="175" spans="1:37" ht="11.5" x14ac:dyDescent="0.25">
      <c r="A175" s="533" t="str">
        <f>A167&amp;B175</f>
        <v>0都道府県税収（一次）</v>
      </c>
      <c r="B175" s="439" t="s">
        <v>331</v>
      </c>
      <c r="C175" s="451" t="s">
        <v>37</v>
      </c>
      <c r="D175" s="493">
        <f>D168*地域経済性分析・初期条件!$J$19</f>
        <v>0</v>
      </c>
      <c r="E175" s="493">
        <f>E168*地域経済性分析・初期条件!$J$19</f>
        <v>0</v>
      </c>
      <c r="F175" s="493">
        <f>F168*地域経済性分析・初期条件!$J$19</f>
        <v>0</v>
      </c>
      <c r="G175" s="493">
        <f>G168*地域経済性分析・初期条件!$J$19</f>
        <v>0</v>
      </c>
      <c r="H175" s="493">
        <f>H168*地域経済性分析・初期条件!$J$19</f>
        <v>0</v>
      </c>
      <c r="I175" s="493">
        <f>I168*地域経済性分析・初期条件!$J$19</f>
        <v>0</v>
      </c>
      <c r="J175" s="493">
        <f>J168*地域経済性分析・初期条件!$J$19</f>
        <v>0</v>
      </c>
      <c r="K175" s="493">
        <f>K168*地域経済性分析・初期条件!$J$19</f>
        <v>0</v>
      </c>
      <c r="L175" s="493">
        <f>L168*地域経済性分析・初期条件!$J$19</f>
        <v>0</v>
      </c>
      <c r="M175" s="493">
        <f>M168*地域経済性分析・初期条件!$J$19</f>
        <v>0</v>
      </c>
      <c r="N175" s="493">
        <f>N168*地域経済性分析・初期条件!$J$19</f>
        <v>0</v>
      </c>
      <c r="O175" s="493">
        <f>O168*地域経済性分析・初期条件!$J$19</f>
        <v>0</v>
      </c>
      <c r="P175" s="493">
        <f>P168*地域経済性分析・初期条件!$J$19</f>
        <v>0</v>
      </c>
      <c r="Q175" s="493">
        <f>Q168*地域経済性分析・初期条件!$J$19</f>
        <v>0</v>
      </c>
      <c r="R175" s="493">
        <f>R168*地域経済性分析・初期条件!$J$19</f>
        <v>0</v>
      </c>
      <c r="S175" s="493">
        <f>S168*地域経済性分析・初期条件!$J$19</f>
        <v>0</v>
      </c>
      <c r="T175" s="493">
        <f>T168*地域経済性分析・初期条件!$J$19</f>
        <v>0</v>
      </c>
      <c r="U175" s="493">
        <f>U168*地域経済性分析・初期条件!$J$19</f>
        <v>0</v>
      </c>
      <c r="V175" s="493">
        <f>V168*地域経済性分析・初期条件!$J$19</f>
        <v>0</v>
      </c>
      <c r="W175" s="493">
        <f>W168*地域経済性分析・初期条件!$J$19</f>
        <v>0</v>
      </c>
      <c r="X175" s="493">
        <f>X168*地域経済性分析・初期条件!$J$19</f>
        <v>0</v>
      </c>
      <c r="Y175" s="493">
        <f>Y168*地域経済性分析・初期条件!$J$19</f>
        <v>0</v>
      </c>
      <c r="Z175" s="493">
        <f>Z168*地域経済性分析・初期条件!$J$19</f>
        <v>0</v>
      </c>
      <c r="AA175" s="493">
        <f>AA168*地域経済性分析・初期条件!$J$19</f>
        <v>0</v>
      </c>
      <c r="AB175" s="493">
        <f>AB168*地域経済性分析・初期条件!$J$19</f>
        <v>0</v>
      </c>
      <c r="AC175" s="493">
        <f>AC168*地域経済性分析・初期条件!$J$19</f>
        <v>0</v>
      </c>
      <c r="AD175" s="493">
        <f>AD168*地域経済性分析・初期条件!$J$19</f>
        <v>0</v>
      </c>
      <c r="AE175" s="493">
        <f>AE168*地域経済性分析・初期条件!$J$19</f>
        <v>0</v>
      </c>
      <c r="AF175" s="493">
        <f>AF168*地域経済性分析・初期条件!$J$19</f>
        <v>0</v>
      </c>
      <c r="AG175" s="493">
        <f>AG168*地域経済性分析・初期条件!$J$19</f>
        <v>0</v>
      </c>
      <c r="AH175" s="493">
        <f>AH168*地域経済性分析・初期条件!$J$19</f>
        <v>0</v>
      </c>
      <c r="AI175" s="535">
        <f t="shared" si="140"/>
        <v>0</v>
      </c>
      <c r="AJ175" s="535">
        <f t="shared" si="141"/>
        <v>0</v>
      </c>
      <c r="AK175" s="497">
        <f t="shared" si="142"/>
        <v>0</v>
      </c>
    </row>
    <row r="176" spans="1:37" ht="11.5" x14ac:dyDescent="0.25">
      <c r="A176" s="533" t="str">
        <f>A167&amp;B176</f>
        <v>0市町村税収（一次）</v>
      </c>
      <c r="B176" s="439" t="s">
        <v>332</v>
      </c>
      <c r="C176" s="452" t="s">
        <v>37</v>
      </c>
      <c r="D176" s="493">
        <f>D168*地域経済性分析・初期条件!$K$19</f>
        <v>0</v>
      </c>
      <c r="E176" s="493">
        <f>E168*地域経済性分析・初期条件!$K$19</f>
        <v>0</v>
      </c>
      <c r="F176" s="493">
        <f>F168*地域経済性分析・初期条件!$K$19</f>
        <v>0</v>
      </c>
      <c r="G176" s="493">
        <f>G168*地域経済性分析・初期条件!$K$19</f>
        <v>0</v>
      </c>
      <c r="H176" s="493">
        <f>H168*地域経済性分析・初期条件!$K$19</f>
        <v>0</v>
      </c>
      <c r="I176" s="493">
        <f>I168*地域経済性分析・初期条件!$K$19</f>
        <v>0</v>
      </c>
      <c r="J176" s="493">
        <f>J168*地域経済性分析・初期条件!$K$19</f>
        <v>0</v>
      </c>
      <c r="K176" s="493">
        <f>K168*地域経済性分析・初期条件!$K$19</f>
        <v>0</v>
      </c>
      <c r="L176" s="493">
        <f>L168*地域経済性分析・初期条件!$K$19</f>
        <v>0</v>
      </c>
      <c r="M176" s="493">
        <f>M168*地域経済性分析・初期条件!$K$19</f>
        <v>0</v>
      </c>
      <c r="N176" s="493">
        <f>N168*地域経済性分析・初期条件!$K$19</f>
        <v>0</v>
      </c>
      <c r="O176" s="493">
        <f>O168*地域経済性分析・初期条件!$K$19</f>
        <v>0</v>
      </c>
      <c r="P176" s="493">
        <f>P168*地域経済性分析・初期条件!$K$19</f>
        <v>0</v>
      </c>
      <c r="Q176" s="493">
        <f>Q168*地域経済性分析・初期条件!$K$19</f>
        <v>0</v>
      </c>
      <c r="R176" s="493">
        <f>R168*地域経済性分析・初期条件!$K$19</f>
        <v>0</v>
      </c>
      <c r="S176" s="493">
        <f>S168*地域経済性分析・初期条件!$K$19</f>
        <v>0</v>
      </c>
      <c r="T176" s="493">
        <f>T168*地域経済性分析・初期条件!$K$19</f>
        <v>0</v>
      </c>
      <c r="U176" s="493">
        <f>U168*地域経済性分析・初期条件!$K$19</f>
        <v>0</v>
      </c>
      <c r="V176" s="493">
        <f>V168*地域経済性分析・初期条件!$K$19</f>
        <v>0</v>
      </c>
      <c r="W176" s="493">
        <f>W168*地域経済性分析・初期条件!$K$19</f>
        <v>0</v>
      </c>
      <c r="X176" s="493">
        <f>X168*地域経済性分析・初期条件!$K$19</f>
        <v>0</v>
      </c>
      <c r="Y176" s="493">
        <f>Y168*地域経済性分析・初期条件!$K$19</f>
        <v>0</v>
      </c>
      <c r="Z176" s="493">
        <f>Z168*地域経済性分析・初期条件!$K$19</f>
        <v>0</v>
      </c>
      <c r="AA176" s="493">
        <f>AA168*地域経済性分析・初期条件!$K$19</f>
        <v>0</v>
      </c>
      <c r="AB176" s="493">
        <f>AB168*地域経済性分析・初期条件!$K$19</f>
        <v>0</v>
      </c>
      <c r="AC176" s="493">
        <f>AC168*地域経済性分析・初期条件!$K$19</f>
        <v>0</v>
      </c>
      <c r="AD176" s="493">
        <f>AD168*地域経済性分析・初期条件!$K$19</f>
        <v>0</v>
      </c>
      <c r="AE176" s="493">
        <f>AE168*地域経済性分析・初期条件!$K$19</f>
        <v>0</v>
      </c>
      <c r="AF176" s="493">
        <f>AF168*地域経済性分析・初期条件!$K$19</f>
        <v>0</v>
      </c>
      <c r="AG176" s="493">
        <f>AG168*地域経済性分析・初期条件!$K$19</f>
        <v>0</v>
      </c>
      <c r="AH176" s="493">
        <f>AH168*地域経済性分析・初期条件!$K$19</f>
        <v>0</v>
      </c>
      <c r="AI176" s="535">
        <f t="shared" si="140"/>
        <v>0</v>
      </c>
      <c r="AJ176" s="535">
        <f t="shared" si="141"/>
        <v>0</v>
      </c>
      <c r="AK176" s="497">
        <f t="shared" si="142"/>
        <v>0</v>
      </c>
    </row>
    <row r="177" spans="1:37" ht="11.5" x14ac:dyDescent="0.25">
      <c r="A177" s="533" t="str">
        <f>A167&amp;B177</f>
        <v>0従業員の可処分所得（二次以降）</v>
      </c>
      <c r="B177" s="439" t="s">
        <v>334</v>
      </c>
      <c r="C177" s="452" t="s">
        <v>333</v>
      </c>
      <c r="D177" s="493">
        <f>D168*地域経済性分析・初期条件!$L$19</f>
        <v>0</v>
      </c>
      <c r="E177" s="493">
        <f>E168*地域経済性分析・初期条件!$L$19</f>
        <v>0</v>
      </c>
      <c r="F177" s="493">
        <f>F168*地域経済性分析・初期条件!$L$19</f>
        <v>0</v>
      </c>
      <c r="G177" s="493">
        <f>G168*地域経済性分析・初期条件!$L$19</f>
        <v>0</v>
      </c>
      <c r="H177" s="493">
        <f>H168*地域経済性分析・初期条件!$L$19</f>
        <v>0</v>
      </c>
      <c r="I177" s="493">
        <f>I168*地域経済性分析・初期条件!$L$19</f>
        <v>0</v>
      </c>
      <c r="J177" s="493">
        <f>J168*地域経済性分析・初期条件!$L$19</f>
        <v>0</v>
      </c>
      <c r="K177" s="493">
        <f>K168*地域経済性分析・初期条件!$L$19</f>
        <v>0</v>
      </c>
      <c r="L177" s="493">
        <f>L168*地域経済性分析・初期条件!$L$19</f>
        <v>0</v>
      </c>
      <c r="M177" s="493">
        <f>M168*地域経済性分析・初期条件!$L$19</f>
        <v>0</v>
      </c>
      <c r="N177" s="493">
        <f>N168*地域経済性分析・初期条件!$L$19</f>
        <v>0</v>
      </c>
      <c r="O177" s="493">
        <f>O168*地域経済性分析・初期条件!$L$19</f>
        <v>0</v>
      </c>
      <c r="P177" s="493">
        <f>P168*地域経済性分析・初期条件!$L$19</f>
        <v>0</v>
      </c>
      <c r="Q177" s="493">
        <f>Q168*地域経済性分析・初期条件!$L$19</f>
        <v>0</v>
      </c>
      <c r="R177" s="493">
        <f>R168*地域経済性分析・初期条件!$L$19</f>
        <v>0</v>
      </c>
      <c r="S177" s="493">
        <f>S168*地域経済性分析・初期条件!$L$19</f>
        <v>0</v>
      </c>
      <c r="T177" s="493">
        <f>T168*地域経済性分析・初期条件!$L$19</f>
        <v>0</v>
      </c>
      <c r="U177" s="493">
        <f>U168*地域経済性分析・初期条件!$L$19</f>
        <v>0</v>
      </c>
      <c r="V177" s="493">
        <f>V168*地域経済性分析・初期条件!$L$19</f>
        <v>0</v>
      </c>
      <c r="W177" s="493">
        <f>W168*地域経済性分析・初期条件!$L$19</f>
        <v>0</v>
      </c>
      <c r="X177" s="493">
        <f>X168*地域経済性分析・初期条件!$L$19</f>
        <v>0</v>
      </c>
      <c r="Y177" s="493">
        <f>Y168*地域経済性分析・初期条件!$L$19</f>
        <v>0</v>
      </c>
      <c r="Z177" s="493">
        <f>Z168*地域経済性分析・初期条件!$L$19</f>
        <v>0</v>
      </c>
      <c r="AA177" s="493">
        <f>AA168*地域経済性分析・初期条件!$L$19</f>
        <v>0</v>
      </c>
      <c r="AB177" s="493">
        <f>AB168*地域経済性分析・初期条件!$L$19</f>
        <v>0</v>
      </c>
      <c r="AC177" s="493">
        <f>AC168*地域経済性分析・初期条件!$L$19</f>
        <v>0</v>
      </c>
      <c r="AD177" s="493">
        <f>AD168*地域経済性分析・初期条件!$L$19</f>
        <v>0</v>
      </c>
      <c r="AE177" s="493">
        <f>AE168*地域経済性分析・初期条件!$L$19</f>
        <v>0</v>
      </c>
      <c r="AF177" s="493">
        <f>AF168*地域経済性分析・初期条件!$L$19</f>
        <v>0</v>
      </c>
      <c r="AG177" s="493">
        <f>AG168*地域経済性分析・初期条件!$L$19</f>
        <v>0</v>
      </c>
      <c r="AH177" s="493">
        <f>AH168*地域経済性分析・初期条件!$L$19</f>
        <v>0</v>
      </c>
      <c r="AI177" s="535">
        <f>SUM(D177:N177)</f>
        <v>0</v>
      </c>
      <c r="AJ177" s="535">
        <f>SUM(D177:X177)</f>
        <v>0</v>
      </c>
      <c r="AK177" s="497">
        <f>SUM(D177:AH177)</f>
        <v>0</v>
      </c>
    </row>
    <row r="178" spans="1:37" ht="11.5" x14ac:dyDescent="0.25">
      <c r="A178" s="533" t="str">
        <f>A167&amp;B178</f>
        <v>0企業の税引後利益（二次以降）</v>
      </c>
      <c r="B178" s="439" t="s">
        <v>335</v>
      </c>
      <c r="C178" s="452" t="s">
        <v>333</v>
      </c>
      <c r="D178" s="493">
        <f>D168*地域経済性分析・初期条件!$M$19</f>
        <v>0</v>
      </c>
      <c r="E178" s="493">
        <f>E168*地域経済性分析・初期条件!$M$19</f>
        <v>0</v>
      </c>
      <c r="F178" s="493">
        <f>F168*地域経済性分析・初期条件!$M$19</f>
        <v>0</v>
      </c>
      <c r="G178" s="493">
        <f>G168*地域経済性分析・初期条件!$M$19</f>
        <v>0</v>
      </c>
      <c r="H178" s="493">
        <f>H168*地域経済性分析・初期条件!$M$19</f>
        <v>0</v>
      </c>
      <c r="I178" s="493">
        <f>I168*地域経済性分析・初期条件!$M$19</f>
        <v>0</v>
      </c>
      <c r="J178" s="493">
        <f>J168*地域経済性分析・初期条件!$M$19</f>
        <v>0</v>
      </c>
      <c r="K178" s="493">
        <f>K168*地域経済性分析・初期条件!$M$19</f>
        <v>0</v>
      </c>
      <c r="L178" s="493">
        <f>L168*地域経済性分析・初期条件!$M$19</f>
        <v>0</v>
      </c>
      <c r="M178" s="493">
        <f>M168*地域経済性分析・初期条件!$M$19</f>
        <v>0</v>
      </c>
      <c r="N178" s="493">
        <f>N168*地域経済性分析・初期条件!$M$19</f>
        <v>0</v>
      </c>
      <c r="O178" s="493">
        <f>O168*地域経済性分析・初期条件!$M$19</f>
        <v>0</v>
      </c>
      <c r="P178" s="493">
        <f>P168*地域経済性分析・初期条件!$M$19</f>
        <v>0</v>
      </c>
      <c r="Q178" s="493">
        <f>Q168*地域経済性分析・初期条件!$M$19</f>
        <v>0</v>
      </c>
      <c r="R178" s="493">
        <f>R168*地域経済性分析・初期条件!$M$19</f>
        <v>0</v>
      </c>
      <c r="S178" s="493">
        <f>S168*地域経済性分析・初期条件!$M$19</f>
        <v>0</v>
      </c>
      <c r="T178" s="493">
        <f>T168*地域経済性分析・初期条件!$M$19</f>
        <v>0</v>
      </c>
      <c r="U178" s="493">
        <f>U168*地域経済性分析・初期条件!$M$19</f>
        <v>0</v>
      </c>
      <c r="V178" s="493">
        <f>V168*地域経済性分析・初期条件!$M$19</f>
        <v>0</v>
      </c>
      <c r="W178" s="493">
        <f>W168*地域経済性分析・初期条件!$M$19</f>
        <v>0</v>
      </c>
      <c r="X178" s="493">
        <f>X168*地域経済性分析・初期条件!$M$19</f>
        <v>0</v>
      </c>
      <c r="Y178" s="493">
        <f>Y168*地域経済性分析・初期条件!$M$19</f>
        <v>0</v>
      </c>
      <c r="Z178" s="493">
        <f>Z168*地域経済性分析・初期条件!$M$19</f>
        <v>0</v>
      </c>
      <c r="AA178" s="493">
        <f>AA168*地域経済性分析・初期条件!$M$19</f>
        <v>0</v>
      </c>
      <c r="AB178" s="493">
        <f>AB168*地域経済性分析・初期条件!$M$19</f>
        <v>0</v>
      </c>
      <c r="AC178" s="493">
        <f>AC168*地域経済性分析・初期条件!$M$19</f>
        <v>0</v>
      </c>
      <c r="AD178" s="493">
        <f>AD168*地域経済性分析・初期条件!$M$19</f>
        <v>0</v>
      </c>
      <c r="AE178" s="493">
        <f>AE168*地域経済性分析・初期条件!$M$19</f>
        <v>0</v>
      </c>
      <c r="AF178" s="493">
        <f>AF168*地域経済性分析・初期条件!$M$19</f>
        <v>0</v>
      </c>
      <c r="AG178" s="493">
        <f>AG168*地域経済性分析・初期条件!$M$19</f>
        <v>0</v>
      </c>
      <c r="AH178" s="493">
        <f>AH168*地域経済性分析・初期条件!$M$19</f>
        <v>0</v>
      </c>
      <c r="AI178" s="535">
        <f>SUM(D178:N178)</f>
        <v>0</v>
      </c>
      <c r="AJ178" s="535">
        <f>SUM(D178:X178)</f>
        <v>0</v>
      </c>
      <c r="AK178" s="497">
        <f>SUM(D178:AH178)</f>
        <v>0</v>
      </c>
    </row>
    <row r="179" spans="1:37" ht="11.5" x14ac:dyDescent="0.25">
      <c r="A179" s="533" t="str">
        <f>A167&amp;B179</f>
        <v>0都道府県税収（二次以降）</v>
      </c>
      <c r="B179" s="439" t="s">
        <v>336</v>
      </c>
      <c r="C179" s="452" t="s">
        <v>333</v>
      </c>
      <c r="D179" s="493">
        <f>D168*地域経済性分析・初期条件!$N$19</f>
        <v>0</v>
      </c>
      <c r="E179" s="493">
        <f>E168*地域経済性分析・初期条件!$N$19</f>
        <v>0</v>
      </c>
      <c r="F179" s="493">
        <f>F168*地域経済性分析・初期条件!$N$19</f>
        <v>0</v>
      </c>
      <c r="G179" s="493">
        <f>G168*地域経済性分析・初期条件!$N$19</f>
        <v>0</v>
      </c>
      <c r="H179" s="493">
        <f>H168*地域経済性分析・初期条件!$N$19</f>
        <v>0</v>
      </c>
      <c r="I179" s="493">
        <f>I168*地域経済性分析・初期条件!$N$19</f>
        <v>0</v>
      </c>
      <c r="J179" s="493">
        <f>J168*地域経済性分析・初期条件!$N$19</f>
        <v>0</v>
      </c>
      <c r="K179" s="493">
        <f>K168*地域経済性分析・初期条件!$N$19</f>
        <v>0</v>
      </c>
      <c r="L179" s="493">
        <f>L168*地域経済性分析・初期条件!$N$19</f>
        <v>0</v>
      </c>
      <c r="M179" s="493">
        <f>M168*地域経済性分析・初期条件!$N$19</f>
        <v>0</v>
      </c>
      <c r="N179" s="493">
        <f>N168*地域経済性分析・初期条件!$N$19</f>
        <v>0</v>
      </c>
      <c r="O179" s="493">
        <f>O168*地域経済性分析・初期条件!$N$19</f>
        <v>0</v>
      </c>
      <c r="P179" s="493">
        <f>P168*地域経済性分析・初期条件!$N$19</f>
        <v>0</v>
      </c>
      <c r="Q179" s="493">
        <f>Q168*地域経済性分析・初期条件!$N$19</f>
        <v>0</v>
      </c>
      <c r="R179" s="493">
        <f>R168*地域経済性分析・初期条件!$N$19</f>
        <v>0</v>
      </c>
      <c r="S179" s="493">
        <f>S168*地域経済性分析・初期条件!$N$19</f>
        <v>0</v>
      </c>
      <c r="T179" s="493">
        <f>T168*地域経済性分析・初期条件!$N$19</f>
        <v>0</v>
      </c>
      <c r="U179" s="493">
        <f>U168*地域経済性分析・初期条件!$N$19</f>
        <v>0</v>
      </c>
      <c r="V179" s="493">
        <f>V168*地域経済性分析・初期条件!$N$19</f>
        <v>0</v>
      </c>
      <c r="W179" s="493">
        <f>W168*地域経済性分析・初期条件!$N$19</f>
        <v>0</v>
      </c>
      <c r="X179" s="493">
        <f>X168*地域経済性分析・初期条件!$N$19</f>
        <v>0</v>
      </c>
      <c r="Y179" s="493">
        <f>Y168*地域経済性分析・初期条件!$N$19</f>
        <v>0</v>
      </c>
      <c r="Z179" s="493">
        <f>Z168*地域経済性分析・初期条件!$N$19</f>
        <v>0</v>
      </c>
      <c r="AA179" s="493">
        <f>AA168*地域経済性分析・初期条件!$N$19</f>
        <v>0</v>
      </c>
      <c r="AB179" s="493">
        <f>AB168*地域経済性分析・初期条件!$N$19</f>
        <v>0</v>
      </c>
      <c r="AC179" s="493">
        <f>AC168*地域経済性分析・初期条件!$N$19</f>
        <v>0</v>
      </c>
      <c r="AD179" s="493">
        <f>AD168*地域経済性分析・初期条件!$N$19</f>
        <v>0</v>
      </c>
      <c r="AE179" s="493">
        <f>AE168*地域経済性分析・初期条件!$N$19</f>
        <v>0</v>
      </c>
      <c r="AF179" s="493">
        <f>AF168*地域経済性分析・初期条件!$N$19</f>
        <v>0</v>
      </c>
      <c r="AG179" s="493">
        <f>AG168*地域経済性分析・初期条件!$N$19</f>
        <v>0</v>
      </c>
      <c r="AH179" s="493">
        <f>AH168*地域経済性分析・初期条件!$N$19</f>
        <v>0</v>
      </c>
      <c r="AI179" s="535">
        <f>SUM(D179:N179)</f>
        <v>0</v>
      </c>
      <c r="AJ179" s="535">
        <f>SUM(D179:X179)</f>
        <v>0</v>
      </c>
      <c r="AK179" s="497">
        <f>SUM(D179:AH179)</f>
        <v>0</v>
      </c>
    </row>
    <row r="180" spans="1:37" ht="12" thickBot="1" x14ac:dyDescent="0.3">
      <c r="A180" s="689" t="str">
        <f>A167&amp;B180</f>
        <v>0市町村税収（二次以降）</v>
      </c>
      <c r="B180" s="690" t="s">
        <v>337</v>
      </c>
      <c r="C180" s="691" t="s">
        <v>333</v>
      </c>
      <c r="D180" s="692">
        <f>D168*地域経済性分析・初期条件!$O$19</f>
        <v>0</v>
      </c>
      <c r="E180" s="692">
        <f>E168*地域経済性分析・初期条件!$O$19</f>
        <v>0</v>
      </c>
      <c r="F180" s="692">
        <f>F168*地域経済性分析・初期条件!$O$19</f>
        <v>0</v>
      </c>
      <c r="G180" s="692">
        <f>G168*地域経済性分析・初期条件!$O$19</f>
        <v>0</v>
      </c>
      <c r="H180" s="692">
        <f>H168*地域経済性分析・初期条件!$O$19</f>
        <v>0</v>
      </c>
      <c r="I180" s="692">
        <f>I168*地域経済性分析・初期条件!$O$19</f>
        <v>0</v>
      </c>
      <c r="J180" s="692">
        <f>J168*地域経済性分析・初期条件!$O$19</f>
        <v>0</v>
      </c>
      <c r="K180" s="692">
        <f>K168*地域経済性分析・初期条件!$O$19</f>
        <v>0</v>
      </c>
      <c r="L180" s="692">
        <f>L168*地域経済性分析・初期条件!$O$19</f>
        <v>0</v>
      </c>
      <c r="M180" s="692">
        <f>M168*地域経済性分析・初期条件!$O$19</f>
        <v>0</v>
      </c>
      <c r="N180" s="692">
        <f>N168*地域経済性分析・初期条件!$O$19</f>
        <v>0</v>
      </c>
      <c r="O180" s="692">
        <f>O168*地域経済性分析・初期条件!$O$19</f>
        <v>0</v>
      </c>
      <c r="P180" s="692">
        <f>P168*地域経済性分析・初期条件!$O$19</f>
        <v>0</v>
      </c>
      <c r="Q180" s="692">
        <f>Q168*地域経済性分析・初期条件!$O$19</f>
        <v>0</v>
      </c>
      <c r="R180" s="692">
        <f>R168*地域経済性分析・初期条件!$O$19</f>
        <v>0</v>
      </c>
      <c r="S180" s="692">
        <f>S168*地域経済性分析・初期条件!$O$19</f>
        <v>0</v>
      </c>
      <c r="T180" s="692">
        <f>T168*地域経済性分析・初期条件!$O$19</f>
        <v>0</v>
      </c>
      <c r="U180" s="692">
        <f>U168*地域経済性分析・初期条件!$O$19</f>
        <v>0</v>
      </c>
      <c r="V180" s="692">
        <f>V168*地域経済性分析・初期条件!$O$19</f>
        <v>0</v>
      </c>
      <c r="W180" s="692">
        <f>W168*地域経済性分析・初期条件!$O$19</f>
        <v>0</v>
      </c>
      <c r="X180" s="692">
        <f>X168*地域経済性分析・初期条件!$O$19</f>
        <v>0</v>
      </c>
      <c r="Y180" s="692">
        <f>Y168*地域経済性分析・初期条件!$O$19</f>
        <v>0</v>
      </c>
      <c r="Z180" s="692">
        <f>Z168*地域経済性分析・初期条件!$O$19</f>
        <v>0</v>
      </c>
      <c r="AA180" s="692">
        <f>AA168*地域経済性分析・初期条件!$O$19</f>
        <v>0</v>
      </c>
      <c r="AB180" s="692">
        <f>AB168*地域経済性分析・初期条件!$O$19</f>
        <v>0</v>
      </c>
      <c r="AC180" s="692">
        <f>AC168*地域経済性分析・初期条件!$O$19</f>
        <v>0</v>
      </c>
      <c r="AD180" s="692">
        <f>AD168*地域経済性分析・初期条件!$O$19</f>
        <v>0</v>
      </c>
      <c r="AE180" s="692">
        <f>AE168*地域経済性分析・初期条件!$O$19</f>
        <v>0</v>
      </c>
      <c r="AF180" s="692">
        <f>AF168*地域経済性分析・初期条件!$O$19</f>
        <v>0</v>
      </c>
      <c r="AG180" s="692">
        <f>AG168*地域経済性分析・初期条件!$O$19</f>
        <v>0</v>
      </c>
      <c r="AH180" s="692">
        <f>AH168*地域経済性分析・初期条件!$O$19</f>
        <v>0</v>
      </c>
      <c r="AI180" s="694">
        <f>SUM(D180:N180)</f>
        <v>0</v>
      </c>
      <c r="AJ180" s="694">
        <f>SUM(D180:X180)</f>
        <v>0</v>
      </c>
      <c r="AK180" s="695">
        <f>SUM(D180:AH180)</f>
        <v>0</v>
      </c>
    </row>
    <row r="181" spans="1:37" ht="12" thickTop="1" x14ac:dyDescent="0.25">
      <c r="A181" s="1409" t="s">
        <v>1089</v>
      </c>
      <c r="B181" s="439"/>
      <c r="C181" s="452" t="s">
        <v>1090</v>
      </c>
      <c r="D181" s="493">
        <f>SUM(D145:D152,D159:D166,,D173:D180)</f>
        <v>0</v>
      </c>
      <c r="E181" s="493">
        <f t="shared" ref="E181:AH181" si="146">SUM(E145:E152,E159:E166,,E173:E180)</f>
        <v>121048325.5055622</v>
      </c>
      <c r="F181" s="493">
        <f t="shared" si="146"/>
        <v>121048325.5055622</v>
      </c>
      <c r="G181" s="493">
        <f t="shared" si="146"/>
        <v>121048325.5055622</v>
      </c>
      <c r="H181" s="493">
        <f t="shared" si="146"/>
        <v>121048325.5055622</v>
      </c>
      <c r="I181" s="493">
        <f t="shared" si="146"/>
        <v>121048325.5055622</v>
      </c>
      <c r="J181" s="493">
        <f t="shared" si="146"/>
        <v>121048325.5055622</v>
      </c>
      <c r="K181" s="493">
        <f t="shared" si="146"/>
        <v>121048325.5055622</v>
      </c>
      <c r="L181" s="493">
        <f t="shared" si="146"/>
        <v>121048325.5055622</v>
      </c>
      <c r="M181" s="493">
        <f t="shared" si="146"/>
        <v>121048325.5055622</v>
      </c>
      <c r="N181" s="493">
        <f t="shared" si="146"/>
        <v>121048325.5055622</v>
      </c>
      <c r="O181" s="493">
        <f t="shared" si="146"/>
        <v>121048325.5055622</v>
      </c>
      <c r="P181" s="493">
        <f t="shared" si="146"/>
        <v>121048325.5055622</v>
      </c>
      <c r="Q181" s="493">
        <f t="shared" si="146"/>
        <v>121048325.5055622</v>
      </c>
      <c r="R181" s="493">
        <f t="shared" si="146"/>
        <v>121048325.5055622</v>
      </c>
      <c r="S181" s="493">
        <f t="shared" si="146"/>
        <v>121048325.5055622</v>
      </c>
      <c r="T181" s="493">
        <f t="shared" si="146"/>
        <v>121048325.5055622</v>
      </c>
      <c r="U181" s="493">
        <f t="shared" si="146"/>
        <v>121048325.5055622</v>
      </c>
      <c r="V181" s="493">
        <f t="shared" si="146"/>
        <v>121048325.5055622</v>
      </c>
      <c r="W181" s="493">
        <f t="shared" si="146"/>
        <v>121048325.5055622</v>
      </c>
      <c r="X181" s="493">
        <f t="shared" si="146"/>
        <v>121048325.5055622</v>
      </c>
      <c r="Y181" s="493">
        <f t="shared" si="146"/>
        <v>121048325.5055622</v>
      </c>
      <c r="Z181" s="493">
        <f t="shared" si="146"/>
        <v>121048325.5055622</v>
      </c>
      <c r="AA181" s="493">
        <f t="shared" si="146"/>
        <v>121048325.5055622</v>
      </c>
      <c r="AB181" s="493">
        <f t="shared" si="146"/>
        <v>121048325.5055622</v>
      </c>
      <c r="AC181" s="493">
        <f t="shared" si="146"/>
        <v>121048325.5055622</v>
      </c>
      <c r="AD181" s="493">
        <f t="shared" si="146"/>
        <v>121048325.5055622</v>
      </c>
      <c r="AE181" s="493">
        <f t="shared" si="146"/>
        <v>121048325.5055622</v>
      </c>
      <c r="AF181" s="493">
        <f t="shared" si="146"/>
        <v>121048325.5055622</v>
      </c>
      <c r="AG181" s="493">
        <f t="shared" si="146"/>
        <v>121048325.5055622</v>
      </c>
      <c r="AH181" s="493">
        <f t="shared" si="146"/>
        <v>121048325.5055622</v>
      </c>
      <c r="AI181" s="535">
        <f t="shared" ref="AI181" si="147">SUM(AI145:AI152,AI159:AI166,,AI173:AI180)</f>
        <v>1210483255.0556223</v>
      </c>
      <c r="AJ181" s="535">
        <f t="shared" ref="AJ181" si="148">SUM(AJ145:AJ152,AJ159:AJ166,,AJ173:AJ180)</f>
        <v>2420966510.1112432</v>
      </c>
      <c r="AK181" s="497">
        <f t="shared" ref="AK181" si="149">SUM(AK145:AK152,AK159:AK166,,AK173:AK180)</f>
        <v>3631449765.1668658</v>
      </c>
    </row>
    <row r="182" spans="1:37" ht="11.5" x14ac:dyDescent="0.25">
      <c r="A182" s="1410" t="s">
        <v>1091</v>
      </c>
      <c r="B182" s="1403"/>
      <c r="C182" s="1404" t="s">
        <v>37</v>
      </c>
      <c r="D182" s="1397">
        <f>IF(D138&lt;0,0,D138*1.1-D181)</f>
        <v>0</v>
      </c>
      <c r="E182" s="1397">
        <f t="shared" ref="E182:AH182" si="150">IF(E138&lt;0,0,E138*1.1-E181)</f>
        <v>423451674.49443781</v>
      </c>
      <c r="F182" s="1397">
        <f t="shared" si="150"/>
        <v>423451674.49443781</v>
      </c>
      <c r="G182" s="1397">
        <f t="shared" si="150"/>
        <v>423451674.49443781</v>
      </c>
      <c r="H182" s="1397">
        <f t="shared" si="150"/>
        <v>423451674.49443781</v>
      </c>
      <c r="I182" s="1397">
        <f t="shared" si="150"/>
        <v>423451674.49443781</v>
      </c>
      <c r="J182" s="1397">
        <f t="shared" si="150"/>
        <v>423451674.49443781</v>
      </c>
      <c r="K182" s="1397">
        <f t="shared" si="150"/>
        <v>423451674.49443781</v>
      </c>
      <c r="L182" s="1397">
        <f t="shared" si="150"/>
        <v>423451674.49443781</v>
      </c>
      <c r="M182" s="1397">
        <f t="shared" si="150"/>
        <v>423451674.49443781</v>
      </c>
      <c r="N182" s="1397">
        <f t="shared" si="150"/>
        <v>423451674.49443781</v>
      </c>
      <c r="O182" s="1397">
        <f t="shared" si="150"/>
        <v>423451674.49443781</v>
      </c>
      <c r="P182" s="1397">
        <f t="shared" si="150"/>
        <v>423451674.49443781</v>
      </c>
      <c r="Q182" s="1397">
        <f t="shared" si="150"/>
        <v>423451674.49443781</v>
      </c>
      <c r="R182" s="1397">
        <f t="shared" si="150"/>
        <v>423451674.49443781</v>
      </c>
      <c r="S182" s="1397">
        <f t="shared" si="150"/>
        <v>423451674.49443781</v>
      </c>
      <c r="T182" s="1397">
        <f t="shared" si="150"/>
        <v>423451674.49443781</v>
      </c>
      <c r="U182" s="1397">
        <f t="shared" si="150"/>
        <v>423451674.49443781</v>
      </c>
      <c r="V182" s="1397">
        <f t="shared" si="150"/>
        <v>423451674.49443781</v>
      </c>
      <c r="W182" s="1397">
        <f t="shared" si="150"/>
        <v>423451674.49443781</v>
      </c>
      <c r="X182" s="1397">
        <f t="shared" si="150"/>
        <v>423451674.49443781</v>
      </c>
      <c r="Y182" s="1397">
        <f t="shared" si="150"/>
        <v>423451674.49443781</v>
      </c>
      <c r="Z182" s="1397">
        <f t="shared" si="150"/>
        <v>423451674.49443781</v>
      </c>
      <c r="AA182" s="1397">
        <f t="shared" si="150"/>
        <v>423451674.49443781</v>
      </c>
      <c r="AB182" s="1397">
        <f t="shared" si="150"/>
        <v>423451674.49443781</v>
      </c>
      <c r="AC182" s="1397">
        <f t="shared" si="150"/>
        <v>423451674.49443781</v>
      </c>
      <c r="AD182" s="1397">
        <f t="shared" si="150"/>
        <v>423451674.49443781</v>
      </c>
      <c r="AE182" s="1397">
        <f t="shared" si="150"/>
        <v>423451674.49443781</v>
      </c>
      <c r="AF182" s="1397">
        <f t="shared" si="150"/>
        <v>423451674.49443781</v>
      </c>
      <c r="AG182" s="1397">
        <f t="shared" si="150"/>
        <v>423451674.49443781</v>
      </c>
      <c r="AH182" s="1397">
        <f t="shared" si="150"/>
        <v>423451674.49443781</v>
      </c>
      <c r="AI182" s="1405">
        <f t="shared" ref="AI182:AK182" si="151">AI138-AI181</f>
        <v>3739516744.9443779</v>
      </c>
      <c r="AJ182" s="1405">
        <f t="shared" si="151"/>
        <v>7479033489.8887568</v>
      </c>
      <c r="AK182" s="1406">
        <f t="shared" si="151"/>
        <v>11218550234.833134</v>
      </c>
    </row>
    <row r="183" spans="1:37" ht="11.5" x14ac:dyDescent="0.25">
      <c r="A183" s="439" t="str">
        <f>B32</f>
        <v>ユーティリティー費用</v>
      </c>
      <c r="B183" s="416"/>
      <c r="C183" s="451" t="s">
        <v>37</v>
      </c>
      <c r="D183" s="493"/>
      <c r="E183" s="493">
        <f t="shared" ref="E183:AH183" si="152">E32</f>
        <v>84281810.798385695</v>
      </c>
      <c r="F183" s="493">
        <f t="shared" si="152"/>
        <v>84281810.798385695</v>
      </c>
      <c r="G183" s="493">
        <f t="shared" si="152"/>
        <v>84281810.798385695</v>
      </c>
      <c r="H183" s="493">
        <f t="shared" si="152"/>
        <v>84281810.798385695</v>
      </c>
      <c r="I183" s="493">
        <f t="shared" si="152"/>
        <v>84281810.798385695</v>
      </c>
      <c r="J183" s="493">
        <f t="shared" si="152"/>
        <v>84281810.798385695</v>
      </c>
      <c r="K183" s="493">
        <f t="shared" si="152"/>
        <v>84281810.798385695</v>
      </c>
      <c r="L183" s="493">
        <f t="shared" si="152"/>
        <v>84281810.798385695</v>
      </c>
      <c r="M183" s="493">
        <f t="shared" si="152"/>
        <v>84281810.798385695</v>
      </c>
      <c r="N183" s="493">
        <f t="shared" si="152"/>
        <v>84281810.798385695</v>
      </c>
      <c r="O183" s="493">
        <f t="shared" si="152"/>
        <v>84281810.798385695</v>
      </c>
      <c r="P183" s="493">
        <f t="shared" si="152"/>
        <v>84281810.798385695</v>
      </c>
      <c r="Q183" s="493">
        <f t="shared" si="152"/>
        <v>84281810.798385695</v>
      </c>
      <c r="R183" s="493">
        <f t="shared" si="152"/>
        <v>84281810.798385695</v>
      </c>
      <c r="S183" s="493">
        <f t="shared" si="152"/>
        <v>84281810.798385695</v>
      </c>
      <c r="T183" s="493">
        <f t="shared" si="152"/>
        <v>84281810.798385695</v>
      </c>
      <c r="U183" s="493">
        <f t="shared" si="152"/>
        <v>84281810.798385695</v>
      </c>
      <c r="V183" s="493">
        <f t="shared" si="152"/>
        <v>84281810.798385695</v>
      </c>
      <c r="W183" s="493">
        <f t="shared" si="152"/>
        <v>84281810.798385695</v>
      </c>
      <c r="X183" s="493">
        <f t="shared" si="152"/>
        <v>84281810.798385695</v>
      </c>
      <c r="Y183" s="493">
        <f t="shared" si="152"/>
        <v>84281810.798385695</v>
      </c>
      <c r="Z183" s="493">
        <f t="shared" si="152"/>
        <v>84281810.798385695</v>
      </c>
      <c r="AA183" s="493">
        <f t="shared" si="152"/>
        <v>84281810.798385695</v>
      </c>
      <c r="AB183" s="493">
        <f t="shared" si="152"/>
        <v>84281810.798385695</v>
      </c>
      <c r="AC183" s="493">
        <f t="shared" si="152"/>
        <v>84281810.798385695</v>
      </c>
      <c r="AD183" s="493">
        <f t="shared" si="152"/>
        <v>84281810.798385695</v>
      </c>
      <c r="AE183" s="493">
        <f t="shared" si="152"/>
        <v>84281810.798385695</v>
      </c>
      <c r="AF183" s="493">
        <f t="shared" si="152"/>
        <v>84281810.798385695</v>
      </c>
      <c r="AG183" s="493">
        <f t="shared" si="152"/>
        <v>84281810.798385695</v>
      </c>
      <c r="AH183" s="493">
        <f t="shared" si="152"/>
        <v>84281810.798385695</v>
      </c>
      <c r="AI183" s="535">
        <f>SUM(D183:N183)</f>
        <v>842818107.98385704</v>
      </c>
      <c r="AJ183" s="535">
        <f>SUM(D183:X183)</f>
        <v>1685636215.9677136</v>
      </c>
      <c r="AK183" s="497">
        <f>SUM(D183:AH183)</f>
        <v>2528454323.95157</v>
      </c>
    </row>
    <row r="184" spans="1:37" ht="11.5" x14ac:dyDescent="0.25">
      <c r="A184" s="487" t="str">
        <f>地域経済性分析・初期条件!$G$21</f>
        <v>電気業</v>
      </c>
      <c r="C184" s="452"/>
      <c r="D184" s="493"/>
      <c r="E184" s="465"/>
      <c r="F184" s="466"/>
      <c r="G184" s="465"/>
      <c r="H184" s="465"/>
      <c r="I184" s="465"/>
      <c r="J184" s="465"/>
      <c r="K184" s="465"/>
      <c r="L184" s="465"/>
      <c r="M184" s="465"/>
      <c r="N184" s="465"/>
      <c r="O184" s="465"/>
      <c r="P184" s="465"/>
      <c r="Q184" s="465"/>
      <c r="R184" s="465"/>
      <c r="S184" s="465"/>
      <c r="T184" s="465"/>
      <c r="U184" s="465"/>
      <c r="V184" s="465"/>
      <c r="W184" s="465"/>
      <c r="X184" s="465"/>
      <c r="Y184" s="465"/>
      <c r="Z184" s="465"/>
      <c r="AA184" s="465"/>
      <c r="AB184" s="465"/>
      <c r="AC184" s="465"/>
      <c r="AD184" s="465"/>
      <c r="AE184" s="465"/>
      <c r="AF184" s="465"/>
      <c r="AG184" s="465"/>
      <c r="AH184" s="465"/>
      <c r="AI184" s="535"/>
      <c r="AJ184" s="535"/>
      <c r="AK184" s="497"/>
    </row>
    <row r="185" spans="1:37" ht="11.5" x14ac:dyDescent="0.25">
      <c r="A185" s="533" t="str">
        <f>A184&amp;B185</f>
        <v>電気業売上（税別）</v>
      </c>
      <c r="B185" s="439" t="s">
        <v>1092</v>
      </c>
      <c r="C185" s="451" t="s">
        <v>37</v>
      </c>
      <c r="D185" s="493">
        <f>D183*地域経済性分析・初期条件!$F$21</f>
        <v>0</v>
      </c>
      <c r="E185" s="493">
        <f>E183*地域経済性分析・初期条件!$F$21</f>
        <v>21070452.699596424</v>
      </c>
      <c r="F185" s="493">
        <f>F183*地域経済性分析・初期条件!$F$21</f>
        <v>21070452.699596424</v>
      </c>
      <c r="G185" s="493">
        <f>G183*地域経済性分析・初期条件!$F$21</f>
        <v>21070452.699596424</v>
      </c>
      <c r="H185" s="493">
        <f>H183*地域経済性分析・初期条件!$F$21</f>
        <v>21070452.699596424</v>
      </c>
      <c r="I185" s="493">
        <f>I183*地域経済性分析・初期条件!$F$21</f>
        <v>21070452.699596424</v>
      </c>
      <c r="J185" s="493">
        <f>J183*地域経済性分析・初期条件!$F$21</f>
        <v>21070452.699596424</v>
      </c>
      <c r="K185" s="493">
        <f>K183*地域経済性分析・初期条件!$F$21</f>
        <v>21070452.699596424</v>
      </c>
      <c r="L185" s="493">
        <f>L183*地域経済性分析・初期条件!$F$21</f>
        <v>21070452.699596424</v>
      </c>
      <c r="M185" s="493">
        <f>M183*地域経済性分析・初期条件!$F$21</f>
        <v>21070452.699596424</v>
      </c>
      <c r="N185" s="493">
        <f>N183*地域経済性分析・初期条件!$F$21</f>
        <v>21070452.699596424</v>
      </c>
      <c r="O185" s="493">
        <f>O183*地域経済性分析・初期条件!$F$21</f>
        <v>21070452.699596424</v>
      </c>
      <c r="P185" s="493">
        <f>P183*地域経済性分析・初期条件!$F$21</f>
        <v>21070452.699596424</v>
      </c>
      <c r="Q185" s="493">
        <f>Q183*地域経済性分析・初期条件!$F$21</f>
        <v>21070452.699596424</v>
      </c>
      <c r="R185" s="493">
        <f>R183*地域経済性分析・初期条件!$F$21</f>
        <v>21070452.699596424</v>
      </c>
      <c r="S185" s="493">
        <f>S183*地域経済性分析・初期条件!$F$21</f>
        <v>21070452.699596424</v>
      </c>
      <c r="T185" s="493">
        <f>T183*地域経済性分析・初期条件!$F$21</f>
        <v>21070452.699596424</v>
      </c>
      <c r="U185" s="493">
        <f>U183*地域経済性分析・初期条件!$F$21</f>
        <v>21070452.699596424</v>
      </c>
      <c r="V185" s="493">
        <f>V183*地域経済性分析・初期条件!$F$21</f>
        <v>21070452.699596424</v>
      </c>
      <c r="W185" s="493">
        <f>W183*地域経済性分析・初期条件!$F$21</f>
        <v>21070452.699596424</v>
      </c>
      <c r="X185" s="493">
        <f>X183*地域経済性分析・初期条件!$F$21</f>
        <v>21070452.699596424</v>
      </c>
      <c r="Y185" s="493">
        <f>Y183*地域経済性分析・初期条件!$F$21</f>
        <v>21070452.699596424</v>
      </c>
      <c r="Z185" s="493">
        <f>Z183*地域経済性分析・初期条件!$F$21</f>
        <v>21070452.699596424</v>
      </c>
      <c r="AA185" s="493">
        <f>AA183*地域経済性分析・初期条件!$F$21</f>
        <v>21070452.699596424</v>
      </c>
      <c r="AB185" s="493">
        <f>AB183*地域経済性分析・初期条件!$F$21</f>
        <v>21070452.699596424</v>
      </c>
      <c r="AC185" s="493">
        <f>AC183*地域経済性分析・初期条件!$F$21</f>
        <v>21070452.699596424</v>
      </c>
      <c r="AD185" s="493">
        <f>AD183*地域経済性分析・初期条件!$F$21</f>
        <v>21070452.699596424</v>
      </c>
      <c r="AE185" s="493">
        <f>AE183*地域経済性分析・初期条件!$F$21</f>
        <v>21070452.699596424</v>
      </c>
      <c r="AF185" s="493">
        <f>AF183*地域経済性分析・初期条件!$F$21</f>
        <v>21070452.699596424</v>
      </c>
      <c r="AG185" s="493">
        <f>AG183*地域経済性分析・初期条件!$F$21</f>
        <v>21070452.699596424</v>
      </c>
      <c r="AH185" s="493">
        <f>AH183*地域経済性分析・初期条件!$F$21</f>
        <v>21070452.699596424</v>
      </c>
      <c r="AI185" s="535">
        <f t="shared" ref="AI185:AI197" si="153">SUM(D185:N185)</f>
        <v>210704526.99596426</v>
      </c>
      <c r="AJ185" s="535">
        <f t="shared" ref="AJ185:AJ197" si="154">SUM(D185:X185)</f>
        <v>421409053.9919284</v>
      </c>
      <c r="AK185" s="497">
        <f t="shared" ref="AK185:AK197" si="155">SUM(D185:AH185)</f>
        <v>632113580.98789251</v>
      </c>
    </row>
    <row r="186" spans="1:37" ht="11.5" x14ac:dyDescent="0.25">
      <c r="A186" s="533"/>
      <c r="B186" s="439" t="s">
        <v>1136</v>
      </c>
      <c r="C186" s="451" t="s">
        <v>37</v>
      </c>
      <c r="D186" s="493">
        <f>D185*波及効果シート!$D$72</f>
        <v>0</v>
      </c>
      <c r="E186" s="493">
        <f>E185*波及効果シート!$D$72</f>
        <v>231774.97969556064</v>
      </c>
      <c r="F186" s="493">
        <f>F185*波及効果シート!$D$72</f>
        <v>231774.97969556064</v>
      </c>
      <c r="G186" s="493">
        <f>G185*波及効果シート!$D$72</f>
        <v>231774.97969556064</v>
      </c>
      <c r="H186" s="493">
        <f>H185*波及効果シート!$D$72</f>
        <v>231774.97969556064</v>
      </c>
      <c r="I186" s="493">
        <f>I185*波及効果シート!$D$72</f>
        <v>231774.97969556064</v>
      </c>
      <c r="J186" s="493">
        <f>J185*波及効果シート!$D$72</f>
        <v>231774.97969556064</v>
      </c>
      <c r="K186" s="493">
        <f>K185*波及効果シート!$D$72</f>
        <v>231774.97969556064</v>
      </c>
      <c r="L186" s="493">
        <f>L185*波及効果シート!$D$72</f>
        <v>231774.97969556064</v>
      </c>
      <c r="M186" s="493">
        <f>M185*波及効果シート!$D$72</f>
        <v>231774.97969556064</v>
      </c>
      <c r="N186" s="493">
        <f>N185*波及効果シート!$D$72</f>
        <v>231774.97969556064</v>
      </c>
      <c r="O186" s="493">
        <f>O185*波及効果シート!$D$72</f>
        <v>231774.97969556064</v>
      </c>
      <c r="P186" s="493">
        <f>P185*波及効果シート!$D$72</f>
        <v>231774.97969556064</v>
      </c>
      <c r="Q186" s="493">
        <f>Q185*波及効果シート!$D$72</f>
        <v>231774.97969556064</v>
      </c>
      <c r="R186" s="493">
        <f>R185*波及効果シート!$D$72</f>
        <v>231774.97969556064</v>
      </c>
      <c r="S186" s="493">
        <f>S185*波及効果シート!$D$72</f>
        <v>231774.97969556064</v>
      </c>
      <c r="T186" s="493">
        <f>T185*波及効果シート!$D$72</f>
        <v>231774.97969556064</v>
      </c>
      <c r="U186" s="493">
        <f>U185*波及効果シート!$D$72</f>
        <v>231774.97969556064</v>
      </c>
      <c r="V186" s="493">
        <f>V185*波及効果シート!$D$72</f>
        <v>231774.97969556064</v>
      </c>
      <c r="W186" s="493">
        <f>W185*波及効果シート!$D$72</f>
        <v>231774.97969556064</v>
      </c>
      <c r="X186" s="493">
        <f>X185*波及効果シート!$D$72</f>
        <v>231774.97969556064</v>
      </c>
      <c r="Y186" s="493">
        <f>Y185*波及効果シート!$D$72</f>
        <v>231774.97969556064</v>
      </c>
      <c r="Z186" s="493">
        <f>Z185*波及効果シート!$D$72</f>
        <v>231774.97969556064</v>
      </c>
      <c r="AA186" s="493">
        <f>AA185*波及効果シート!$D$72</f>
        <v>231774.97969556064</v>
      </c>
      <c r="AB186" s="493">
        <f>AB185*波及効果シート!$D$72</f>
        <v>231774.97969556064</v>
      </c>
      <c r="AC186" s="493">
        <f>AC185*波及効果シート!$D$72</f>
        <v>231774.97969556064</v>
      </c>
      <c r="AD186" s="493">
        <f>AD185*波及効果シート!$D$72</f>
        <v>231774.97969556064</v>
      </c>
      <c r="AE186" s="493">
        <f>AE185*波及効果シート!$D$72</f>
        <v>231774.97969556064</v>
      </c>
      <c r="AF186" s="493">
        <f>AF185*波及効果シート!$D$72</f>
        <v>231774.97969556064</v>
      </c>
      <c r="AG186" s="493">
        <f>AG185*波及効果シート!$D$72</f>
        <v>231774.97969556064</v>
      </c>
      <c r="AH186" s="493">
        <f>AH185*波及効果シート!$D$72</f>
        <v>231774.97969556064</v>
      </c>
      <c r="AI186" s="535">
        <f t="shared" ref="AI186:AI187" si="156">SUM(D186:N186)</f>
        <v>2317749.7969556064</v>
      </c>
      <c r="AJ186" s="535">
        <f t="shared" ref="AJ186:AJ187" si="157">SUM(D186:X186)</f>
        <v>4635499.593911211</v>
      </c>
      <c r="AK186" s="497">
        <f t="shared" ref="AK186:AK187" si="158">SUM(D186:AH186)</f>
        <v>6953249.3908668151</v>
      </c>
    </row>
    <row r="187" spans="1:37" ht="11.5" x14ac:dyDescent="0.25">
      <c r="A187" s="533"/>
      <c r="B187" s="439" t="s">
        <v>1137</v>
      </c>
      <c r="C187" s="452" t="s">
        <v>37</v>
      </c>
      <c r="D187" s="493">
        <f>D185*波及効果シート!$D$74</f>
        <v>0</v>
      </c>
      <c r="E187" s="493">
        <f>E185*波及効果シート!$D$74</f>
        <v>231774.97969556064</v>
      </c>
      <c r="F187" s="493">
        <f>F185*波及効果シート!$D$74</f>
        <v>231774.97969556064</v>
      </c>
      <c r="G187" s="493">
        <f>G185*波及効果シート!$D$74</f>
        <v>231774.97969556064</v>
      </c>
      <c r="H187" s="493">
        <f>H185*波及効果シート!$D$74</f>
        <v>231774.97969556064</v>
      </c>
      <c r="I187" s="493">
        <f>I185*波及効果シート!$D$74</f>
        <v>231774.97969556064</v>
      </c>
      <c r="J187" s="493">
        <f>J185*波及効果シート!$D$74</f>
        <v>231774.97969556064</v>
      </c>
      <c r="K187" s="493">
        <f>K185*波及効果シート!$D$74</f>
        <v>231774.97969556064</v>
      </c>
      <c r="L187" s="493">
        <f>L185*波及効果シート!$D$74</f>
        <v>231774.97969556064</v>
      </c>
      <c r="M187" s="493">
        <f>M185*波及効果シート!$D$74</f>
        <v>231774.97969556064</v>
      </c>
      <c r="N187" s="493">
        <f>N185*波及効果シート!$D$74</f>
        <v>231774.97969556064</v>
      </c>
      <c r="O187" s="493">
        <f>O185*波及効果シート!$D$74</f>
        <v>231774.97969556064</v>
      </c>
      <c r="P187" s="493">
        <f>P185*波及効果シート!$D$74</f>
        <v>231774.97969556064</v>
      </c>
      <c r="Q187" s="493">
        <f>Q185*波及効果シート!$D$74</f>
        <v>231774.97969556064</v>
      </c>
      <c r="R187" s="493">
        <f>R185*波及効果シート!$D$74</f>
        <v>231774.97969556064</v>
      </c>
      <c r="S187" s="493">
        <f>S185*波及効果シート!$D$74</f>
        <v>231774.97969556064</v>
      </c>
      <c r="T187" s="493">
        <f>T185*波及効果シート!$D$74</f>
        <v>231774.97969556064</v>
      </c>
      <c r="U187" s="493">
        <f>U185*波及効果シート!$D$74</f>
        <v>231774.97969556064</v>
      </c>
      <c r="V187" s="493">
        <f>V185*波及効果シート!$D$74</f>
        <v>231774.97969556064</v>
      </c>
      <c r="W187" s="493">
        <f>W185*波及効果シート!$D$74</f>
        <v>231774.97969556064</v>
      </c>
      <c r="X187" s="493">
        <f>X185*波及効果シート!$D$74</f>
        <v>231774.97969556064</v>
      </c>
      <c r="Y187" s="493">
        <f>Y185*波及効果シート!$D$74</f>
        <v>231774.97969556064</v>
      </c>
      <c r="Z187" s="493">
        <f>Z185*波及効果シート!$D$74</f>
        <v>231774.97969556064</v>
      </c>
      <c r="AA187" s="493">
        <f>AA185*波及効果シート!$D$74</f>
        <v>231774.97969556064</v>
      </c>
      <c r="AB187" s="493">
        <f>AB185*波及効果シート!$D$74</f>
        <v>231774.97969556064</v>
      </c>
      <c r="AC187" s="493">
        <f>AC185*波及効果シート!$D$74</f>
        <v>231774.97969556064</v>
      </c>
      <c r="AD187" s="493">
        <f>AD185*波及効果シート!$D$74</f>
        <v>231774.97969556064</v>
      </c>
      <c r="AE187" s="493">
        <f>AE185*波及効果シート!$D$74</f>
        <v>231774.97969556064</v>
      </c>
      <c r="AF187" s="493">
        <f>AF185*波及効果シート!$D$74</f>
        <v>231774.97969556064</v>
      </c>
      <c r="AG187" s="493">
        <f>AG185*波及効果シート!$D$74</f>
        <v>231774.97969556064</v>
      </c>
      <c r="AH187" s="493">
        <f>AH185*波及効果シート!$D$74</f>
        <v>231774.97969556064</v>
      </c>
      <c r="AI187" s="535">
        <f t="shared" si="156"/>
        <v>2317749.7969556064</v>
      </c>
      <c r="AJ187" s="535">
        <f t="shared" si="157"/>
        <v>4635499.593911211</v>
      </c>
      <c r="AK187" s="497">
        <f t="shared" si="158"/>
        <v>6953249.3908668151</v>
      </c>
    </row>
    <row r="188" spans="1:37" ht="11.5" x14ac:dyDescent="0.25">
      <c r="A188" s="533" t="str">
        <f>A184&amp;B188</f>
        <v>電気業所得税（国税）</v>
      </c>
      <c r="B188" s="439" t="s">
        <v>351</v>
      </c>
      <c r="C188" s="452" t="s">
        <v>333</v>
      </c>
      <c r="D188" s="493">
        <f>D185*地域経済性分析・初期条件!$P$21</f>
        <v>0</v>
      </c>
      <c r="E188" s="493">
        <f>E185*地域経済性分析・初期条件!$P$21</f>
        <v>4214090.5399192851</v>
      </c>
      <c r="F188" s="493">
        <f>F185*地域経済性分析・初期条件!$P$21</f>
        <v>4214090.5399192851</v>
      </c>
      <c r="G188" s="493">
        <f>G185*地域経済性分析・初期条件!$P$21</f>
        <v>4214090.5399192851</v>
      </c>
      <c r="H188" s="493">
        <f>H185*地域経済性分析・初期条件!$P$21</f>
        <v>4214090.5399192851</v>
      </c>
      <c r="I188" s="493">
        <f>I185*地域経済性分析・初期条件!$P$21</f>
        <v>4214090.5399192851</v>
      </c>
      <c r="J188" s="493">
        <f>J185*地域経済性分析・初期条件!$P$21</f>
        <v>4214090.5399192851</v>
      </c>
      <c r="K188" s="493">
        <f>K185*地域経済性分析・初期条件!$P$21</f>
        <v>4214090.5399192851</v>
      </c>
      <c r="L188" s="493">
        <f>L185*地域経済性分析・初期条件!$P$21</f>
        <v>4214090.5399192851</v>
      </c>
      <c r="M188" s="493">
        <f>M185*地域経済性分析・初期条件!$P$21</f>
        <v>4214090.5399192851</v>
      </c>
      <c r="N188" s="493">
        <f>N185*地域経済性分析・初期条件!$P$21</f>
        <v>4214090.5399192851</v>
      </c>
      <c r="O188" s="493">
        <f>O185*地域経済性分析・初期条件!$P$21</f>
        <v>4214090.5399192851</v>
      </c>
      <c r="P188" s="493">
        <f>P185*地域経済性分析・初期条件!$P$21</f>
        <v>4214090.5399192851</v>
      </c>
      <c r="Q188" s="493">
        <f>Q185*地域経済性分析・初期条件!$P$21</f>
        <v>4214090.5399192851</v>
      </c>
      <c r="R188" s="493">
        <f>R185*地域経済性分析・初期条件!$P$21</f>
        <v>4214090.5399192851</v>
      </c>
      <c r="S188" s="493">
        <f>S185*地域経済性分析・初期条件!$P$21</f>
        <v>4214090.5399192851</v>
      </c>
      <c r="T188" s="493">
        <f>T185*地域経済性分析・初期条件!$P$21</f>
        <v>4214090.5399192851</v>
      </c>
      <c r="U188" s="493">
        <f>U185*地域経済性分析・初期条件!$P$21</f>
        <v>4214090.5399192851</v>
      </c>
      <c r="V188" s="493">
        <f>V185*地域経済性分析・初期条件!$P$21</f>
        <v>4214090.5399192851</v>
      </c>
      <c r="W188" s="493">
        <f>W185*地域経済性分析・初期条件!$P$21</f>
        <v>4214090.5399192851</v>
      </c>
      <c r="X188" s="493">
        <f>X185*地域経済性分析・初期条件!$P$21</f>
        <v>4214090.5399192851</v>
      </c>
      <c r="Y188" s="493">
        <f>Y185*地域経済性分析・初期条件!$P$21</f>
        <v>4214090.5399192851</v>
      </c>
      <c r="Z188" s="493">
        <f>Z185*地域経済性分析・初期条件!$P$21</f>
        <v>4214090.5399192851</v>
      </c>
      <c r="AA188" s="493">
        <f>AA185*地域経済性分析・初期条件!$P$21</f>
        <v>4214090.5399192851</v>
      </c>
      <c r="AB188" s="493">
        <f>AB185*地域経済性分析・初期条件!$P$21</f>
        <v>4214090.5399192851</v>
      </c>
      <c r="AC188" s="493">
        <f>AC185*地域経済性分析・初期条件!$P$21</f>
        <v>4214090.5399192851</v>
      </c>
      <c r="AD188" s="493">
        <f>AD185*地域経済性分析・初期条件!$P$21</f>
        <v>4214090.5399192851</v>
      </c>
      <c r="AE188" s="493">
        <f>AE185*地域経済性分析・初期条件!$P$21</f>
        <v>4214090.5399192851</v>
      </c>
      <c r="AF188" s="493">
        <f>AF185*地域経済性分析・初期条件!$P$21</f>
        <v>4214090.5399192851</v>
      </c>
      <c r="AG188" s="493">
        <f>AG185*地域経済性分析・初期条件!$P$21</f>
        <v>4214090.5399192851</v>
      </c>
      <c r="AH188" s="493">
        <f>AH185*地域経済性分析・初期条件!$P$21</f>
        <v>4214090.5399192851</v>
      </c>
      <c r="AI188" s="535">
        <f t="shared" si="153"/>
        <v>42140905.399192862</v>
      </c>
      <c r="AJ188" s="535">
        <f t="shared" si="154"/>
        <v>84281810.798385724</v>
      </c>
      <c r="AK188" s="497">
        <f t="shared" si="155"/>
        <v>126422716.19757859</v>
      </c>
    </row>
    <row r="189" spans="1:37" ht="11.5" x14ac:dyDescent="0.25">
      <c r="A189" s="533" t="str">
        <f>A184&amp;B189</f>
        <v>電気業法人税（国税）</v>
      </c>
      <c r="B189" s="439" t="s">
        <v>350</v>
      </c>
      <c r="C189" s="452" t="s">
        <v>333</v>
      </c>
      <c r="D189" s="493">
        <f>D185*地域経済性分析・初期条件!$Q$21</f>
        <v>0</v>
      </c>
      <c r="E189" s="493">
        <f>E185*地域経済性分析・初期条件!$Q$21</f>
        <v>3160567.9049394634</v>
      </c>
      <c r="F189" s="493">
        <f>F185*地域経済性分析・初期条件!$Q$21</f>
        <v>3160567.9049394634</v>
      </c>
      <c r="G189" s="493">
        <f>G185*地域経済性分析・初期条件!$Q$21</f>
        <v>3160567.9049394634</v>
      </c>
      <c r="H189" s="493">
        <f>H185*地域経済性分析・初期条件!$Q$21</f>
        <v>3160567.9049394634</v>
      </c>
      <c r="I189" s="493">
        <f>I185*地域経済性分析・初期条件!$Q$21</f>
        <v>3160567.9049394634</v>
      </c>
      <c r="J189" s="493">
        <f>J185*地域経済性分析・初期条件!$Q$21</f>
        <v>3160567.9049394634</v>
      </c>
      <c r="K189" s="493">
        <f>K185*地域経済性分析・初期条件!$Q$21</f>
        <v>3160567.9049394634</v>
      </c>
      <c r="L189" s="493">
        <f>L185*地域経済性分析・初期条件!$Q$21</f>
        <v>3160567.9049394634</v>
      </c>
      <c r="M189" s="493">
        <f>M185*地域経済性分析・初期条件!$Q$21</f>
        <v>3160567.9049394634</v>
      </c>
      <c r="N189" s="493">
        <f>N185*地域経済性分析・初期条件!$Q$21</f>
        <v>3160567.9049394634</v>
      </c>
      <c r="O189" s="493">
        <f>O185*地域経済性分析・初期条件!$Q$21</f>
        <v>3160567.9049394634</v>
      </c>
      <c r="P189" s="493">
        <f>P185*地域経済性分析・初期条件!$Q$21</f>
        <v>3160567.9049394634</v>
      </c>
      <c r="Q189" s="493">
        <f>Q185*地域経済性分析・初期条件!$Q$21</f>
        <v>3160567.9049394634</v>
      </c>
      <c r="R189" s="493">
        <f>R185*地域経済性分析・初期条件!$Q$21</f>
        <v>3160567.9049394634</v>
      </c>
      <c r="S189" s="493">
        <f>S185*地域経済性分析・初期条件!$Q$21</f>
        <v>3160567.9049394634</v>
      </c>
      <c r="T189" s="493">
        <f>T185*地域経済性分析・初期条件!$Q$21</f>
        <v>3160567.9049394634</v>
      </c>
      <c r="U189" s="493">
        <f>U185*地域経済性分析・初期条件!$Q$21</f>
        <v>3160567.9049394634</v>
      </c>
      <c r="V189" s="493">
        <f>V185*地域経済性分析・初期条件!$Q$21</f>
        <v>3160567.9049394634</v>
      </c>
      <c r="W189" s="493">
        <f>W185*地域経済性分析・初期条件!$Q$21</f>
        <v>3160567.9049394634</v>
      </c>
      <c r="X189" s="493">
        <f>X185*地域経済性分析・初期条件!$Q$21</f>
        <v>3160567.9049394634</v>
      </c>
      <c r="Y189" s="493">
        <f>Y185*地域経済性分析・初期条件!$Q$21</f>
        <v>3160567.9049394634</v>
      </c>
      <c r="Z189" s="493">
        <f>Z185*地域経済性分析・初期条件!$Q$21</f>
        <v>3160567.9049394634</v>
      </c>
      <c r="AA189" s="493">
        <f>AA185*地域経済性分析・初期条件!$Q$21</f>
        <v>3160567.9049394634</v>
      </c>
      <c r="AB189" s="493">
        <f>AB185*地域経済性分析・初期条件!$Q$21</f>
        <v>3160567.9049394634</v>
      </c>
      <c r="AC189" s="493">
        <f>AC185*地域経済性分析・初期条件!$Q$21</f>
        <v>3160567.9049394634</v>
      </c>
      <c r="AD189" s="493">
        <f>AD185*地域経済性分析・初期条件!$Q$21</f>
        <v>3160567.9049394634</v>
      </c>
      <c r="AE189" s="493">
        <f>AE185*地域経済性分析・初期条件!$Q$21</f>
        <v>3160567.9049394634</v>
      </c>
      <c r="AF189" s="493">
        <f>AF185*地域経済性分析・初期条件!$Q$21</f>
        <v>3160567.9049394634</v>
      </c>
      <c r="AG189" s="493">
        <f>AG185*地域経済性分析・初期条件!$Q$21</f>
        <v>3160567.9049394634</v>
      </c>
      <c r="AH189" s="493">
        <f>AH185*地域経済性分析・初期条件!$Q$21</f>
        <v>3160567.9049394634</v>
      </c>
      <c r="AI189" s="535">
        <f t="shared" si="153"/>
        <v>31605679.049394637</v>
      </c>
      <c r="AJ189" s="535">
        <f t="shared" si="154"/>
        <v>63211358.09878929</v>
      </c>
      <c r="AK189" s="497">
        <f t="shared" si="155"/>
        <v>94817037.148183882</v>
      </c>
    </row>
    <row r="190" spans="1:37" ht="11.5" x14ac:dyDescent="0.25">
      <c r="A190" s="533" t="str">
        <f>A184&amp;B190</f>
        <v>電気業従業員の可処分所得（一次）</v>
      </c>
      <c r="B190" s="439" t="s">
        <v>329</v>
      </c>
      <c r="C190" s="451" t="s">
        <v>37</v>
      </c>
      <c r="D190" s="493">
        <f>D185*地域経済性分析・初期条件!$H$21</f>
        <v>0</v>
      </c>
      <c r="E190" s="493">
        <f>E185*地域経済性分析・初期条件!$H$21</f>
        <v>618081.44100318546</v>
      </c>
      <c r="F190" s="493">
        <f>F185*地域経済性分析・初期条件!$H$21</f>
        <v>618081.44100318546</v>
      </c>
      <c r="G190" s="493">
        <f>G185*地域経済性分析・初期条件!$H$21</f>
        <v>618081.44100318546</v>
      </c>
      <c r="H190" s="493">
        <f>H185*地域経済性分析・初期条件!$H$21</f>
        <v>618081.44100318546</v>
      </c>
      <c r="I190" s="493">
        <f>I185*地域経済性分析・初期条件!$H$21</f>
        <v>618081.44100318546</v>
      </c>
      <c r="J190" s="493">
        <f>J185*地域経済性分析・初期条件!$H$21</f>
        <v>618081.44100318546</v>
      </c>
      <c r="K190" s="493">
        <f>K185*地域経済性分析・初期条件!$H$21</f>
        <v>618081.44100318546</v>
      </c>
      <c r="L190" s="493">
        <f>L185*地域経済性分析・初期条件!$H$21</f>
        <v>618081.44100318546</v>
      </c>
      <c r="M190" s="493">
        <f>M185*地域経済性分析・初期条件!$H$21</f>
        <v>618081.44100318546</v>
      </c>
      <c r="N190" s="493">
        <f>N185*地域経済性分析・初期条件!$H$21</f>
        <v>618081.44100318546</v>
      </c>
      <c r="O190" s="493">
        <f>O185*地域経済性分析・初期条件!$H$21</f>
        <v>618081.44100318546</v>
      </c>
      <c r="P190" s="493">
        <f>P185*地域経済性分析・初期条件!$H$21</f>
        <v>618081.44100318546</v>
      </c>
      <c r="Q190" s="493">
        <f>Q185*地域経済性分析・初期条件!$H$21</f>
        <v>618081.44100318546</v>
      </c>
      <c r="R190" s="493">
        <f>R185*地域経済性分析・初期条件!$H$21</f>
        <v>618081.44100318546</v>
      </c>
      <c r="S190" s="493">
        <f>S185*地域経済性分析・初期条件!$H$21</f>
        <v>618081.44100318546</v>
      </c>
      <c r="T190" s="493">
        <f>T185*地域経済性分析・初期条件!$H$21</f>
        <v>618081.44100318546</v>
      </c>
      <c r="U190" s="493">
        <f>U185*地域経済性分析・初期条件!$H$21</f>
        <v>618081.44100318546</v>
      </c>
      <c r="V190" s="493">
        <f>V185*地域経済性分析・初期条件!$H$21</f>
        <v>618081.44100318546</v>
      </c>
      <c r="W190" s="493">
        <f>W185*地域経済性分析・初期条件!$H$21</f>
        <v>618081.44100318546</v>
      </c>
      <c r="X190" s="493">
        <f>X185*地域経済性分析・初期条件!$H$21</f>
        <v>618081.44100318546</v>
      </c>
      <c r="Y190" s="493">
        <f>Y185*地域経済性分析・初期条件!$H$21</f>
        <v>618081.44100318546</v>
      </c>
      <c r="Z190" s="493">
        <f>Z185*地域経済性分析・初期条件!$H$21</f>
        <v>618081.44100318546</v>
      </c>
      <c r="AA190" s="493">
        <f>AA185*地域経済性分析・初期条件!$H$21</f>
        <v>618081.44100318546</v>
      </c>
      <c r="AB190" s="493">
        <f>AB185*地域経済性分析・初期条件!$H$21</f>
        <v>618081.44100318546</v>
      </c>
      <c r="AC190" s="493">
        <f>AC185*地域経済性分析・初期条件!$H$21</f>
        <v>618081.44100318546</v>
      </c>
      <c r="AD190" s="493">
        <f>AD185*地域経済性分析・初期条件!$H$21</f>
        <v>618081.44100318546</v>
      </c>
      <c r="AE190" s="493">
        <f>AE185*地域経済性分析・初期条件!$H$21</f>
        <v>618081.44100318546</v>
      </c>
      <c r="AF190" s="493">
        <f>AF185*地域経済性分析・初期条件!$H$21</f>
        <v>618081.44100318546</v>
      </c>
      <c r="AG190" s="493">
        <f>AG185*地域経済性分析・初期条件!$H$21</f>
        <v>618081.44100318546</v>
      </c>
      <c r="AH190" s="493">
        <f>AH185*地域経済性分析・初期条件!$H$21</f>
        <v>618081.44100318546</v>
      </c>
      <c r="AI190" s="535">
        <f t="shared" si="153"/>
        <v>6180814.410031856</v>
      </c>
      <c r="AJ190" s="535">
        <f t="shared" si="154"/>
        <v>12361628.820063706</v>
      </c>
      <c r="AK190" s="497">
        <f t="shared" si="155"/>
        <v>18542443.230095554</v>
      </c>
    </row>
    <row r="191" spans="1:37" ht="11.5" x14ac:dyDescent="0.25">
      <c r="A191" s="533" t="str">
        <f>A184&amp;B191</f>
        <v>電気業企業の税引後利益（一次）</v>
      </c>
      <c r="B191" s="439" t="s">
        <v>330</v>
      </c>
      <c r="C191" s="451" t="s">
        <v>37</v>
      </c>
      <c r="D191" s="493">
        <f>D185*地域経済性分析・初期条件!$I$21</f>
        <v>0</v>
      </c>
      <c r="E191" s="493">
        <f>E185*地域経済性分析・初期条件!$I$21</f>
        <v>572947.92059063388</v>
      </c>
      <c r="F191" s="493">
        <f>F185*地域経済性分析・初期条件!$I$21</f>
        <v>572947.92059063388</v>
      </c>
      <c r="G191" s="493">
        <f>G185*地域経済性分析・初期条件!$I$21</f>
        <v>572947.92059063388</v>
      </c>
      <c r="H191" s="493">
        <f>H185*地域経済性分析・初期条件!$I$21</f>
        <v>572947.92059063388</v>
      </c>
      <c r="I191" s="493">
        <f>I185*地域経済性分析・初期条件!$I$21</f>
        <v>572947.92059063388</v>
      </c>
      <c r="J191" s="493">
        <f>J185*地域経済性分析・初期条件!$I$21</f>
        <v>572947.92059063388</v>
      </c>
      <c r="K191" s="493">
        <f>K185*地域経済性分析・初期条件!$I$21</f>
        <v>572947.92059063388</v>
      </c>
      <c r="L191" s="493">
        <f>L185*地域経済性分析・初期条件!$I$21</f>
        <v>572947.92059063388</v>
      </c>
      <c r="M191" s="493">
        <f>M185*地域経済性分析・初期条件!$I$21</f>
        <v>572947.92059063388</v>
      </c>
      <c r="N191" s="493">
        <f>N185*地域経済性分析・初期条件!$I$21</f>
        <v>572947.92059063388</v>
      </c>
      <c r="O191" s="493">
        <f>O185*地域経済性分析・初期条件!$I$21</f>
        <v>572947.92059063388</v>
      </c>
      <c r="P191" s="493">
        <f>P185*地域経済性分析・初期条件!$I$21</f>
        <v>572947.92059063388</v>
      </c>
      <c r="Q191" s="493">
        <f>Q185*地域経済性分析・初期条件!$I$21</f>
        <v>572947.92059063388</v>
      </c>
      <c r="R191" s="493">
        <f>R185*地域経済性分析・初期条件!$I$21</f>
        <v>572947.92059063388</v>
      </c>
      <c r="S191" s="493">
        <f>S185*地域経済性分析・初期条件!$I$21</f>
        <v>572947.92059063388</v>
      </c>
      <c r="T191" s="493">
        <f>T185*地域経済性分析・初期条件!$I$21</f>
        <v>572947.92059063388</v>
      </c>
      <c r="U191" s="493">
        <f>U185*地域経済性分析・初期条件!$I$21</f>
        <v>572947.92059063388</v>
      </c>
      <c r="V191" s="493">
        <f>V185*地域経済性分析・初期条件!$I$21</f>
        <v>572947.92059063388</v>
      </c>
      <c r="W191" s="493">
        <f>W185*地域経済性分析・初期条件!$I$21</f>
        <v>572947.92059063388</v>
      </c>
      <c r="X191" s="493">
        <f>X185*地域経済性分析・初期条件!$I$21</f>
        <v>572947.92059063388</v>
      </c>
      <c r="Y191" s="493">
        <f>Y185*地域経済性分析・初期条件!$I$21</f>
        <v>572947.92059063388</v>
      </c>
      <c r="Z191" s="493">
        <f>Z185*地域経済性分析・初期条件!$I$21</f>
        <v>572947.92059063388</v>
      </c>
      <c r="AA191" s="493">
        <f>AA185*地域経済性分析・初期条件!$I$21</f>
        <v>572947.92059063388</v>
      </c>
      <c r="AB191" s="493">
        <f>AB185*地域経済性分析・初期条件!$I$21</f>
        <v>572947.92059063388</v>
      </c>
      <c r="AC191" s="493">
        <f>AC185*地域経済性分析・初期条件!$I$21</f>
        <v>572947.92059063388</v>
      </c>
      <c r="AD191" s="493">
        <f>AD185*地域経済性分析・初期条件!$I$21</f>
        <v>572947.92059063388</v>
      </c>
      <c r="AE191" s="493">
        <f>AE185*地域経済性分析・初期条件!$I$21</f>
        <v>572947.92059063388</v>
      </c>
      <c r="AF191" s="493">
        <f>AF185*地域経済性分析・初期条件!$I$21</f>
        <v>572947.92059063388</v>
      </c>
      <c r="AG191" s="493">
        <f>AG185*地域経済性分析・初期条件!$I$21</f>
        <v>572947.92059063388</v>
      </c>
      <c r="AH191" s="493">
        <f>AH185*地域経済性分析・初期条件!$I$21</f>
        <v>572947.92059063388</v>
      </c>
      <c r="AI191" s="535">
        <f t="shared" si="153"/>
        <v>5729479.2059063381</v>
      </c>
      <c r="AJ191" s="535">
        <f t="shared" si="154"/>
        <v>11458958.411812674</v>
      </c>
      <c r="AK191" s="497">
        <f t="shared" si="155"/>
        <v>17188437.61771901</v>
      </c>
    </row>
    <row r="192" spans="1:37" ht="11.5" x14ac:dyDescent="0.25">
      <c r="A192" s="533" t="str">
        <f>A184&amp;B192</f>
        <v>電気業都道府県税収（一次）</v>
      </c>
      <c r="B192" s="439" t="s">
        <v>331</v>
      </c>
      <c r="C192" s="451" t="s">
        <v>37</v>
      </c>
      <c r="D192" s="493">
        <f>D185*地域経済性分析・初期条件!$J$21</f>
        <v>0</v>
      </c>
      <c r="E192" s="493">
        <f>E185*地域経済性分析・初期条件!$J$21</f>
        <v>129957.15198627132</v>
      </c>
      <c r="F192" s="493">
        <f>F185*地域経済性分析・初期条件!$J$21</f>
        <v>129957.15198627132</v>
      </c>
      <c r="G192" s="493">
        <f>G185*地域経済性分析・初期条件!$J$21</f>
        <v>129957.15198627132</v>
      </c>
      <c r="H192" s="493">
        <f>H185*地域経済性分析・初期条件!$J$21</f>
        <v>129957.15198627132</v>
      </c>
      <c r="I192" s="493">
        <f>I185*地域経済性分析・初期条件!$J$21</f>
        <v>129957.15198627132</v>
      </c>
      <c r="J192" s="493">
        <f>J185*地域経済性分析・初期条件!$J$21</f>
        <v>129957.15198627132</v>
      </c>
      <c r="K192" s="493">
        <f>K185*地域経済性分析・初期条件!$J$21</f>
        <v>129957.15198627132</v>
      </c>
      <c r="L192" s="493">
        <f>L185*地域経済性分析・初期条件!$J$21</f>
        <v>129957.15198627132</v>
      </c>
      <c r="M192" s="493">
        <f>M185*地域経済性分析・初期条件!$J$21</f>
        <v>129957.15198627132</v>
      </c>
      <c r="N192" s="493">
        <f>N185*地域経済性分析・初期条件!$J$21</f>
        <v>129957.15198627132</v>
      </c>
      <c r="O192" s="493">
        <f>O185*地域経済性分析・初期条件!$J$21</f>
        <v>129957.15198627132</v>
      </c>
      <c r="P192" s="493">
        <f>P185*地域経済性分析・初期条件!$J$21</f>
        <v>129957.15198627132</v>
      </c>
      <c r="Q192" s="493">
        <f>Q185*地域経済性分析・初期条件!$J$21</f>
        <v>129957.15198627132</v>
      </c>
      <c r="R192" s="493">
        <f>R185*地域経済性分析・初期条件!$J$21</f>
        <v>129957.15198627132</v>
      </c>
      <c r="S192" s="493">
        <f>S185*地域経済性分析・初期条件!$J$21</f>
        <v>129957.15198627132</v>
      </c>
      <c r="T192" s="493">
        <f>T185*地域経済性分析・初期条件!$J$21</f>
        <v>129957.15198627132</v>
      </c>
      <c r="U192" s="493">
        <f>U185*地域経済性分析・初期条件!$J$21</f>
        <v>129957.15198627132</v>
      </c>
      <c r="V192" s="493">
        <f>V185*地域経済性分析・初期条件!$J$21</f>
        <v>129957.15198627132</v>
      </c>
      <c r="W192" s="493">
        <f>W185*地域経済性分析・初期条件!$J$21</f>
        <v>129957.15198627132</v>
      </c>
      <c r="X192" s="493">
        <f>X185*地域経済性分析・初期条件!$J$21</f>
        <v>129957.15198627132</v>
      </c>
      <c r="Y192" s="493">
        <f>Y185*地域経済性分析・初期条件!$J$21</f>
        <v>129957.15198627132</v>
      </c>
      <c r="Z192" s="493">
        <f>Z185*地域経済性分析・初期条件!$J$21</f>
        <v>129957.15198627132</v>
      </c>
      <c r="AA192" s="493">
        <f>AA185*地域経済性分析・初期条件!$J$21</f>
        <v>129957.15198627132</v>
      </c>
      <c r="AB192" s="493">
        <f>AB185*地域経済性分析・初期条件!$J$21</f>
        <v>129957.15198627132</v>
      </c>
      <c r="AC192" s="493">
        <f>AC185*地域経済性分析・初期条件!$J$21</f>
        <v>129957.15198627132</v>
      </c>
      <c r="AD192" s="493">
        <f>AD185*地域経済性分析・初期条件!$J$21</f>
        <v>129957.15198627132</v>
      </c>
      <c r="AE192" s="493">
        <f>AE185*地域経済性分析・初期条件!$J$21</f>
        <v>129957.15198627132</v>
      </c>
      <c r="AF192" s="493">
        <f>AF185*地域経済性分析・初期条件!$J$21</f>
        <v>129957.15198627132</v>
      </c>
      <c r="AG192" s="493">
        <f>AG185*地域経済性分析・初期条件!$J$21</f>
        <v>129957.15198627132</v>
      </c>
      <c r="AH192" s="493">
        <f>AH185*地域経済性分析・初期条件!$J$21</f>
        <v>129957.15198627132</v>
      </c>
      <c r="AI192" s="535">
        <f t="shared" si="153"/>
        <v>1299571.5198627135</v>
      </c>
      <c r="AJ192" s="535">
        <f t="shared" si="154"/>
        <v>2599143.0397254266</v>
      </c>
      <c r="AK192" s="497">
        <f t="shared" si="155"/>
        <v>3898714.559588138</v>
      </c>
    </row>
    <row r="193" spans="1:37" ht="11.5" x14ac:dyDescent="0.25">
      <c r="A193" s="533" t="str">
        <f>A184&amp;B193</f>
        <v>電気業市町村税収（一次）</v>
      </c>
      <c r="B193" s="439" t="s">
        <v>332</v>
      </c>
      <c r="C193" s="452" t="s">
        <v>37</v>
      </c>
      <c r="D193" s="493">
        <f>D185*地域経済性分析・初期条件!$K$21</f>
        <v>0</v>
      </c>
      <c r="E193" s="493">
        <f>E185*地域経済性分析・初期条件!$K$21</f>
        <v>45214.295891595073</v>
      </c>
      <c r="F193" s="493">
        <f>F185*地域経済性分析・初期条件!$K$21</f>
        <v>45214.295891595073</v>
      </c>
      <c r="G193" s="493">
        <f>G185*地域経済性分析・初期条件!$K$21</f>
        <v>45214.295891595073</v>
      </c>
      <c r="H193" s="493">
        <f>H185*地域経済性分析・初期条件!$K$21</f>
        <v>45214.295891595073</v>
      </c>
      <c r="I193" s="493">
        <f>I185*地域経済性分析・初期条件!$K$21</f>
        <v>45214.295891595073</v>
      </c>
      <c r="J193" s="493">
        <f>J185*地域経済性分析・初期条件!$K$21</f>
        <v>45214.295891595073</v>
      </c>
      <c r="K193" s="493">
        <f>K185*地域経済性分析・初期条件!$K$21</f>
        <v>45214.295891595073</v>
      </c>
      <c r="L193" s="493">
        <f>L185*地域経済性分析・初期条件!$K$21</f>
        <v>45214.295891595073</v>
      </c>
      <c r="M193" s="493">
        <f>M185*地域経済性分析・初期条件!$K$21</f>
        <v>45214.295891595073</v>
      </c>
      <c r="N193" s="493">
        <f>N185*地域経済性分析・初期条件!$K$21</f>
        <v>45214.295891595073</v>
      </c>
      <c r="O193" s="493">
        <f>O185*地域経済性分析・初期条件!$K$21</f>
        <v>45214.295891595073</v>
      </c>
      <c r="P193" s="493">
        <f>P185*地域経済性分析・初期条件!$K$21</f>
        <v>45214.295891595073</v>
      </c>
      <c r="Q193" s="493">
        <f>Q185*地域経済性分析・初期条件!$K$21</f>
        <v>45214.295891595073</v>
      </c>
      <c r="R193" s="493">
        <f>R185*地域経済性分析・初期条件!$K$21</f>
        <v>45214.295891595073</v>
      </c>
      <c r="S193" s="493">
        <f>S185*地域経済性分析・初期条件!$K$21</f>
        <v>45214.295891595073</v>
      </c>
      <c r="T193" s="493">
        <f>T185*地域経済性分析・初期条件!$K$21</f>
        <v>45214.295891595073</v>
      </c>
      <c r="U193" s="493">
        <f>U185*地域経済性分析・初期条件!$K$21</f>
        <v>45214.295891595073</v>
      </c>
      <c r="V193" s="493">
        <f>V185*地域経済性分析・初期条件!$K$21</f>
        <v>45214.295891595073</v>
      </c>
      <c r="W193" s="493">
        <f>W185*地域経済性分析・初期条件!$K$21</f>
        <v>45214.295891595073</v>
      </c>
      <c r="X193" s="493">
        <f>X185*地域経済性分析・初期条件!$K$21</f>
        <v>45214.295891595073</v>
      </c>
      <c r="Y193" s="493">
        <f>Y185*地域経済性分析・初期条件!$K$21</f>
        <v>45214.295891595073</v>
      </c>
      <c r="Z193" s="493">
        <f>Z185*地域経済性分析・初期条件!$K$21</f>
        <v>45214.295891595073</v>
      </c>
      <c r="AA193" s="493">
        <f>AA185*地域経済性分析・初期条件!$K$21</f>
        <v>45214.295891595073</v>
      </c>
      <c r="AB193" s="493">
        <f>AB185*地域経済性分析・初期条件!$K$21</f>
        <v>45214.295891595073</v>
      </c>
      <c r="AC193" s="493">
        <f>AC185*地域経済性分析・初期条件!$K$21</f>
        <v>45214.295891595073</v>
      </c>
      <c r="AD193" s="493">
        <f>AD185*地域経済性分析・初期条件!$K$21</f>
        <v>45214.295891595073</v>
      </c>
      <c r="AE193" s="493">
        <f>AE185*地域経済性分析・初期条件!$K$21</f>
        <v>45214.295891595073</v>
      </c>
      <c r="AF193" s="493">
        <f>AF185*地域経済性分析・初期条件!$K$21</f>
        <v>45214.295891595073</v>
      </c>
      <c r="AG193" s="493">
        <f>AG185*地域経済性分析・初期条件!$K$21</f>
        <v>45214.295891595073</v>
      </c>
      <c r="AH193" s="493">
        <f>AH185*地域経済性分析・初期条件!$K$21</f>
        <v>45214.295891595073</v>
      </c>
      <c r="AI193" s="535">
        <f t="shared" si="153"/>
        <v>452142.95891595073</v>
      </c>
      <c r="AJ193" s="535">
        <f t="shared" si="154"/>
        <v>904285.91783190146</v>
      </c>
      <c r="AK193" s="497">
        <f t="shared" si="155"/>
        <v>1356428.8767478522</v>
      </c>
    </row>
    <row r="194" spans="1:37" ht="11.5" x14ac:dyDescent="0.25">
      <c r="A194" s="533" t="str">
        <f>A184&amp;B194</f>
        <v>電気業従業員の可処分所得（二次以降）</v>
      </c>
      <c r="B194" s="439" t="s">
        <v>334</v>
      </c>
      <c r="C194" s="452" t="s">
        <v>333</v>
      </c>
      <c r="D194" s="493">
        <f>D185*地域経済性分析・初期条件!$L$21</f>
        <v>0</v>
      </c>
      <c r="E194" s="493">
        <f>E185*地域経済性分析・初期条件!$L$21</f>
        <v>0</v>
      </c>
      <c r="F194" s="493">
        <f>F185*地域経済性分析・初期条件!$L$21</f>
        <v>0</v>
      </c>
      <c r="G194" s="493">
        <f>G185*地域経済性分析・初期条件!$L$21</f>
        <v>0</v>
      </c>
      <c r="H194" s="493">
        <f>H185*地域経済性分析・初期条件!$L$21</f>
        <v>0</v>
      </c>
      <c r="I194" s="493">
        <f>I185*地域経済性分析・初期条件!$L$21</f>
        <v>0</v>
      </c>
      <c r="J194" s="493">
        <f>J185*地域経済性分析・初期条件!$L$21</f>
        <v>0</v>
      </c>
      <c r="K194" s="493">
        <f>K185*地域経済性分析・初期条件!$L$21</f>
        <v>0</v>
      </c>
      <c r="L194" s="493">
        <f>L185*地域経済性分析・初期条件!$L$21</f>
        <v>0</v>
      </c>
      <c r="M194" s="493">
        <f>M185*地域経済性分析・初期条件!$L$21</f>
        <v>0</v>
      </c>
      <c r="N194" s="493">
        <f>N185*地域経済性分析・初期条件!$L$21</f>
        <v>0</v>
      </c>
      <c r="O194" s="493">
        <f>O185*地域経済性分析・初期条件!$L$21</f>
        <v>0</v>
      </c>
      <c r="P194" s="493">
        <f>P185*地域経済性分析・初期条件!$L$21</f>
        <v>0</v>
      </c>
      <c r="Q194" s="493">
        <f>Q185*地域経済性分析・初期条件!$L$21</f>
        <v>0</v>
      </c>
      <c r="R194" s="493">
        <f>R185*地域経済性分析・初期条件!$L$21</f>
        <v>0</v>
      </c>
      <c r="S194" s="493">
        <f>S185*地域経済性分析・初期条件!$L$21</f>
        <v>0</v>
      </c>
      <c r="T194" s="493">
        <f>T185*地域経済性分析・初期条件!$L$21</f>
        <v>0</v>
      </c>
      <c r="U194" s="493">
        <f>U185*地域経済性分析・初期条件!$L$21</f>
        <v>0</v>
      </c>
      <c r="V194" s="493">
        <f>V185*地域経済性分析・初期条件!$L$21</f>
        <v>0</v>
      </c>
      <c r="W194" s="493">
        <f>W185*地域経済性分析・初期条件!$L$21</f>
        <v>0</v>
      </c>
      <c r="X194" s="493">
        <f>X185*地域経済性分析・初期条件!$L$21</f>
        <v>0</v>
      </c>
      <c r="Y194" s="493">
        <f>Y185*地域経済性分析・初期条件!$L$21</f>
        <v>0</v>
      </c>
      <c r="Z194" s="493">
        <f>Z185*地域経済性分析・初期条件!$L$21</f>
        <v>0</v>
      </c>
      <c r="AA194" s="493">
        <f>AA185*地域経済性分析・初期条件!$L$21</f>
        <v>0</v>
      </c>
      <c r="AB194" s="493">
        <f>AB185*地域経済性分析・初期条件!$L$21</f>
        <v>0</v>
      </c>
      <c r="AC194" s="493">
        <f>AC185*地域経済性分析・初期条件!$L$21</f>
        <v>0</v>
      </c>
      <c r="AD194" s="493">
        <f>AD185*地域経済性分析・初期条件!$L$21</f>
        <v>0</v>
      </c>
      <c r="AE194" s="493">
        <f>AE185*地域経済性分析・初期条件!$L$21</f>
        <v>0</v>
      </c>
      <c r="AF194" s="493">
        <f>AF185*地域経済性分析・初期条件!$L$21</f>
        <v>0</v>
      </c>
      <c r="AG194" s="493">
        <f>AG185*地域経済性分析・初期条件!$L$21</f>
        <v>0</v>
      </c>
      <c r="AH194" s="493">
        <f>AH185*地域経済性分析・初期条件!$L$21</f>
        <v>0</v>
      </c>
      <c r="AI194" s="535">
        <f t="shared" si="153"/>
        <v>0</v>
      </c>
      <c r="AJ194" s="535">
        <f t="shared" si="154"/>
        <v>0</v>
      </c>
      <c r="AK194" s="497">
        <f t="shared" si="155"/>
        <v>0</v>
      </c>
    </row>
    <row r="195" spans="1:37" ht="11.5" x14ac:dyDescent="0.25">
      <c r="A195" s="533" t="str">
        <f>A184&amp;B195</f>
        <v>電気業企業の税引後利益（二次以降）</v>
      </c>
      <c r="B195" s="439" t="s">
        <v>335</v>
      </c>
      <c r="C195" s="452" t="s">
        <v>333</v>
      </c>
      <c r="D195" s="493">
        <f>D185*地域経済性分析・初期条件!$M$21</f>
        <v>0</v>
      </c>
      <c r="E195" s="493">
        <f>E185*地域経済性分析・初期条件!$M$21</f>
        <v>0</v>
      </c>
      <c r="F195" s="493">
        <f>F185*地域経済性分析・初期条件!$M$21</f>
        <v>0</v>
      </c>
      <c r="G195" s="493">
        <f>G185*地域経済性分析・初期条件!$M$21</f>
        <v>0</v>
      </c>
      <c r="H195" s="493">
        <f>H185*地域経済性分析・初期条件!$M$21</f>
        <v>0</v>
      </c>
      <c r="I195" s="493">
        <f>I185*地域経済性分析・初期条件!$M$21</f>
        <v>0</v>
      </c>
      <c r="J195" s="493">
        <f>J185*地域経済性分析・初期条件!$M$21</f>
        <v>0</v>
      </c>
      <c r="K195" s="493">
        <f>K185*地域経済性分析・初期条件!$M$21</f>
        <v>0</v>
      </c>
      <c r="L195" s="493">
        <f>L185*地域経済性分析・初期条件!$M$21</f>
        <v>0</v>
      </c>
      <c r="M195" s="493">
        <f>M185*地域経済性分析・初期条件!$M$21</f>
        <v>0</v>
      </c>
      <c r="N195" s="493">
        <f>N185*地域経済性分析・初期条件!$M$21</f>
        <v>0</v>
      </c>
      <c r="O195" s="493">
        <f>O185*地域経済性分析・初期条件!$M$21</f>
        <v>0</v>
      </c>
      <c r="P195" s="493">
        <f>P185*地域経済性分析・初期条件!$M$21</f>
        <v>0</v>
      </c>
      <c r="Q195" s="493">
        <f>Q185*地域経済性分析・初期条件!$M$21</f>
        <v>0</v>
      </c>
      <c r="R195" s="493">
        <f>R185*地域経済性分析・初期条件!$M$21</f>
        <v>0</v>
      </c>
      <c r="S195" s="493">
        <f>S185*地域経済性分析・初期条件!$M$21</f>
        <v>0</v>
      </c>
      <c r="T195" s="493">
        <f>T185*地域経済性分析・初期条件!$M$21</f>
        <v>0</v>
      </c>
      <c r="U195" s="493">
        <f>U185*地域経済性分析・初期条件!$M$21</f>
        <v>0</v>
      </c>
      <c r="V195" s="493">
        <f>V185*地域経済性分析・初期条件!$M$21</f>
        <v>0</v>
      </c>
      <c r="W195" s="493">
        <f>W185*地域経済性分析・初期条件!$M$21</f>
        <v>0</v>
      </c>
      <c r="X195" s="493">
        <f>X185*地域経済性分析・初期条件!$M$21</f>
        <v>0</v>
      </c>
      <c r="Y195" s="493">
        <f>Y185*地域経済性分析・初期条件!$M$21</f>
        <v>0</v>
      </c>
      <c r="Z195" s="493">
        <f>Z185*地域経済性分析・初期条件!$M$21</f>
        <v>0</v>
      </c>
      <c r="AA195" s="493">
        <f>AA185*地域経済性分析・初期条件!$M$21</f>
        <v>0</v>
      </c>
      <c r="AB195" s="493">
        <f>AB185*地域経済性分析・初期条件!$M$21</f>
        <v>0</v>
      </c>
      <c r="AC195" s="493">
        <f>AC185*地域経済性分析・初期条件!$M$21</f>
        <v>0</v>
      </c>
      <c r="AD195" s="493">
        <f>AD185*地域経済性分析・初期条件!$M$21</f>
        <v>0</v>
      </c>
      <c r="AE195" s="493">
        <f>AE185*地域経済性分析・初期条件!$M$21</f>
        <v>0</v>
      </c>
      <c r="AF195" s="493">
        <f>AF185*地域経済性分析・初期条件!$M$21</f>
        <v>0</v>
      </c>
      <c r="AG195" s="493">
        <f>AG185*地域経済性分析・初期条件!$M$21</f>
        <v>0</v>
      </c>
      <c r="AH195" s="493">
        <f>AH185*地域経済性分析・初期条件!$M$21</f>
        <v>0</v>
      </c>
      <c r="AI195" s="535">
        <f t="shared" si="153"/>
        <v>0</v>
      </c>
      <c r="AJ195" s="535">
        <f t="shared" si="154"/>
        <v>0</v>
      </c>
      <c r="AK195" s="497">
        <f t="shared" si="155"/>
        <v>0</v>
      </c>
    </row>
    <row r="196" spans="1:37" ht="11.5" x14ac:dyDescent="0.25">
      <c r="A196" s="533" t="str">
        <f>A184&amp;B196</f>
        <v>電気業都道府県税収（二次以降）</v>
      </c>
      <c r="B196" s="439" t="s">
        <v>336</v>
      </c>
      <c r="C196" s="452" t="s">
        <v>333</v>
      </c>
      <c r="D196" s="493">
        <f>D185*地域経済性分析・初期条件!$N$21</f>
        <v>0</v>
      </c>
      <c r="E196" s="493">
        <f>E185*地域経済性分析・初期条件!$N$21</f>
        <v>0</v>
      </c>
      <c r="F196" s="493">
        <f>F185*地域経済性分析・初期条件!$N$21</f>
        <v>0</v>
      </c>
      <c r="G196" s="493">
        <f>G185*地域経済性分析・初期条件!$N$21</f>
        <v>0</v>
      </c>
      <c r="H196" s="493">
        <f>H185*地域経済性分析・初期条件!$N$21</f>
        <v>0</v>
      </c>
      <c r="I196" s="493">
        <f>I185*地域経済性分析・初期条件!$N$21</f>
        <v>0</v>
      </c>
      <c r="J196" s="493">
        <f>J185*地域経済性分析・初期条件!$N$21</f>
        <v>0</v>
      </c>
      <c r="K196" s="493">
        <f>K185*地域経済性分析・初期条件!$N$21</f>
        <v>0</v>
      </c>
      <c r="L196" s="493">
        <f>L185*地域経済性分析・初期条件!$N$21</f>
        <v>0</v>
      </c>
      <c r="M196" s="493">
        <f>M185*地域経済性分析・初期条件!$N$21</f>
        <v>0</v>
      </c>
      <c r="N196" s="493">
        <f>N185*地域経済性分析・初期条件!$N$21</f>
        <v>0</v>
      </c>
      <c r="O196" s="493">
        <f>O185*地域経済性分析・初期条件!$N$21</f>
        <v>0</v>
      </c>
      <c r="P196" s="493">
        <f>P185*地域経済性分析・初期条件!$N$21</f>
        <v>0</v>
      </c>
      <c r="Q196" s="493">
        <f>Q185*地域経済性分析・初期条件!$N$21</f>
        <v>0</v>
      </c>
      <c r="R196" s="493">
        <f>R185*地域経済性分析・初期条件!$N$21</f>
        <v>0</v>
      </c>
      <c r="S196" s="493">
        <f>S185*地域経済性分析・初期条件!$N$21</f>
        <v>0</v>
      </c>
      <c r="T196" s="493">
        <f>T185*地域経済性分析・初期条件!$N$21</f>
        <v>0</v>
      </c>
      <c r="U196" s="493">
        <f>U185*地域経済性分析・初期条件!$N$21</f>
        <v>0</v>
      </c>
      <c r="V196" s="493">
        <f>V185*地域経済性分析・初期条件!$N$21</f>
        <v>0</v>
      </c>
      <c r="W196" s="493">
        <f>W185*地域経済性分析・初期条件!$N$21</f>
        <v>0</v>
      </c>
      <c r="X196" s="493">
        <f>X185*地域経済性分析・初期条件!$N$21</f>
        <v>0</v>
      </c>
      <c r="Y196" s="493">
        <f>Y185*地域経済性分析・初期条件!$N$21</f>
        <v>0</v>
      </c>
      <c r="Z196" s="493">
        <f>Z185*地域経済性分析・初期条件!$N$21</f>
        <v>0</v>
      </c>
      <c r="AA196" s="493">
        <f>AA185*地域経済性分析・初期条件!$N$21</f>
        <v>0</v>
      </c>
      <c r="AB196" s="493">
        <f>AB185*地域経済性分析・初期条件!$N$21</f>
        <v>0</v>
      </c>
      <c r="AC196" s="493">
        <f>AC185*地域経済性分析・初期条件!$N$21</f>
        <v>0</v>
      </c>
      <c r="AD196" s="493">
        <f>AD185*地域経済性分析・初期条件!$N$21</f>
        <v>0</v>
      </c>
      <c r="AE196" s="493">
        <f>AE185*地域経済性分析・初期条件!$N$21</f>
        <v>0</v>
      </c>
      <c r="AF196" s="493">
        <f>AF185*地域経済性分析・初期条件!$N$21</f>
        <v>0</v>
      </c>
      <c r="AG196" s="493">
        <f>AG185*地域経済性分析・初期条件!$N$21</f>
        <v>0</v>
      </c>
      <c r="AH196" s="493">
        <f>AH185*地域経済性分析・初期条件!$N$21</f>
        <v>0</v>
      </c>
      <c r="AI196" s="535">
        <f t="shared" si="153"/>
        <v>0</v>
      </c>
      <c r="AJ196" s="535">
        <f t="shared" si="154"/>
        <v>0</v>
      </c>
      <c r="AK196" s="497">
        <f t="shared" si="155"/>
        <v>0</v>
      </c>
    </row>
    <row r="197" spans="1:37" ht="11.5" x14ac:dyDescent="0.25">
      <c r="A197" s="533" t="str">
        <f>A184&amp;B197</f>
        <v>電気業市町村税収（二次以降）</v>
      </c>
      <c r="B197" s="439" t="s">
        <v>337</v>
      </c>
      <c r="C197" s="452" t="s">
        <v>333</v>
      </c>
      <c r="D197" s="493">
        <f>D185*地域経済性分析・初期条件!$O$21</f>
        <v>0</v>
      </c>
      <c r="E197" s="493">
        <f>E185*地域経済性分析・初期条件!$O$21</f>
        <v>0</v>
      </c>
      <c r="F197" s="493">
        <f>F185*地域経済性分析・初期条件!$O$21</f>
        <v>0</v>
      </c>
      <c r="G197" s="493">
        <f>G185*地域経済性分析・初期条件!$O$21</f>
        <v>0</v>
      </c>
      <c r="H197" s="493">
        <f>H185*地域経済性分析・初期条件!$O$21</f>
        <v>0</v>
      </c>
      <c r="I197" s="493">
        <f>I185*地域経済性分析・初期条件!$O$21</f>
        <v>0</v>
      </c>
      <c r="J197" s="493">
        <f>J185*地域経済性分析・初期条件!$O$21</f>
        <v>0</v>
      </c>
      <c r="K197" s="493">
        <f>K185*地域経済性分析・初期条件!$O$21</f>
        <v>0</v>
      </c>
      <c r="L197" s="493">
        <f>L185*地域経済性分析・初期条件!$O$21</f>
        <v>0</v>
      </c>
      <c r="M197" s="493">
        <f>M185*地域経済性分析・初期条件!$O$21</f>
        <v>0</v>
      </c>
      <c r="N197" s="493">
        <f>N185*地域経済性分析・初期条件!$O$21</f>
        <v>0</v>
      </c>
      <c r="O197" s="493">
        <f>O185*地域経済性分析・初期条件!$O$21</f>
        <v>0</v>
      </c>
      <c r="P197" s="493">
        <f>P185*地域経済性分析・初期条件!$O$21</f>
        <v>0</v>
      </c>
      <c r="Q197" s="493">
        <f>Q185*地域経済性分析・初期条件!$O$21</f>
        <v>0</v>
      </c>
      <c r="R197" s="493">
        <f>R185*地域経済性分析・初期条件!$O$21</f>
        <v>0</v>
      </c>
      <c r="S197" s="493">
        <f>S185*地域経済性分析・初期条件!$O$21</f>
        <v>0</v>
      </c>
      <c r="T197" s="493">
        <f>T185*地域経済性分析・初期条件!$O$21</f>
        <v>0</v>
      </c>
      <c r="U197" s="493">
        <f>U185*地域経済性分析・初期条件!$O$21</f>
        <v>0</v>
      </c>
      <c r="V197" s="493">
        <f>V185*地域経済性分析・初期条件!$O$21</f>
        <v>0</v>
      </c>
      <c r="W197" s="493">
        <f>W185*地域経済性分析・初期条件!$O$21</f>
        <v>0</v>
      </c>
      <c r="X197" s="493">
        <f>X185*地域経済性分析・初期条件!$O$21</f>
        <v>0</v>
      </c>
      <c r="Y197" s="493">
        <f>Y185*地域経済性分析・初期条件!$O$21</f>
        <v>0</v>
      </c>
      <c r="Z197" s="493">
        <f>Z185*地域経済性分析・初期条件!$O$21</f>
        <v>0</v>
      </c>
      <c r="AA197" s="493">
        <f>AA185*地域経済性分析・初期条件!$O$21</f>
        <v>0</v>
      </c>
      <c r="AB197" s="493">
        <f>AB185*地域経済性分析・初期条件!$O$21</f>
        <v>0</v>
      </c>
      <c r="AC197" s="493">
        <f>AC185*地域経済性分析・初期条件!$O$21</f>
        <v>0</v>
      </c>
      <c r="AD197" s="493">
        <f>AD185*地域経済性分析・初期条件!$O$21</f>
        <v>0</v>
      </c>
      <c r="AE197" s="493">
        <f>AE185*地域経済性分析・初期条件!$O$21</f>
        <v>0</v>
      </c>
      <c r="AF197" s="493">
        <f>AF185*地域経済性分析・初期条件!$O$21</f>
        <v>0</v>
      </c>
      <c r="AG197" s="493">
        <f>AG185*地域経済性分析・初期条件!$O$21</f>
        <v>0</v>
      </c>
      <c r="AH197" s="493">
        <f>AH185*地域経済性分析・初期条件!$O$21</f>
        <v>0</v>
      </c>
      <c r="AI197" s="535">
        <f t="shared" si="153"/>
        <v>0</v>
      </c>
      <c r="AJ197" s="535">
        <f t="shared" si="154"/>
        <v>0</v>
      </c>
      <c r="AK197" s="497">
        <f t="shared" si="155"/>
        <v>0</v>
      </c>
    </row>
    <row r="198" spans="1:37" ht="11.5" x14ac:dyDescent="0.25">
      <c r="A198" s="488" t="str">
        <f>地域経済性分析・初期条件!$G$22</f>
        <v>ガス・熱供給・水道業</v>
      </c>
      <c r="C198" s="452"/>
      <c r="D198" s="493"/>
      <c r="E198" s="493"/>
      <c r="F198" s="465"/>
      <c r="G198" s="465"/>
      <c r="H198" s="465"/>
      <c r="I198" s="465"/>
      <c r="J198" s="465"/>
      <c r="K198" s="465"/>
      <c r="L198" s="465"/>
      <c r="M198" s="465"/>
      <c r="N198" s="465"/>
      <c r="O198" s="465"/>
      <c r="P198" s="465"/>
      <c r="Q198" s="465"/>
      <c r="R198" s="465"/>
      <c r="S198" s="465"/>
      <c r="T198" s="465"/>
      <c r="U198" s="465"/>
      <c r="V198" s="465"/>
      <c r="W198" s="465"/>
      <c r="X198" s="465"/>
      <c r="Y198" s="465"/>
      <c r="Z198" s="465"/>
      <c r="AA198" s="465"/>
      <c r="AB198" s="465"/>
      <c r="AC198" s="465"/>
      <c r="AD198" s="465"/>
      <c r="AE198" s="465"/>
      <c r="AF198" s="465"/>
      <c r="AG198" s="465"/>
      <c r="AH198" s="465"/>
      <c r="AI198" s="535"/>
      <c r="AJ198" s="535"/>
      <c r="AK198" s="497"/>
    </row>
    <row r="199" spans="1:37" ht="11.5" x14ac:dyDescent="0.25">
      <c r="A199" s="533" t="str">
        <f>A198&amp;B199</f>
        <v>ガス・熱供給・水道業売上（税別）</v>
      </c>
      <c r="B199" s="439" t="s">
        <v>1092</v>
      </c>
      <c r="C199" s="451" t="s">
        <v>37</v>
      </c>
      <c r="D199" s="493">
        <f>D183*地域経済性分析・初期条件!$F$22</f>
        <v>0</v>
      </c>
      <c r="E199" s="493">
        <f>E183*地域経済性分析・初期条件!$F$22</f>
        <v>21070452.699596424</v>
      </c>
      <c r="F199" s="493">
        <f>F183*地域経済性分析・初期条件!$F$22</f>
        <v>21070452.699596424</v>
      </c>
      <c r="G199" s="493">
        <f>G183*地域経済性分析・初期条件!$F$22</f>
        <v>21070452.699596424</v>
      </c>
      <c r="H199" s="493">
        <f>H183*地域経済性分析・初期条件!$F$22</f>
        <v>21070452.699596424</v>
      </c>
      <c r="I199" s="493">
        <f>I183*地域経済性分析・初期条件!$F$22</f>
        <v>21070452.699596424</v>
      </c>
      <c r="J199" s="493">
        <f>J183*地域経済性分析・初期条件!$F$22</f>
        <v>21070452.699596424</v>
      </c>
      <c r="K199" s="493">
        <f>K183*地域経済性分析・初期条件!$F$22</f>
        <v>21070452.699596424</v>
      </c>
      <c r="L199" s="493">
        <f>L183*地域経済性分析・初期条件!$F$22</f>
        <v>21070452.699596424</v>
      </c>
      <c r="M199" s="493">
        <f>M183*地域経済性分析・初期条件!$F$22</f>
        <v>21070452.699596424</v>
      </c>
      <c r="N199" s="493">
        <f>N183*地域経済性分析・初期条件!$F$22</f>
        <v>21070452.699596424</v>
      </c>
      <c r="O199" s="493">
        <f>O183*地域経済性分析・初期条件!$F$22</f>
        <v>21070452.699596424</v>
      </c>
      <c r="P199" s="493">
        <f>P183*地域経済性分析・初期条件!$F$22</f>
        <v>21070452.699596424</v>
      </c>
      <c r="Q199" s="493">
        <f>Q183*地域経済性分析・初期条件!$F$22</f>
        <v>21070452.699596424</v>
      </c>
      <c r="R199" s="493">
        <f>R183*地域経済性分析・初期条件!$F$22</f>
        <v>21070452.699596424</v>
      </c>
      <c r="S199" s="493">
        <f>S183*地域経済性分析・初期条件!$F$22</f>
        <v>21070452.699596424</v>
      </c>
      <c r="T199" s="493">
        <f>T183*地域経済性分析・初期条件!$F$22</f>
        <v>21070452.699596424</v>
      </c>
      <c r="U199" s="493">
        <f>U183*地域経済性分析・初期条件!$F$22</f>
        <v>21070452.699596424</v>
      </c>
      <c r="V199" s="493">
        <f>V183*地域経済性分析・初期条件!$F$22</f>
        <v>21070452.699596424</v>
      </c>
      <c r="W199" s="493">
        <f>W183*地域経済性分析・初期条件!$F$22</f>
        <v>21070452.699596424</v>
      </c>
      <c r="X199" s="493">
        <f>X183*地域経済性分析・初期条件!$F$22</f>
        <v>21070452.699596424</v>
      </c>
      <c r="Y199" s="493">
        <f>Y183*地域経済性分析・初期条件!$F$22</f>
        <v>21070452.699596424</v>
      </c>
      <c r="Z199" s="493">
        <f>Z183*地域経済性分析・初期条件!$F$22</f>
        <v>21070452.699596424</v>
      </c>
      <c r="AA199" s="493">
        <f>AA183*地域経済性分析・初期条件!$F$22</f>
        <v>21070452.699596424</v>
      </c>
      <c r="AB199" s="493">
        <f>AB183*地域経済性分析・初期条件!$F$22</f>
        <v>21070452.699596424</v>
      </c>
      <c r="AC199" s="493">
        <f>AC183*地域経済性分析・初期条件!$F$22</f>
        <v>21070452.699596424</v>
      </c>
      <c r="AD199" s="493">
        <f>AD183*地域経済性分析・初期条件!$F$22</f>
        <v>21070452.699596424</v>
      </c>
      <c r="AE199" s="493">
        <f>AE183*地域経済性分析・初期条件!$F$22</f>
        <v>21070452.699596424</v>
      </c>
      <c r="AF199" s="493">
        <f>AF183*地域経済性分析・初期条件!$F$22</f>
        <v>21070452.699596424</v>
      </c>
      <c r="AG199" s="493">
        <f>AG183*地域経済性分析・初期条件!$F$22</f>
        <v>21070452.699596424</v>
      </c>
      <c r="AH199" s="493">
        <f>AH183*地域経済性分析・初期条件!$F$22</f>
        <v>21070452.699596424</v>
      </c>
      <c r="AI199" s="535">
        <f t="shared" ref="AI199:AI211" si="159">SUM(D199:N199)</f>
        <v>210704526.99596426</v>
      </c>
      <c r="AJ199" s="535">
        <f t="shared" ref="AJ199:AJ204" si="160">SUM(D199:X199)</f>
        <v>421409053.9919284</v>
      </c>
      <c r="AK199" s="497">
        <f t="shared" ref="AK199:AK204" si="161">SUM(D199:AH199)</f>
        <v>632113580.98789251</v>
      </c>
    </row>
    <row r="200" spans="1:37" ht="11.5" x14ac:dyDescent="0.25">
      <c r="A200" s="533"/>
      <c r="B200" s="439" t="s">
        <v>1136</v>
      </c>
      <c r="C200" s="451" t="s">
        <v>37</v>
      </c>
      <c r="D200" s="493">
        <f>D199*波及効果シート!$D$72</f>
        <v>0</v>
      </c>
      <c r="E200" s="493">
        <f>E199*波及効果シート!$D$72</f>
        <v>231774.97969556064</v>
      </c>
      <c r="F200" s="493">
        <f>F199*波及効果シート!$D$72</f>
        <v>231774.97969556064</v>
      </c>
      <c r="G200" s="493">
        <f>G199*波及効果シート!$D$72</f>
        <v>231774.97969556064</v>
      </c>
      <c r="H200" s="493">
        <f>H199*波及効果シート!$D$72</f>
        <v>231774.97969556064</v>
      </c>
      <c r="I200" s="493">
        <f>I199*波及効果シート!$D$72</f>
        <v>231774.97969556064</v>
      </c>
      <c r="J200" s="493">
        <f>J199*波及効果シート!$D$72</f>
        <v>231774.97969556064</v>
      </c>
      <c r="K200" s="493">
        <f>K199*波及効果シート!$D$72</f>
        <v>231774.97969556064</v>
      </c>
      <c r="L200" s="493">
        <f>L199*波及効果シート!$D$72</f>
        <v>231774.97969556064</v>
      </c>
      <c r="M200" s="493">
        <f>M199*波及効果シート!$D$72</f>
        <v>231774.97969556064</v>
      </c>
      <c r="N200" s="493">
        <f>N199*波及効果シート!$D$72</f>
        <v>231774.97969556064</v>
      </c>
      <c r="O200" s="493">
        <f>O199*波及効果シート!$D$72</f>
        <v>231774.97969556064</v>
      </c>
      <c r="P200" s="493">
        <f>P199*波及効果シート!$D$72</f>
        <v>231774.97969556064</v>
      </c>
      <c r="Q200" s="493">
        <f>Q199*波及効果シート!$D$72</f>
        <v>231774.97969556064</v>
      </c>
      <c r="R200" s="493">
        <f>R199*波及効果シート!$D$72</f>
        <v>231774.97969556064</v>
      </c>
      <c r="S200" s="493">
        <f>S199*波及効果シート!$D$72</f>
        <v>231774.97969556064</v>
      </c>
      <c r="T200" s="493">
        <f>T199*波及効果シート!$D$72</f>
        <v>231774.97969556064</v>
      </c>
      <c r="U200" s="493">
        <f>U199*波及効果シート!$D$72</f>
        <v>231774.97969556064</v>
      </c>
      <c r="V200" s="493">
        <f>V199*波及効果シート!$D$72</f>
        <v>231774.97969556064</v>
      </c>
      <c r="W200" s="493">
        <f>W199*波及効果シート!$D$72</f>
        <v>231774.97969556064</v>
      </c>
      <c r="X200" s="493">
        <f>X199*波及効果シート!$D$72</f>
        <v>231774.97969556064</v>
      </c>
      <c r="Y200" s="493">
        <f>Y199*波及効果シート!$D$72</f>
        <v>231774.97969556064</v>
      </c>
      <c r="Z200" s="493">
        <f>Z199*波及効果シート!$D$72</f>
        <v>231774.97969556064</v>
      </c>
      <c r="AA200" s="493">
        <f>AA199*波及効果シート!$D$72</f>
        <v>231774.97969556064</v>
      </c>
      <c r="AB200" s="493">
        <f>AB199*波及効果シート!$D$72</f>
        <v>231774.97969556064</v>
      </c>
      <c r="AC200" s="493">
        <f>AC199*波及効果シート!$D$72</f>
        <v>231774.97969556064</v>
      </c>
      <c r="AD200" s="493">
        <f>AD199*波及効果シート!$D$72</f>
        <v>231774.97969556064</v>
      </c>
      <c r="AE200" s="493">
        <f>AE199*波及効果シート!$D$72</f>
        <v>231774.97969556064</v>
      </c>
      <c r="AF200" s="493">
        <f>AF199*波及効果シート!$D$72</f>
        <v>231774.97969556064</v>
      </c>
      <c r="AG200" s="493">
        <f>AG199*波及効果シート!$D$72</f>
        <v>231774.97969556064</v>
      </c>
      <c r="AH200" s="493">
        <f>AH199*波及効果シート!$D$72</f>
        <v>231774.97969556064</v>
      </c>
      <c r="AI200" s="535">
        <f t="shared" ref="AI200:AI201" si="162">SUM(D200:N200)</f>
        <v>2317749.7969556064</v>
      </c>
      <c r="AJ200" s="535">
        <f t="shared" ref="AJ200:AJ201" si="163">SUM(D200:X200)</f>
        <v>4635499.593911211</v>
      </c>
      <c r="AK200" s="497">
        <f t="shared" ref="AK200:AK201" si="164">SUM(D200:AH200)</f>
        <v>6953249.3908668151</v>
      </c>
    </row>
    <row r="201" spans="1:37" ht="11.5" x14ac:dyDescent="0.25">
      <c r="A201" s="533"/>
      <c r="B201" s="439" t="s">
        <v>1137</v>
      </c>
      <c r="C201" s="452" t="s">
        <v>37</v>
      </c>
      <c r="D201" s="493">
        <f>D199*波及効果シート!$D$74</f>
        <v>0</v>
      </c>
      <c r="E201" s="493">
        <f>E199*波及効果シート!$D$74</f>
        <v>231774.97969556064</v>
      </c>
      <c r="F201" s="493">
        <f>F199*波及効果シート!$D$74</f>
        <v>231774.97969556064</v>
      </c>
      <c r="G201" s="493">
        <f>G199*波及効果シート!$D$74</f>
        <v>231774.97969556064</v>
      </c>
      <c r="H201" s="493">
        <f>H199*波及効果シート!$D$74</f>
        <v>231774.97969556064</v>
      </c>
      <c r="I201" s="493">
        <f>I199*波及効果シート!$D$74</f>
        <v>231774.97969556064</v>
      </c>
      <c r="J201" s="493">
        <f>J199*波及効果シート!$D$74</f>
        <v>231774.97969556064</v>
      </c>
      <c r="K201" s="493">
        <f>K199*波及効果シート!$D$74</f>
        <v>231774.97969556064</v>
      </c>
      <c r="L201" s="493">
        <f>L199*波及効果シート!$D$74</f>
        <v>231774.97969556064</v>
      </c>
      <c r="M201" s="493">
        <f>M199*波及効果シート!$D$74</f>
        <v>231774.97969556064</v>
      </c>
      <c r="N201" s="493">
        <f>N199*波及効果シート!$D$74</f>
        <v>231774.97969556064</v>
      </c>
      <c r="O201" s="493">
        <f>O199*波及効果シート!$D$74</f>
        <v>231774.97969556064</v>
      </c>
      <c r="P201" s="493">
        <f>P199*波及効果シート!$D$74</f>
        <v>231774.97969556064</v>
      </c>
      <c r="Q201" s="493">
        <f>Q199*波及効果シート!$D$74</f>
        <v>231774.97969556064</v>
      </c>
      <c r="R201" s="493">
        <f>R199*波及効果シート!$D$74</f>
        <v>231774.97969556064</v>
      </c>
      <c r="S201" s="493">
        <f>S199*波及効果シート!$D$74</f>
        <v>231774.97969556064</v>
      </c>
      <c r="T201" s="493">
        <f>T199*波及効果シート!$D$74</f>
        <v>231774.97969556064</v>
      </c>
      <c r="U201" s="493">
        <f>U199*波及効果シート!$D$74</f>
        <v>231774.97969556064</v>
      </c>
      <c r="V201" s="493">
        <f>V199*波及効果シート!$D$74</f>
        <v>231774.97969556064</v>
      </c>
      <c r="W201" s="493">
        <f>W199*波及効果シート!$D$74</f>
        <v>231774.97969556064</v>
      </c>
      <c r="X201" s="493">
        <f>X199*波及効果シート!$D$74</f>
        <v>231774.97969556064</v>
      </c>
      <c r="Y201" s="493">
        <f>Y199*波及効果シート!$D$74</f>
        <v>231774.97969556064</v>
      </c>
      <c r="Z201" s="493">
        <f>Z199*波及効果シート!$D$74</f>
        <v>231774.97969556064</v>
      </c>
      <c r="AA201" s="493">
        <f>AA199*波及効果シート!$D$74</f>
        <v>231774.97969556064</v>
      </c>
      <c r="AB201" s="493">
        <f>AB199*波及効果シート!$D$74</f>
        <v>231774.97969556064</v>
      </c>
      <c r="AC201" s="493">
        <f>AC199*波及効果シート!$D$74</f>
        <v>231774.97969556064</v>
      </c>
      <c r="AD201" s="493">
        <f>AD199*波及効果シート!$D$74</f>
        <v>231774.97969556064</v>
      </c>
      <c r="AE201" s="493">
        <f>AE199*波及効果シート!$D$74</f>
        <v>231774.97969556064</v>
      </c>
      <c r="AF201" s="493">
        <f>AF199*波及効果シート!$D$74</f>
        <v>231774.97969556064</v>
      </c>
      <c r="AG201" s="493">
        <f>AG199*波及効果シート!$D$74</f>
        <v>231774.97969556064</v>
      </c>
      <c r="AH201" s="493">
        <f>AH199*波及効果シート!$D$74</f>
        <v>231774.97969556064</v>
      </c>
      <c r="AI201" s="535">
        <f t="shared" si="162"/>
        <v>2317749.7969556064</v>
      </c>
      <c r="AJ201" s="535">
        <f t="shared" si="163"/>
        <v>4635499.593911211</v>
      </c>
      <c r="AK201" s="497">
        <f t="shared" si="164"/>
        <v>6953249.3908668151</v>
      </c>
    </row>
    <row r="202" spans="1:37" ht="11.5" x14ac:dyDescent="0.25">
      <c r="A202" s="533" t="str">
        <f>A198&amp;B202</f>
        <v>ガス・熱供給・水道業所得税（国税）</v>
      </c>
      <c r="B202" s="439" t="s">
        <v>351</v>
      </c>
      <c r="C202" s="452" t="s">
        <v>333</v>
      </c>
      <c r="D202" s="493">
        <f>D199*地域経済性分析・初期条件!$P$22</f>
        <v>0</v>
      </c>
      <c r="E202" s="493">
        <f>E199*地域経済性分析・初期条件!$P$22</f>
        <v>4214090.5399192851</v>
      </c>
      <c r="F202" s="493">
        <f>F199*地域経済性分析・初期条件!$P$22</f>
        <v>4214090.5399192851</v>
      </c>
      <c r="G202" s="493">
        <f>G199*地域経済性分析・初期条件!$P$22</f>
        <v>4214090.5399192851</v>
      </c>
      <c r="H202" s="493">
        <f>H199*地域経済性分析・初期条件!$P$22</f>
        <v>4214090.5399192851</v>
      </c>
      <c r="I202" s="493">
        <f>I199*地域経済性分析・初期条件!$P$22</f>
        <v>4214090.5399192851</v>
      </c>
      <c r="J202" s="493">
        <f>J199*地域経済性分析・初期条件!$P$22</f>
        <v>4214090.5399192851</v>
      </c>
      <c r="K202" s="493">
        <f>K199*地域経済性分析・初期条件!$P$22</f>
        <v>4214090.5399192851</v>
      </c>
      <c r="L202" s="493">
        <f>L199*地域経済性分析・初期条件!$P$22</f>
        <v>4214090.5399192851</v>
      </c>
      <c r="M202" s="493">
        <f>M199*地域経済性分析・初期条件!$P$22</f>
        <v>4214090.5399192851</v>
      </c>
      <c r="N202" s="493">
        <f>N199*地域経済性分析・初期条件!$P$22</f>
        <v>4214090.5399192851</v>
      </c>
      <c r="O202" s="493">
        <f>O199*地域経済性分析・初期条件!$P$22</f>
        <v>4214090.5399192851</v>
      </c>
      <c r="P202" s="493">
        <f>P199*地域経済性分析・初期条件!$P$22</f>
        <v>4214090.5399192851</v>
      </c>
      <c r="Q202" s="493">
        <f>Q199*地域経済性分析・初期条件!$P$22</f>
        <v>4214090.5399192851</v>
      </c>
      <c r="R202" s="493">
        <f>R199*地域経済性分析・初期条件!$P$22</f>
        <v>4214090.5399192851</v>
      </c>
      <c r="S202" s="493">
        <f>S199*地域経済性分析・初期条件!$P$22</f>
        <v>4214090.5399192851</v>
      </c>
      <c r="T202" s="493">
        <f>T199*地域経済性分析・初期条件!$P$22</f>
        <v>4214090.5399192851</v>
      </c>
      <c r="U202" s="493">
        <f>U199*地域経済性分析・初期条件!$P$22</f>
        <v>4214090.5399192851</v>
      </c>
      <c r="V202" s="493">
        <f>V199*地域経済性分析・初期条件!$P$22</f>
        <v>4214090.5399192851</v>
      </c>
      <c r="W202" s="493">
        <f>W199*地域経済性分析・初期条件!$P$22</f>
        <v>4214090.5399192851</v>
      </c>
      <c r="X202" s="493">
        <f>X199*地域経済性分析・初期条件!$P$22</f>
        <v>4214090.5399192851</v>
      </c>
      <c r="Y202" s="493">
        <f>Y199*地域経済性分析・初期条件!$P$22</f>
        <v>4214090.5399192851</v>
      </c>
      <c r="Z202" s="493">
        <f>Z199*地域経済性分析・初期条件!$P$22</f>
        <v>4214090.5399192851</v>
      </c>
      <c r="AA202" s="493">
        <f>AA199*地域経済性分析・初期条件!$P$22</f>
        <v>4214090.5399192851</v>
      </c>
      <c r="AB202" s="493">
        <f>AB199*地域経済性分析・初期条件!$P$22</f>
        <v>4214090.5399192851</v>
      </c>
      <c r="AC202" s="493">
        <f>AC199*地域経済性分析・初期条件!$P$22</f>
        <v>4214090.5399192851</v>
      </c>
      <c r="AD202" s="493">
        <f>AD199*地域経済性分析・初期条件!$P$22</f>
        <v>4214090.5399192851</v>
      </c>
      <c r="AE202" s="493">
        <f>AE199*地域経済性分析・初期条件!$P$22</f>
        <v>4214090.5399192851</v>
      </c>
      <c r="AF202" s="493">
        <f>AF199*地域経済性分析・初期条件!$P$22</f>
        <v>4214090.5399192851</v>
      </c>
      <c r="AG202" s="493">
        <f>AG199*地域経済性分析・初期条件!$P$22</f>
        <v>4214090.5399192851</v>
      </c>
      <c r="AH202" s="493">
        <f>AH199*地域経済性分析・初期条件!$P$22</f>
        <v>4214090.5399192851</v>
      </c>
      <c r="AI202" s="535">
        <f t="shared" si="159"/>
        <v>42140905.399192862</v>
      </c>
      <c r="AJ202" s="535">
        <f t="shared" si="160"/>
        <v>84281810.798385724</v>
      </c>
      <c r="AK202" s="497">
        <f t="shared" si="161"/>
        <v>126422716.19757859</v>
      </c>
    </row>
    <row r="203" spans="1:37" ht="11.5" x14ac:dyDescent="0.25">
      <c r="A203" s="533" t="str">
        <f>A198&amp;B203</f>
        <v>ガス・熱供給・水道業法人税（国税）</v>
      </c>
      <c r="B203" s="439" t="s">
        <v>350</v>
      </c>
      <c r="C203" s="452" t="s">
        <v>333</v>
      </c>
      <c r="D203" s="493">
        <f>D199*地域経済性分析・初期条件!$Q$22</f>
        <v>0</v>
      </c>
      <c r="E203" s="493">
        <f>E199*地域経済性分析・初期条件!$Q$22</f>
        <v>3160567.9049394634</v>
      </c>
      <c r="F203" s="493">
        <f>F199*地域経済性分析・初期条件!$Q$22</f>
        <v>3160567.9049394634</v>
      </c>
      <c r="G203" s="493">
        <f>G199*地域経済性分析・初期条件!$Q$22</f>
        <v>3160567.9049394634</v>
      </c>
      <c r="H203" s="493">
        <f>H199*地域経済性分析・初期条件!$Q$22</f>
        <v>3160567.9049394634</v>
      </c>
      <c r="I203" s="493">
        <f>I199*地域経済性分析・初期条件!$Q$22</f>
        <v>3160567.9049394634</v>
      </c>
      <c r="J203" s="493">
        <f>J199*地域経済性分析・初期条件!$Q$22</f>
        <v>3160567.9049394634</v>
      </c>
      <c r="K203" s="493">
        <f>K199*地域経済性分析・初期条件!$Q$22</f>
        <v>3160567.9049394634</v>
      </c>
      <c r="L203" s="493">
        <f>L199*地域経済性分析・初期条件!$Q$22</f>
        <v>3160567.9049394634</v>
      </c>
      <c r="M203" s="493">
        <f>M199*地域経済性分析・初期条件!$Q$22</f>
        <v>3160567.9049394634</v>
      </c>
      <c r="N203" s="493">
        <f>N199*地域経済性分析・初期条件!$Q$22</f>
        <v>3160567.9049394634</v>
      </c>
      <c r="O203" s="493">
        <f>O199*地域経済性分析・初期条件!$Q$22</f>
        <v>3160567.9049394634</v>
      </c>
      <c r="P203" s="493">
        <f>P199*地域経済性分析・初期条件!$Q$22</f>
        <v>3160567.9049394634</v>
      </c>
      <c r="Q203" s="493">
        <f>Q199*地域経済性分析・初期条件!$Q$22</f>
        <v>3160567.9049394634</v>
      </c>
      <c r="R203" s="493">
        <f>R199*地域経済性分析・初期条件!$Q$22</f>
        <v>3160567.9049394634</v>
      </c>
      <c r="S203" s="493">
        <f>S199*地域経済性分析・初期条件!$Q$22</f>
        <v>3160567.9049394634</v>
      </c>
      <c r="T203" s="493">
        <f>T199*地域経済性分析・初期条件!$Q$22</f>
        <v>3160567.9049394634</v>
      </c>
      <c r="U203" s="493">
        <f>U199*地域経済性分析・初期条件!$Q$22</f>
        <v>3160567.9049394634</v>
      </c>
      <c r="V203" s="493">
        <f>V199*地域経済性分析・初期条件!$Q$22</f>
        <v>3160567.9049394634</v>
      </c>
      <c r="W203" s="493">
        <f>W199*地域経済性分析・初期条件!$Q$22</f>
        <v>3160567.9049394634</v>
      </c>
      <c r="X203" s="493">
        <f>X199*地域経済性分析・初期条件!$Q$22</f>
        <v>3160567.9049394634</v>
      </c>
      <c r="Y203" s="493">
        <f>Y199*地域経済性分析・初期条件!$Q$22</f>
        <v>3160567.9049394634</v>
      </c>
      <c r="Z203" s="493">
        <f>Z199*地域経済性分析・初期条件!$Q$22</f>
        <v>3160567.9049394634</v>
      </c>
      <c r="AA203" s="493">
        <f>AA199*地域経済性分析・初期条件!$Q$22</f>
        <v>3160567.9049394634</v>
      </c>
      <c r="AB203" s="493">
        <f>AB199*地域経済性分析・初期条件!$Q$22</f>
        <v>3160567.9049394634</v>
      </c>
      <c r="AC203" s="493">
        <f>AC199*地域経済性分析・初期条件!$Q$22</f>
        <v>3160567.9049394634</v>
      </c>
      <c r="AD203" s="493">
        <f>AD199*地域経済性分析・初期条件!$Q$22</f>
        <v>3160567.9049394634</v>
      </c>
      <c r="AE203" s="493">
        <f>AE199*地域経済性分析・初期条件!$Q$22</f>
        <v>3160567.9049394634</v>
      </c>
      <c r="AF203" s="493">
        <f>AF199*地域経済性分析・初期条件!$Q$22</f>
        <v>3160567.9049394634</v>
      </c>
      <c r="AG203" s="493">
        <f>AG199*地域経済性分析・初期条件!$Q$22</f>
        <v>3160567.9049394634</v>
      </c>
      <c r="AH203" s="493">
        <f>AH199*地域経済性分析・初期条件!$Q$22</f>
        <v>3160567.9049394634</v>
      </c>
      <c r="AI203" s="535">
        <f t="shared" si="159"/>
        <v>31605679.049394637</v>
      </c>
      <c r="AJ203" s="535">
        <f t="shared" si="160"/>
        <v>63211358.09878929</v>
      </c>
      <c r="AK203" s="497">
        <f t="shared" si="161"/>
        <v>94817037.148183882</v>
      </c>
    </row>
    <row r="204" spans="1:37" ht="11.5" x14ac:dyDescent="0.25">
      <c r="A204" s="533" t="str">
        <f>A198&amp;B204</f>
        <v>ガス・熱供給・水道業従業員の可処分所得（一次）</v>
      </c>
      <c r="B204" s="439" t="s">
        <v>329</v>
      </c>
      <c r="C204" s="451" t="s">
        <v>37</v>
      </c>
      <c r="D204" s="493">
        <f>D199*地域経済性分析・初期条件!$H$22</f>
        <v>0</v>
      </c>
      <c r="E204" s="493">
        <f>E199*地域経済性分析・初期条件!$H$22</f>
        <v>920493.85711611353</v>
      </c>
      <c r="F204" s="493">
        <f>F199*地域経済性分析・初期条件!$H$22</f>
        <v>920493.85711611353</v>
      </c>
      <c r="G204" s="493">
        <f>G199*地域経済性分析・初期条件!$H$22</f>
        <v>920493.85711611353</v>
      </c>
      <c r="H204" s="493">
        <f>H199*地域経済性分析・初期条件!$H$22</f>
        <v>920493.85711611353</v>
      </c>
      <c r="I204" s="493">
        <f>I199*地域経済性分析・初期条件!$H$22</f>
        <v>920493.85711611353</v>
      </c>
      <c r="J204" s="493">
        <f>J199*地域経済性分析・初期条件!$H$22</f>
        <v>920493.85711611353</v>
      </c>
      <c r="K204" s="493">
        <f>K199*地域経済性分析・初期条件!$H$22</f>
        <v>920493.85711611353</v>
      </c>
      <c r="L204" s="493">
        <f>L199*地域経済性分析・初期条件!$H$22</f>
        <v>920493.85711611353</v>
      </c>
      <c r="M204" s="493">
        <f>M199*地域経済性分析・初期条件!$H$22</f>
        <v>920493.85711611353</v>
      </c>
      <c r="N204" s="493">
        <f>N199*地域経済性分析・初期条件!$H$22</f>
        <v>920493.85711611353</v>
      </c>
      <c r="O204" s="493">
        <f>O199*地域経済性分析・初期条件!$H$22</f>
        <v>920493.85711611353</v>
      </c>
      <c r="P204" s="493">
        <f>P199*地域経済性分析・初期条件!$H$22</f>
        <v>920493.85711611353</v>
      </c>
      <c r="Q204" s="493">
        <f>Q199*地域経済性分析・初期条件!$H$22</f>
        <v>920493.85711611353</v>
      </c>
      <c r="R204" s="493">
        <f>R199*地域経済性分析・初期条件!$H$22</f>
        <v>920493.85711611353</v>
      </c>
      <c r="S204" s="493">
        <f>S199*地域経済性分析・初期条件!$H$22</f>
        <v>920493.85711611353</v>
      </c>
      <c r="T204" s="493">
        <f>T199*地域経済性分析・初期条件!$H$22</f>
        <v>920493.85711611353</v>
      </c>
      <c r="U204" s="493">
        <f>U199*地域経済性分析・初期条件!$H$22</f>
        <v>920493.85711611353</v>
      </c>
      <c r="V204" s="493">
        <f>V199*地域経済性分析・初期条件!$H$22</f>
        <v>920493.85711611353</v>
      </c>
      <c r="W204" s="493">
        <f>W199*地域経済性分析・初期条件!$H$22</f>
        <v>920493.85711611353</v>
      </c>
      <c r="X204" s="493">
        <f>X199*地域経済性分析・初期条件!$H$22</f>
        <v>920493.85711611353</v>
      </c>
      <c r="Y204" s="493">
        <f>Y199*地域経済性分析・初期条件!$H$22</f>
        <v>920493.85711611353</v>
      </c>
      <c r="Z204" s="493">
        <f>Z199*地域経済性分析・初期条件!$H$22</f>
        <v>920493.85711611353</v>
      </c>
      <c r="AA204" s="493">
        <f>AA199*地域経済性分析・初期条件!$H$22</f>
        <v>920493.85711611353</v>
      </c>
      <c r="AB204" s="493">
        <f>AB199*地域経済性分析・初期条件!$H$22</f>
        <v>920493.85711611353</v>
      </c>
      <c r="AC204" s="493">
        <f>AC199*地域経済性分析・初期条件!$H$22</f>
        <v>920493.85711611353</v>
      </c>
      <c r="AD204" s="493">
        <f>AD199*地域経済性分析・初期条件!$H$22</f>
        <v>920493.85711611353</v>
      </c>
      <c r="AE204" s="493">
        <f>AE199*地域経済性分析・初期条件!$H$22</f>
        <v>920493.85711611353</v>
      </c>
      <c r="AF204" s="493">
        <f>AF199*地域経済性分析・初期条件!$H$22</f>
        <v>920493.85711611353</v>
      </c>
      <c r="AG204" s="493">
        <f>AG199*地域経済性分析・初期条件!$H$22</f>
        <v>920493.85711611353</v>
      </c>
      <c r="AH204" s="493">
        <f>AH199*地域経済性分析・初期条件!$H$22</f>
        <v>920493.85711611353</v>
      </c>
      <c r="AI204" s="535">
        <f t="shared" si="159"/>
        <v>9204938.571161136</v>
      </c>
      <c r="AJ204" s="535">
        <f t="shared" si="160"/>
        <v>18409877.14232228</v>
      </c>
      <c r="AK204" s="497">
        <f t="shared" si="161"/>
        <v>27614815.713483423</v>
      </c>
    </row>
    <row r="205" spans="1:37" ht="11.5" x14ac:dyDescent="0.25">
      <c r="A205" s="533" t="str">
        <f>A198&amp;B205</f>
        <v>ガス・熱供給・水道業企業の税引後利益（一次）</v>
      </c>
      <c r="B205" s="439" t="s">
        <v>330</v>
      </c>
      <c r="C205" s="451" t="s">
        <v>37</v>
      </c>
      <c r="D205" s="493">
        <f>D199*地域経済性分析・初期条件!$I$22</f>
        <v>0</v>
      </c>
      <c r="E205" s="493">
        <f>E199*地域経済性分析・初期条件!$I$22</f>
        <v>900110.66032133182</v>
      </c>
      <c r="F205" s="493">
        <f>F199*地域経済性分析・初期条件!$I$22</f>
        <v>900110.66032133182</v>
      </c>
      <c r="G205" s="493">
        <f>G199*地域経済性分析・初期条件!$I$22</f>
        <v>900110.66032133182</v>
      </c>
      <c r="H205" s="493">
        <f>H199*地域経済性分析・初期条件!$I$22</f>
        <v>900110.66032133182</v>
      </c>
      <c r="I205" s="493">
        <f>I199*地域経済性分析・初期条件!$I$22</f>
        <v>900110.66032133182</v>
      </c>
      <c r="J205" s="493">
        <f>J199*地域経済性分析・初期条件!$I$22</f>
        <v>900110.66032133182</v>
      </c>
      <c r="K205" s="493">
        <f>K199*地域経済性分析・初期条件!$I$22</f>
        <v>900110.66032133182</v>
      </c>
      <c r="L205" s="493">
        <f>L199*地域経済性分析・初期条件!$I$22</f>
        <v>900110.66032133182</v>
      </c>
      <c r="M205" s="493">
        <f>M199*地域経済性分析・初期条件!$I$22</f>
        <v>900110.66032133182</v>
      </c>
      <c r="N205" s="493">
        <f>N199*地域経済性分析・初期条件!$I$22</f>
        <v>900110.66032133182</v>
      </c>
      <c r="O205" s="493">
        <f>O199*地域経済性分析・初期条件!$I$22</f>
        <v>900110.66032133182</v>
      </c>
      <c r="P205" s="493">
        <f>P199*地域経済性分析・初期条件!$I$22</f>
        <v>900110.66032133182</v>
      </c>
      <c r="Q205" s="493">
        <f>Q199*地域経済性分析・初期条件!$I$22</f>
        <v>900110.66032133182</v>
      </c>
      <c r="R205" s="493">
        <f>R199*地域経済性分析・初期条件!$I$22</f>
        <v>900110.66032133182</v>
      </c>
      <c r="S205" s="493">
        <f>S199*地域経済性分析・初期条件!$I$22</f>
        <v>900110.66032133182</v>
      </c>
      <c r="T205" s="493">
        <f>T199*地域経済性分析・初期条件!$I$22</f>
        <v>900110.66032133182</v>
      </c>
      <c r="U205" s="493">
        <f>U199*地域経済性分析・初期条件!$I$22</f>
        <v>900110.66032133182</v>
      </c>
      <c r="V205" s="493">
        <f>V199*地域経済性分析・初期条件!$I$22</f>
        <v>900110.66032133182</v>
      </c>
      <c r="W205" s="493">
        <f>W199*地域経済性分析・初期条件!$I$22</f>
        <v>900110.66032133182</v>
      </c>
      <c r="X205" s="493">
        <f>X199*地域経済性分析・初期条件!$I$22</f>
        <v>900110.66032133182</v>
      </c>
      <c r="Y205" s="493">
        <f>Y199*地域経済性分析・初期条件!$I$22</f>
        <v>900110.66032133182</v>
      </c>
      <c r="Z205" s="493">
        <f>Z199*地域経済性分析・初期条件!$I$22</f>
        <v>900110.66032133182</v>
      </c>
      <c r="AA205" s="493">
        <f>AA199*地域経済性分析・初期条件!$I$22</f>
        <v>900110.66032133182</v>
      </c>
      <c r="AB205" s="493">
        <f>AB199*地域経済性分析・初期条件!$I$22</f>
        <v>900110.66032133182</v>
      </c>
      <c r="AC205" s="493">
        <f>AC199*地域経済性分析・初期条件!$I$22</f>
        <v>900110.66032133182</v>
      </c>
      <c r="AD205" s="493">
        <f>AD199*地域経済性分析・初期条件!$I$22</f>
        <v>900110.66032133182</v>
      </c>
      <c r="AE205" s="493">
        <f>AE199*地域経済性分析・初期条件!$I$22</f>
        <v>900110.66032133182</v>
      </c>
      <c r="AF205" s="493">
        <f>AF199*地域経済性分析・初期条件!$I$22</f>
        <v>900110.66032133182</v>
      </c>
      <c r="AG205" s="493">
        <f>AG199*地域経済性分析・初期条件!$I$22</f>
        <v>900110.66032133182</v>
      </c>
      <c r="AH205" s="493">
        <f>AH199*地域経済性分析・初期条件!$I$22</f>
        <v>900110.66032133182</v>
      </c>
      <c r="AI205" s="535">
        <f t="shared" si="159"/>
        <v>9001106.6032133177</v>
      </c>
      <c r="AJ205" s="535">
        <f t="shared" ref="AJ205:AJ211" si="165">SUM(D205:X205)</f>
        <v>18002213.206426643</v>
      </c>
      <c r="AK205" s="497">
        <f t="shared" ref="AK205:AK211" si="166">SUM(D205:AH205)</f>
        <v>27003319.809639968</v>
      </c>
    </row>
    <row r="206" spans="1:37" ht="11.5" x14ac:dyDescent="0.25">
      <c r="A206" s="533" t="str">
        <f>A198&amp;B206</f>
        <v>ガス・熱供給・水道業都道府県税収（一次）</v>
      </c>
      <c r="B206" s="439" t="s">
        <v>331</v>
      </c>
      <c r="C206" s="451" t="s">
        <v>37</v>
      </c>
      <c r="D206" s="493">
        <f>D199*地域経済性分析・初期条件!$J$22</f>
        <v>0</v>
      </c>
      <c r="E206" s="493">
        <f>E199*地域経済性分析・初期条件!$J$22</f>
        <v>199724.82085837505</v>
      </c>
      <c r="F206" s="493">
        <f>F199*地域経済性分析・初期条件!$J$22</f>
        <v>199724.82085837505</v>
      </c>
      <c r="G206" s="493">
        <f>G199*地域経済性分析・初期条件!$J$22</f>
        <v>199724.82085837505</v>
      </c>
      <c r="H206" s="493">
        <f>H199*地域経済性分析・初期条件!$J$22</f>
        <v>199724.82085837505</v>
      </c>
      <c r="I206" s="493">
        <f>I199*地域経済性分析・初期条件!$J$22</f>
        <v>199724.82085837505</v>
      </c>
      <c r="J206" s="493">
        <f>J199*地域経済性分析・初期条件!$J$22</f>
        <v>199724.82085837505</v>
      </c>
      <c r="K206" s="493">
        <f>K199*地域経済性分析・初期条件!$J$22</f>
        <v>199724.82085837505</v>
      </c>
      <c r="L206" s="493">
        <f>L199*地域経済性分析・初期条件!$J$22</f>
        <v>199724.82085837505</v>
      </c>
      <c r="M206" s="493">
        <f>M199*地域経済性分析・初期条件!$J$22</f>
        <v>199724.82085837505</v>
      </c>
      <c r="N206" s="493">
        <f>N199*地域経済性分析・初期条件!$J$22</f>
        <v>199724.82085837505</v>
      </c>
      <c r="O206" s="493">
        <f>O199*地域経済性分析・初期条件!$J$22</f>
        <v>199724.82085837505</v>
      </c>
      <c r="P206" s="493">
        <f>P199*地域経済性分析・初期条件!$J$22</f>
        <v>199724.82085837505</v>
      </c>
      <c r="Q206" s="493">
        <f>Q199*地域経済性分析・初期条件!$J$22</f>
        <v>199724.82085837505</v>
      </c>
      <c r="R206" s="493">
        <f>R199*地域経済性分析・初期条件!$J$22</f>
        <v>199724.82085837505</v>
      </c>
      <c r="S206" s="493">
        <f>S199*地域経済性分析・初期条件!$J$22</f>
        <v>199724.82085837505</v>
      </c>
      <c r="T206" s="493">
        <f>T199*地域経済性分析・初期条件!$J$22</f>
        <v>199724.82085837505</v>
      </c>
      <c r="U206" s="493">
        <f>U199*地域経済性分析・初期条件!$J$22</f>
        <v>199724.82085837505</v>
      </c>
      <c r="V206" s="493">
        <f>V199*地域経済性分析・初期条件!$J$22</f>
        <v>199724.82085837505</v>
      </c>
      <c r="W206" s="493">
        <f>W199*地域経済性分析・初期条件!$J$22</f>
        <v>199724.82085837505</v>
      </c>
      <c r="X206" s="493">
        <f>X199*地域経済性分析・初期条件!$J$22</f>
        <v>199724.82085837505</v>
      </c>
      <c r="Y206" s="493">
        <f>Y199*地域経済性分析・初期条件!$J$22</f>
        <v>199724.82085837505</v>
      </c>
      <c r="Z206" s="493">
        <f>Z199*地域経済性分析・初期条件!$J$22</f>
        <v>199724.82085837505</v>
      </c>
      <c r="AA206" s="493">
        <f>AA199*地域経済性分析・初期条件!$J$22</f>
        <v>199724.82085837505</v>
      </c>
      <c r="AB206" s="493">
        <f>AB199*地域経済性分析・初期条件!$J$22</f>
        <v>199724.82085837505</v>
      </c>
      <c r="AC206" s="493">
        <f>AC199*地域経済性分析・初期条件!$J$22</f>
        <v>199724.82085837505</v>
      </c>
      <c r="AD206" s="493">
        <f>AD199*地域経済性分析・初期条件!$J$22</f>
        <v>199724.82085837505</v>
      </c>
      <c r="AE206" s="493">
        <f>AE199*地域経済性分析・初期条件!$J$22</f>
        <v>199724.82085837505</v>
      </c>
      <c r="AF206" s="493">
        <f>AF199*地域経済性分析・初期条件!$J$22</f>
        <v>199724.82085837505</v>
      </c>
      <c r="AG206" s="493">
        <f>AG199*地域経済性分析・初期条件!$J$22</f>
        <v>199724.82085837505</v>
      </c>
      <c r="AH206" s="493">
        <f>AH199*地域経済性分析・初期条件!$J$22</f>
        <v>199724.82085837505</v>
      </c>
      <c r="AI206" s="535">
        <f t="shared" si="159"/>
        <v>1997248.2085837508</v>
      </c>
      <c r="AJ206" s="535">
        <f t="shared" si="165"/>
        <v>3994496.4171675025</v>
      </c>
      <c r="AK206" s="497">
        <f t="shared" si="166"/>
        <v>5991744.6257512541</v>
      </c>
    </row>
    <row r="207" spans="1:37" ht="11.5" x14ac:dyDescent="0.25">
      <c r="A207" s="533" t="str">
        <f>A198&amp;B207</f>
        <v>ガス・熱供給・水道業市町村税収（一次）</v>
      </c>
      <c r="B207" s="439" t="s">
        <v>332</v>
      </c>
      <c r="C207" s="452" t="s">
        <v>37</v>
      </c>
      <c r="D207" s="493">
        <f>D199*地域経済性分析・初期条件!$K$22</f>
        <v>0</v>
      </c>
      <c r="E207" s="493">
        <f>E199*地域経済性分析・初期条件!$K$22</f>
        <v>68055.046220247867</v>
      </c>
      <c r="F207" s="493">
        <f>F199*地域経済性分析・初期条件!$K$22</f>
        <v>68055.046220247867</v>
      </c>
      <c r="G207" s="493">
        <f>G199*地域経済性分析・初期条件!$K$22</f>
        <v>68055.046220247867</v>
      </c>
      <c r="H207" s="493">
        <f>H199*地域経済性分析・初期条件!$K$22</f>
        <v>68055.046220247867</v>
      </c>
      <c r="I207" s="493">
        <f>I199*地域経済性分析・初期条件!$K$22</f>
        <v>68055.046220247867</v>
      </c>
      <c r="J207" s="493">
        <f>J199*地域経済性分析・初期条件!$K$22</f>
        <v>68055.046220247867</v>
      </c>
      <c r="K207" s="493">
        <f>K199*地域経済性分析・初期条件!$K$22</f>
        <v>68055.046220247867</v>
      </c>
      <c r="L207" s="493">
        <f>L199*地域経済性分析・初期条件!$K$22</f>
        <v>68055.046220247867</v>
      </c>
      <c r="M207" s="493">
        <f>M199*地域経済性分析・初期条件!$K$22</f>
        <v>68055.046220247867</v>
      </c>
      <c r="N207" s="493">
        <f>N199*地域経済性分析・初期条件!$K$22</f>
        <v>68055.046220247867</v>
      </c>
      <c r="O207" s="493">
        <f>O199*地域経済性分析・初期条件!$K$22</f>
        <v>68055.046220247867</v>
      </c>
      <c r="P207" s="493">
        <f>P199*地域経済性分析・初期条件!$K$22</f>
        <v>68055.046220247867</v>
      </c>
      <c r="Q207" s="493">
        <f>Q199*地域経済性分析・初期条件!$K$22</f>
        <v>68055.046220247867</v>
      </c>
      <c r="R207" s="493">
        <f>R199*地域経済性分析・初期条件!$K$22</f>
        <v>68055.046220247867</v>
      </c>
      <c r="S207" s="493">
        <f>S199*地域経済性分析・初期条件!$K$22</f>
        <v>68055.046220247867</v>
      </c>
      <c r="T207" s="493">
        <f>T199*地域経済性分析・初期条件!$K$22</f>
        <v>68055.046220247867</v>
      </c>
      <c r="U207" s="493">
        <f>U199*地域経済性分析・初期条件!$K$22</f>
        <v>68055.046220247867</v>
      </c>
      <c r="V207" s="493">
        <f>V199*地域経済性分析・初期条件!$K$22</f>
        <v>68055.046220247867</v>
      </c>
      <c r="W207" s="493">
        <f>W199*地域経済性分析・初期条件!$K$22</f>
        <v>68055.046220247867</v>
      </c>
      <c r="X207" s="493">
        <f>X199*地域経済性分析・初期条件!$K$22</f>
        <v>68055.046220247867</v>
      </c>
      <c r="Y207" s="493">
        <f>Y199*地域経済性分析・初期条件!$K$22</f>
        <v>68055.046220247867</v>
      </c>
      <c r="Z207" s="493">
        <f>Z199*地域経済性分析・初期条件!$K$22</f>
        <v>68055.046220247867</v>
      </c>
      <c r="AA207" s="493">
        <f>AA199*地域経済性分析・初期条件!$K$22</f>
        <v>68055.046220247867</v>
      </c>
      <c r="AB207" s="493">
        <f>AB199*地域経済性分析・初期条件!$K$22</f>
        <v>68055.046220247867</v>
      </c>
      <c r="AC207" s="493">
        <f>AC199*地域経済性分析・初期条件!$K$22</f>
        <v>68055.046220247867</v>
      </c>
      <c r="AD207" s="493">
        <f>AD199*地域経済性分析・初期条件!$K$22</f>
        <v>68055.046220247867</v>
      </c>
      <c r="AE207" s="493">
        <f>AE199*地域経済性分析・初期条件!$K$22</f>
        <v>68055.046220247867</v>
      </c>
      <c r="AF207" s="493">
        <f>AF199*地域経済性分析・初期条件!$K$22</f>
        <v>68055.046220247867</v>
      </c>
      <c r="AG207" s="493">
        <f>AG199*地域経済性分析・初期条件!$K$22</f>
        <v>68055.046220247867</v>
      </c>
      <c r="AH207" s="493">
        <f>AH199*地域経済性分析・初期条件!$K$22</f>
        <v>68055.046220247867</v>
      </c>
      <c r="AI207" s="535">
        <f t="shared" si="159"/>
        <v>680550.46220247867</v>
      </c>
      <c r="AJ207" s="535">
        <f t="shared" si="165"/>
        <v>1361100.9244049573</v>
      </c>
      <c r="AK207" s="497">
        <f t="shared" si="166"/>
        <v>2041651.386607436</v>
      </c>
    </row>
    <row r="208" spans="1:37" ht="11.5" x14ac:dyDescent="0.25">
      <c r="A208" s="533" t="str">
        <f>A198&amp;B208</f>
        <v>ガス・熱供給・水道業従業員の可処分所得（二次以降）</v>
      </c>
      <c r="B208" s="439" t="s">
        <v>334</v>
      </c>
      <c r="C208" s="452" t="s">
        <v>333</v>
      </c>
      <c r="D208" s="493">
        <f>D199*地域経済性分析・初期条件!$L$22</f>
        <v>0</v>
      </c>
      <c r="E208" s="493">
        <f>E199*地域経済性分析・初期条件!$L$22</f>
        <v>1356683.4666498262</v>
      </c>
      <c r="F208" s="493">
        <f>F199*地域経済性分析・初期条件!$L$22</f>
        <v>1356683.4666498262</v>
      </c>
      <c r="G208" s="493">
        <f>G199*地域経済性分析・初期条件!$L$22</f>
        <v>1356683.4666498262</v>
      </c>
      <c r="H208" s="493">
        <f>H199*地域経済性分析・初期条件!$L$22</f>
        <v>1356683.4666498262</v>
      </c>
      <c r="I208" s="493">
        <f>I199*地域経済性分析・初期条件!$L$22</f>
        <v>1356683.4666498262</v>
      </c>
      <c r="J208" s="493">
        <f>J199*地域経済性分析・初期条件!$L$22</f>
        <v>1356683.4666498262</v>
      </c>
      <c r="K208" s="493">
        <f>K199*地域経済性分析・初期条件!$L$22</f>
        <v>1356683.4666498262</v>
      </c>
      <c r="L208" s="493">
        <f>L199*地域経済性分析・初期条件!$L$22</f>
        <v>1356683.4666498262</v>
      </c>
      <c r="M208" s="493">
        <f>M199*地域経済性分析・初期条件!$L$22</f>
        <v>1356683.4666498262</v>
      </c>
      <c r="N208" s="493">
        <f>N199*地域経済性分析・初期条件!$L$22</f>
        <v>1356683.4666498262</v>
      </c>
      <c r="O208" s="493">
        <f>O199*地域経済性分析・初期条件!$L$22</f>
        <v>1356683.4666498262</v>
      </c>
      <c r="P208" s="493">
        <f>P199*地域経済性分析・初期条件!$L$22</f>
        <v>1356683.4666498262</v>
      </c>
      <c r="Q208" s="493">
        <f>Q199*地域経済性分析・初期条件!$L$22</f>
        <v>1356683.4666498262</v>
      </c>
      <c r="R208" s="493">
        <f>R199*地域経済性分析・初期条件!$L$22</f>
        <v>1356683.4666498262</v>
      </c>
      <c r="S208" s="493">
        <f>S199*地域経済性分析・初期条件!$L$22</f>
        <v>1356683.4666498262</v>
      </c>
      <c r="T208" s="493">
        <f>T199*地域経済性分析・初期条件!$L$22</f>
        <v>1356683.4666498262</v>
      </c>
      <c r="U208" s="493">
        <f>U199*地域経済性分析・初期条件!$L$22</f>
        <v>1356683.4666498262</v>
      </c>
      <c r="V208" s="493">
        <f>V199*地域経済性分析・初期条件!$L$22</f>
        <v>1356683.4666498262</v>
      </c>
      <c r="W208" s="493">
        <f>W199*地域経済性分析・初期条件!$L$22</f>
        <v>1356683.4666498262</v>
      </c>
      <c r="X208" s="493">
        <f>X199*地域経済性分析・初期条件!$L$22</f>
        <v>1356683.4666498262</v>
      </c>
      <c r="Y208" s="493">
        <f>Y199*地域経済性分析・初期条件!$L$22</f>
        <v>1356683.4666498262</v>
      </c>
      <c r="Z208" s="493">
        <f>Z199*地域経済性分析・初期条件!$L$22</f>
        <v>1356683.4666498262</v>
      </c>
      <c r="AA208" s="493">
        <f>AA199*地域経済性分析・初期条件!$L$22</f>
        <v>1356683.4666498262</v>
      </c>
      <c r="AB208" s="493">
        <f>AB199*地域経済性分析・初期条件!$L$22</f>
        <v>1356683.4666498262</v>
      </c>
      <c r="AC208" s="493">
        <f>AC199*地域経済性分析・初期条件!$L$22</f>
        <v>1356683.4666498262</v>
      </c>
      <c r="AD208" s="493">
        <f>AD199*地域経済性分析・初期条件!$L$22</f>
        <v>1356683.4666498262</v>
      </c>
      <c r="AE208" s="493">
        <f>AE199*地域経済性分析・初期条件!$L$22</f>
        <v>1356683.4666498262</v>
      </c>
      <c r="AF208" s="493">
        <f>AF199*地域経済性分析・初期条件!$L$22</f>
        <v>1356683.4666498262</v>
      </c>
      <c r="AG208" s="493">
        <f>AG199*地域経済性分析・初期条件!$L$22</f>
        <v>1356683.4666498262</v>
      </c>
      <c r="AH208" s="493">
        <f>AH199*地域経済性分析・初期条件!$L$22</f>
        <v>1356683.4666498262</v>
      </c>
      <c r="AI208" s="535">
        <f t="shared" si="159"/>
        <v>13566834.666498264</v>
      </c>
      <c r="AJ208" s="535">
        <f t="shared" si="165"/>
        <v>27133669.332996529</v>
      </c>
      <c r="AK208" s="497">
        <f t="shared" si="166"/>
        <v>40700503.999494776</v>
      </c>
    </row>
    <row r="209" spans="1:37" ht="11.5" x14ac:dyDescent="0.25">
      <c r="A209" s="533" t="str">
        <f>A198&amp;B209</f>
        <v>ガス・熱供給・水道業企業の税引後利益（二次以降）</v>
      </c>
      <c r="B209" s="439" t="s">
        <v>335</v>
      </c>
      <c r="C209" s="452" t="s">
        <v>333</v>
      </c>
      <c r="D209" s="493">
        <f>D199*地域経済性分析・初期条件!$M$22</f>
        <v>0</v>
      </c>
      <c r="E209" s="493">
        <f>E199*地域経済性分析・初期条件!$M$22</f>
        <v>1105153.3524622873</v>
      </c>
      <c r="F209" s="493">
        <f>F199*地域経済性分析・初期条件!$M$22</f>
        <v>1105153.3524622873</v>
      </c>
      <c r="G209" s="493">
        <f>G199*地域経済性分析・初期条件!$M$22</f>
        <v>1105153.3524622873</v>
      </c>
      <c r="H209" s="493">
        <f>H199*地域経済性分析・初期条件!$M$22</f>
        <v>1105153.3524622873</v>
      </c>
      <c r="I209" s="493">
        <f>I199*地域経済性分析・初期条件!$M$22</f>
        <v>1105153.3524622873</v>
      </c>
      <c r="J209" s="493">
        <f>J199*地域経済性分析・初期条件!$M$22</f>
        <v>1105153.3524622873</v>
      </c>
      <c r="K209" s="493">
        <f>K199*地域経済性分析・初期条件!$M$22</f>
        <v>1105153.3524622873</v>
      </c>
      <c r="L209" s="493">
        <f>L199*地域経済性分析・初期条件!$M$22</f>
        <v>1105153.3524622873</v>
      </c>
      <c r="M209" s="493">
        <f>M199*地域経済性分析・初期条件!$M$22</f>
        <v>1105153.3524622873</v>
      </c>
      <c r="N209" s="493">
        <f>N199*地域経済性分析・初期条件!$M$22</f>
        <v>1105153.3524622873</v>
      </c>
      <c r="O209" s="493">
        <f>O199*地域経済性分析・初期条件!$M$22</f>
        <v>1105153.3524622873</v>
      </c>
      <c r="P209" s="493">
        <f>P199*地域経済性分析・初期条件!$M$22</f>
        <v>1105153.3524622873</v>
      </c>
      <c r="Q209" s="493">
        <f>Q199*地域経済性分析・初期条件!$M$22</f>
        <v>1105153.3524622873</v>
      </c>
      <c r="R209" s="493">
        <f>R199*地域経済性分析・初期条件!$M$22</f>
        <v>1105153.3524622873</v>
      </c>
      <c r="S209" s="493">
        <f>S199*地域経済性分析・初期条件!$M$22</f>
        <v>1105153.3524622873</v>
      </c>
      <c r="T209" s="493">
        <f>T199*地域経済性分析・初期条件!$M$22</f>
        <v>1105153.3524622873</v>
      </c>
      <c r="U209" s="493">
        <f>U199*地域経済性分析・初期条件!$M$22</f>
        <v>1105153.3524622873</v>
      </c>
      <c r="V209" s="493">
        <f>V199*地域経済性分析・初期条件!$M$22</f>
        <v>1105153.3524622873</v>
      </c>
      <c r="W209" s="493">
        <f>W199*地域経済性分析・初期条件!$M$22</f>
        <v>1105153.3524622873</v>
      </c>
      <c r="X209" s="493">
        <f>X199*地域経済性分析・初期条件!$M$22</f>
        <v>1105153.3524622873</v>
      </c>
      <c r="Y209" s="493">
        <f>Y199*地域経済性分析・初期条件!$M$22</f>
        <v>1105153.3524622873</v>
      </c>
      <c r="Z209" s="493">
        <f>Z199*地域経済性分析・初期条件!$M$22</f>
        <v>1105153.3524622873</v>
      </c>
      <c r="AA209" s="493">
        <f>AA199*地域経済性分析・初期条件!$M$22</f>
        <v>1105153.3524622873</v>
      </c>
      <c r="AB209" s="493">
        <f>AB199*地域経済性分析・初期条件!$M$22</f>
        <v>1105153.3524622873</v>
      </c>
      <c r="AC209" s="493">
        <f>AC199*地域経済性分析・初期条件!$M$22</f>
        <v>1105153.3524622873</v>
      </c>
      <c r="AD209" s="493">
        <f>AD199*地域経済性分析・初期条件!$M$22</f>
        <v>1105153.3524622873</v>
      </c>
      <c r="AE209" s="493">
        <f>AE199*地域経済性分析・初期条件!$M$22</f>
        <v>1105153.3524622873</v>
      </c>
      <c r="AF209" s="493">
        <f>AF199*地域経済性分析・初期条件!$M$22</f>
        <v>1105153.3524622873</v>
      </c>
      <c r="AG209" s="493">
        <f>AG199*地域経済性分析・初期条件!$M$22</f>
        <v>1105153.3524622873</v>
      </c>
      <c r="AH209" s="493">
        <f>AH199*地域経済性分析・初期条件!$M$22</f>
        <v>1105153.3524622873</v>
      </c>
      <c r="AI209" s="535">
        <f t="shared" si="159"/>
        <v>11051533.524622874</v>
      </c>
      <c r="AJ209" s="535">
        <f t="shared" si="165"/>
        <v>22103067.049245752</v>
      </c>
      <c r="AK209" s="497">
        <f t="shared" si="166"/>
        <v>33154600.573868632</v>
      </c>
    </row>
    <row r="210" spans="1:37" ht="11.5" x14ac:dyDescent="0.25">
      <c r="A210" s="533" t="str">
        <f>A198&amp;B210</f>
        <v>ガス・熱供給・水道業都道府県税収（二次以降）</v>
      </c>
      <c r="B210" s="439" t="s">
        <v>336</v>
      </c>
      <c r="C210" s="452" t="s">
        <v>333</v>
      </c>
      <c r="D210" s="493">
        <f>D199*地域経済性分析・初期条件!$N$22</f>
        <v>0</v>
      </c>
      <c r="E210" s="493">
        <f>E199*地域経済性分析・初期条件!$N$22</f>
        <v>265127.23089322867</v>
      </c>
      <c r="F210" s="493">
        <f>F199*地域経済性分析・初期条件!$N$22</f>
        <v>265127.23089322867</v>
      </c>
      <c r="G210" s="493">
        <f>G199*地域経済性分析・初期条件!$N$22</f>
        <v>265127.23089322867</v>
      </c>
      <c r="H210" s="493">
        <f>H199*地域経済性分析・初期条件!$N$22</f>
        <v>265127.23089322867</v>
      </c>
      <c r="I210" s="493">
        <f>I199*地域経済性分析・初期条件!$N$22</f>
        <v>265127.23089322867</v>
      </c>
      <c r="J210" s="493">
        <f>J199*地域経済性分析・初期条件!$N$22</f>
        <v>265127.23089322867</v>
      </c>
      <c r="K210" s="493">
        <f>K199*地域経済性分析・初期条件!$N$22</f>
        <v>265127.23089322867</v>
      </c>
      <c r="L210" s="493">
        <f>L199*地域経済性分析・初期条件!$N$22</f>
        <v>265127.23089322867</v>
      </c>
      <c r="M210" s="493">
        <f>M199*地域経済性分析・初期条件!$N$22</f>
        <v>265127.23089322867</v>
      </c>
      <c r="N210" s="493">
        <f>N199*地域経済性分析・初期条件!$N$22</f>
        <v>265127.23089322867</v>
      </c>
      <c r="O210" s="493">
        <f>O199*地域経済性分析・初期条件!$N$22</f>
        <v>265127.23089322867</v>
      </c>
      <c r="P210" s="493">
        <f>P199*地域経済性分析・初期条件!$N$22</f>
        <v>265127.23089322867</v>
      </c>
      <c r="Q210" s="493">
        <f>Q199*地域経済性分析・初期条件!$N$22</f>
        <v>265127.23089322867</v>
      </c>
      <c r="R210" s="493">
        <f>R199*地域経済性分析・初期条件!$N$22</f>
        <v>265127.23089322867</v>
      </c>
      <c r="S210" s="493">
        <f>S199*地域経済性分析・初期条件!$N$22</f>
        <v>265127.23089322867</v>
      </c>
      <c r="T210" s="493">
        <f>T199*地域経済性分析・初期条件!$N$22</f>
        <v>265127.23089322867</v>
      </c>
      <c r="U210" s="493">
        <f>U199*地域経済性分析・初期条件!$N$22</f>
        <v>265127.23089322867</v>
      </c>
      <c r="V210" s="493">
        <f>V199*地域経済性分析・初期条件!$N$22</f>
        <v>265127.23089322867</v>
      </c>
      <c r="W210" s="493">
        <f>W199*地域経済性分析・初期条件!$N$22</f>
        <v>265127.23089322867</v>
      </c>
      <c r="X210" s="493">
        <f>X199*地域経済性分析・初期条件!$N$22</f>
        <v>265127.23089322867</v>
      </c>
      <c r="Y210" s="493">
        <f>Y199*地域経済性分析・初期条件!$N$22</f>
        <v>265127.23089322867</v>
      </c>
      <c r="Z210" s="493">
        <f>Z199*地域経済性分析・初期条件!$N$22</f>
        <v>265127.23089322867</v>
      </c>
      <c r="AA210" s="493">
        <f>AA199*地域経済性分析・初期条件!$N$22</f>
        <v>265127.23089322867</v>
      </c>
      <c r="AB210" s="493">
        <f>AB199*地域経済性分析・初期条件!$N$22</f>
        <v>265127.23089322867</v>
      </c>
      <c r="AC210" s="493">
        <f>AC199*地域経済性分析・初期条件!$N$22</f>
        <v>265127.23089322867</v>
      </c>
      <c r="AD210" s="493">
        <f>AD199*地域経済性分析・初期条件!$N$22</f>
        <v>265127.23089322867</v>
      </c>
      <c r="AE210" s="493">
        <f>AE199*地域経済性分析・初期条件!$N$22</f>
        <v>265127.23089322867</v>
      </c>
      <c r="AF210" s="493">
        <f>AF199*地域経済性分析・初期条件!$N$22</f>
        <v>265127.23089322867</v>
      </c>
      <c r="AG210" s="493">
        <f>AG199*地域経済性分析・初期条件!$N$22</f>
        <v>265127.23089322867</v>
      </c>
      <c r="AH210" s="493">
        <f>AH199*地域経済性分析・初期条件!$N$22</f>
        <v>265127.23089322867</v>
      </c>
      <c r="AI210" s="535">
        <f t="shared" si="159"/>
        <v>2651272.3089322867</v>
      </c>
      <c r="AJ210" s="535">
        <f t="shared" si="165"/>
        <v>5302544.6178645715</v>
      </c>
      <c r="AK210" s="497">
        <f t="shared" si="166"/>
        <v>7953816.9267968535</v>
      </c>
    </row>
    <row r="211" spans="1:37" ht="11.5" x14ac:dyDescent="0.25">
      <c r="A211" s="533" t="str">
        <f>A198&amp;B211</f>
        <v>ガス・熱供給・水道業市町村税収（二次以降）</v>
      </c>
      <c r="B211" s="439" t="s">
        <v>337</v>
      </c>
      <c r="C211" s="452" t="s">
        <v>333</v>
      </c>
      <c r="D211" s="493">
        <f>D199*地域経済性分析・初期条件!$O$22</f>
        <v>0</v>
      </c>
      <c r="E211" s="493">
        <f>E199*地域経済性分析・初期条件!$O$22</f>
        <v>96906.019569575525</v>
      </c>
      <c r="F211" s="493">
        <f>F199*地域経済性分析・初期条件!$O$22</f>
        <v>96906.019569575525</v>
      </c>
      <c r="G211" s="493">
        <f>G199*地域経済性分析・初期条件!$O$22</f>
        <v>96906.019569575525</v>
      </c>
      <c r="H211" s="493">
        <f>H199*地域経済性分析・初期条件!$O$22</f>
        <v>96906.019569575525</v>
      </c>
      <c r="I211" s="493">
        <f>I199*地域経済性分析・初期条件!$O$22</f>
        <v>96906.019569575525</v>
      </c>
      <c r="J211" s="493">
        <f>J199*地域経済性分析・初期条件!$O$22</f>
        <v>96906.019569575525</v>
      </c>
      <c r="K211" s="493">
        <f>K199*地域経済性分析・初期条件!$O$22</f>
        <v>96906.019569575525</v>
      </c>
      <c r="L211" s="493">
        <f>L199*地域経済性分析・初期条件!$O$22</f>
        <v>96906.019569575525</v>
      </c>
      <c r="M211" s="493">
        <f>M199*地域経済性分析・初期条件!$O$22</f>
        <v>96906.019569575525</v>
      </c>
      <c r="N211" s="493">
        <f>N199*地域経済性分析・初期条件!$O$22</f>
        <v>96906.019569575525</v>
      </c>
      <c r="O211" s="493">
        <f>O199*地域経済性分析・初期条件!$O$22</f>
        <v>96906.019569575525</v>
      </c>
      <c r="P211" s="493">
        <f>P199*地域経済性分析・初期条件!$O$22</f>
        <v>96906.019569575525</v>
      </c>
      <c r="Q211" s="493">
        <f>Q199*地域経済性分析・初期条件!$O$22</f>
        <v>96906.019569575525</v>
      </c>
      <c r="R211" s="493">
        <f>R199*地域経済性分析・初期条件!$O$22</f>
        <v>96906.019569575525</v>
      </c>
      <c r="S211" s="493">
        <f>S199*地域経済性分析・初期条件!$O$22</f>
        <v>96906.019569575525</v>
      </c>
      <c r="T211" s="493">
        <f>T199*地域経済性分析・初期条件!$O$22</f>
        <v>96906.019569575525</v>
      </c>
      <c r="U211" s="493">
        <f>U199*地域経済性分析・初期条件!$O$22</f>
        <v>96906.019569575525</v>
      </c>
      <c r="V211" s="493">
        <f>V199*地域経済性分析・初期条件!$O$22</f>
        <v>96906.019569575525</v>
      </c>
      <c r="W211" s="493">
        <f>W199*地域経済性分析・初期条件!$O$22</f>
        <v>96906.019569575525</v>
      </c>
      <c r="X211" s="493">
        <f>X199*地域経済性分析・初期条件!$O$22</f>
        <v>96906.019569575525</v>
      </c>
      <c r="Y211" s="493">
        <f>Y199*地域経済性分析・初期条件!$O$22</f>
        <v>96906.019569575525</v>
      </c>
      <c r="Z211" s="493">
        <f>Z199*地域経済性分析・初期条件!$O$22</f>
        <v>96906.019569575525</v>
      </c>
      <c r="AA211" s="493">
        <f>AA199*地域経済性分析・初期条件!$O$22</f>
        <v>96906.019569575525</v>
      </c>
      <c r="AB211" s="493">
        <f>AB199*地域経済性分析・初期条件!$O$22</f>
        <v>96906.019569575525</v>
      </c>
      <c r="AC211" s="493">
        <f>AC199*地域経済性分析・初期条件!$O$22</f>
        <v>96906.019569575525</v>
      </c>
      <c r="AD211" s="493">
        <f>AD199*地域経済性分析・初期条件!$O$22</f>
        <v>96906.019569575525</v>
      </c>
      <c r="AE211" s="493">
        <f>AE199*地域経済性分析・初期条件!$O$22</f>
        <v>96906.019569575525</v>
      </c>
      <c r="AF211" s="493">
        <f>AF199*地域経済性分析・初期条件!$O$22</f>
        <v>96906.019569575525</v>
      </c>
      <c r="AG211" s="493">
        <f>AG199*地域経済性分析・初期条件!$O$22</f>
        <v>96906.019569575525</v>
      </c>
      <c r="AH211" s="493">
        <f>AH199*地域経済性分析・初期条件!$O$22</f>
        <v>96906.019569575525</v>
      </c>
      <c r="AI211" s="535">
        <f t="shared" si="159"/>
        <v>969060.19569575542</v>
      </c>
      <c r="AJ211" s="535">
        <f t="shared" si="165"/>
        <v>1938120.3913915108</v>
      </c>
      <c r="AK211" s="497">
        <f t="shared" si="166"/>
        <v>2907180.5870872643</v>
      </c>
    </row>
    <row r="212" spans="1:37" ht="11.5" x14ac:dyDescent="0.25">
      <c r="A212" s="488">
        <f>地域経済性分析・初期条件!$G$23</f>
        <v>0</v>
      </c>
      <c r="C212" s="452"/>
      <c r="D212" s="493"/>
      <c r="E212" s="493"/>
      <c r="F212" s="465"/>
      <c r="G212" s="465"/>
      <c r="H212" s="465"/>
      <c r="I212" s="465"/>
      <c r="J212" s="465"/>
      <c r="K212" s="465"/>
      <c r="L212" s="465"/>
      <c r="M212" s="465"/>
      <c r="N212" s="465"/>
      <c r="O212" s="465"/>
      <c r="P212" s="465"/>
      <c r="Q212" s="465"/>
      <c r="R212" s="465"/>
      <c r="S212" s="465"/>
      <c r="T212" s="465"/>
      <c r="U212" s="465"/>
      <c r="V212" s="465"/>
      <c r="W212" s="465"/>
      <c r="X212" s="465"/>
      <c r="Y212" s="465"/>
      <c r="Z212" s="465"/>
      <c r="AA212" s="465"/>
      <c r="AB212" s="465"/>
      <c r="AC212" s="465"/>
      <c r="AD212" s="465"/>
      <c r="AE212" s="465"/>
      <c r="AF212" s="465"/>
      <c r="AG212" s="465"/>
      <c r="AH212" s="465"/>
      <c r="AI212" s="535"/>
      <c r="AJ212" s="535"/>
      <c r="AK212" s="497"/>
    </row>
    <row r="213" spans="1:37" ht="11.5" x14ac:dyDescent="0.25">
      <c r="A213" s="533" t="str">
        <f>A212&amp;B213</f>
        <v>0売上（税別）</v>
      </c>
      <c r="B213" s="439" t="s">
        <v>1092</v>
      </c>
      <c r="C213" s="451" t="s">
        <v>37</v>
      </c>
      <c r="D213" s="493">
        <f>D183*地域経済性分析・初期条件!$F$23</f>
        <v>0</v>
      </c>
      <c r="E213" s="493">
        <f>E183*地域経済性分析・初期条件!$F$23</f>
        <v>0</v>
      </c>
      <c r="F213" s="493">
        <f>F183*地域経済性分析・初期条件!$F$23</f>
        <v>0</v>
      </c>
      <c r="G213" s="493">
        <f>G183*地域経済性分析・初期条件!$F$23</f>
        <v>0</v>
      </c>
      <c r="H213" s="493">
        <f>H183*地域経済性分析・初期条件!$F$23</f>
        <v>0</v>
      </c>
      <c r="I213" s="493">
        <f>I183*地域経済性分析・初期条件!$F$23</f>
        <v>0</v>
      </c>
      <c r="J213" s="493">
        <f>J183*地域経済性分析・初期条件!$F$23</f>
        <v>0</v>
      </c>
      <c r="K213" s="493">
        <f>K183*地域経済性分析・初期条件!$F$23</f>
        <v>0</v>
      </c>
      <c r="L213" s="493">
        <f>L183*地域経済性分析・初期条件!$F$23</f>
        <v>0</v>
      </c>
      <c r="M213" s="493">
        <f>M183*地域経済性分析・初期条件!$F$23</f>
        <v>0</v>
      </c>
      <c r="N213" s="493">
        <f>N183*地域経済性分析・初期条件!$F$23</f>
        <v>0</v>
      </c>
      <c r="O213" s="493">
        <f>O183*地域経済性分析・初期条件!$F$23</f>
        <v>0</v>
      </c>
      <c r="P213" s="493">
        <f>P183*地域経済性分析・初期条件!$F$23</f>
        <v>0</v>
      </c>
      <c r="Q213" s="493">
        <f>Q183*地域経済性分析・初期条件!$F$23</f>
        <v>0</v>
      </c>
      <c r="R213" s="493">
        <f>R183*地域経済性分析・初期条件!$F$23</f>
        <v>0</v>
      </c>
      <c r="S213" s="493">
        <f>S183*地域経済性分析・初期条件!$F$23</f>
        <v>0</v>
      </c>
      <c r="T213" s="493">
        <f>T183*地域経済性分析・初期条件!$F$23</f>
        <v>0</v>
      </c>
      <c r="U213" s="493">
        <f>U183*地域経済性分析・初期条件!$F$23</f>
        <v>0</v>
      </c>
      <c r="V213" s="493">
        <f>V183*地域経済性分析・初期条件!$F$23</f>
        <v>0</v>
      </c>
      <c r="W213" s="493">
        <f>W183*地域経済性分析・初期条件!$F$23</f>
        <v>0</v>
      </c>
      <c r="X213" s="493">
        <f>X183*地域経済性分析・初期条件!$F$23</f>
        <v>0</v>
      </c>
      <c r="Y213" s="493">
        <f>Y183*地域経済性分析・初期条件!$F$23</f>
        <v>0</v>
      </c>
      <c r="Z213" s="493">
        <f>Z183*地域経済性分析・初期条件!$F$23</f>
        <v>0</v>
      </c>
      <c r="AA213" s="493">
        <f>AA183*地域経済性分析・初期条件!$F$23</f>
        <v>0</v>
      </c>
      <c r="AB213" s="493">
        <f>AB183*地域経済性分析・初期条件!$F$23</f>
        <v>0</v>
      </c>
      <c r="AC213" s="493">
        <f>AC183*地域経済性分析・初期条件!$F$23</f>
        <v>0</v>
      </c>
      <c r="AD213" s="493">
        <f>AD183*地域経済性分析・初期条件!$F$23</f>
        <v>0</v>
      </c>
      <c r="AE213" s="493">
        <f>AE183*地域経済性分析・初期条件!$F$23</f>
        <v>0</v>
      </c>
      <c r="AF213" s="493">
        <f>AF183*地域経済性分析・初期条件!$F$23</f>
        <v>0</v>
      </c>
      <c r="AG213" s="493">
        <f>AG183*地域経済性分析・初期条件!$F$23</f>
        <v>0</v>
      </c>
      <c r="AH213" s="493">
        <f>AH183*地域経済性分析・初期条件!$F$23</f>
        <v>0</v>
      </c>
      <c r="AI213" s="535">
        <f t="shared" ref="AI213:AI225" si="167">SUM(D213:N213)</f>
        <v>0</v>
      </c>
      <c r="AJ213" s="535">
        <f t="shared" ref="AJ213:AJ218" si="168">SUM(D213:X213)</f>
        <v>0</v>
      </c>
      <c r="AK213" s="497">
        <f t="shared" ref="AK213:AK218" si="169">SUM(D213:AH213)</f>
        <v>0</v>
      </c>
    </row>
    <row r="214" spans="1:37" ht="11.5" x14ac:dyDescent="0.25">
      <c r="A214" s="533"/>
      <c r="B214" s="439" t="s">
        <v>1136</v>
      </c>
      <c r="C214" s="451" t="s">
        <v>37</v>
      </c>
      <c r="D214" s="493">
        <f>D213*波及効果シート!$D$72</f>
        <v>0</v>
      </c>
      <c r="E214" s="493">
        <f>E213*波及効果シート!$D$72</f>
        <v>0</v>
      </c>
      <c r="F214" s="493">
        <f>F213*波及効果シート!$D$72</f>
        <v>0</v>
      </c>
      <c r="G214" s="493">
        <f>G213*波及効果シート!$D$72</f>
        <v>0</v>
      </c>
      <c r="H214" s="493">
        <f>H213*波及効果シート!$D$72</f>
        <v>0</v>
      </c>
      <c r="I214" s="493">
        <f>I213*波及効果シート!$D$72</f>
        <v>0</v>
      </c>
      <c r="J214" s="493">
        <f>J213*波及効果シート!$D$72</f>
        <v>0</v>
      </c>
      <c r="K214" s="493">
        <f>K213*波及効果シート!$D$72</f>
        <v>0</v>
      </c>
      <c r="L214" s="493">
        <f>L213*波及効果シート!$D$72</f>
        <v>0</v>
      </c>
      <c r="M214" s="493">
        <f>M213*波及効果シート!$D$72</f>
        <v>0</v>
      </c>
      <c r="N214" s="493">
        <f>N213*波及効果シート!$D$72</f>
        <v>0</v>
      </c>
      <c r="O214" s="493">
        <f>O213*波及効果シート!$D$72</f>
        <v>0</v>
      </c>
      <c r="P214" s="493">
        <f>P213*波及効果シート!$D$72</f>
        <v>0</v>
      </c>
      <c r="Q214" s="493">
        <f>Q213*波及効果シート!$D$72</f>
        <v>0</v>
      </c>
      <c r="R214" s="493">
        <f>R213*波及効果シート!$D$72</f>
        <v>0</v>
      </c>
      <c r="S214" s="493">
        <f>S213*波及効果シート!$D$72</f>
        <v>0</v>
      </c>
      <c r="T214" s="493">
        <f>T213*波及効果シート!$D$72</f>
        <v>0</v>
      </c>
      <c r="U214" s="493">
        <f>U213*波及効果シート!$D$72</f>
        <v>0</v>
      </c>
      <c r="V214" s="493">
        <f>V213*波及効果シート!$D$72</f>
        <v>0</v>
      </c>
      <c r="W214" s="493">
        <f>W213*波及効果シート!$D$72</f>
        <v>0</v>
      </c>
      <c r="X214" s="493">
        <f>X213*波及効果シート!$D$72</f>
        <v>0</v>
      </c>
      <c r="Y214" s="493">
        <f>Y213*波及効果シート!$D$72</f>
        <v>0</v>
      </c>
      <c r="Z214" s="493">
        <f>Z213*波及効果シート!$D$72</f>
        <v>0</v>
      </c>
      <c r="AA214" s="493">
        <f>AA213*波及効果シート!$D$72</f>
        <v>0</v>
      </c>
      <c r="AB214" s="493">
        <f>AB213*波及効果シート!$D$72</f>
        <v>0</v>
      </c>
      <c r="AC214" s="493">
        <f>AC213*波及効果シート!$D$72</f>
        <v>0</v>
      </c>
      <c r="AD214" s="493">
        <f>AD213*波及効果シート!$D$72</f>
        <v>0</v>
      </c>
      <c r="AE214" s="493">
        <f>AE213*波及効果シート!$D$72</f>
        <v>0</v>
      </c>
      <c r="AF214" s="493">
        <f>AF213*波及効果シート!$D$72</f>
        <v>0</v>
      </c>
      <c r="AG214" s="493">
        <f>AG213*波及効果シート!$D$72</f>
        <v>0</v>
      </c>
      <c r="AH214" s="493">
        <f>AH213*波及効果シート!$D$72</f>
        <v>0</v>
      </c>
      <c r="AI214" s="535">
        <f t="shared" ref="AI214:AI215" si="170">SUM(D214:N214)</f>
        <v>0</v>
      </c>
      <c r="AJ214" s="535">
        <f t="shared" ref="AJ214:AJ215" si="171">SUM(D214:X214)</f>
        <v>0</v>
      </c>
      <c r="AK214" s="497">
        <f t="shared" ref="AK214:AK215" si="172">SUM(D214:AH214)</f>
        <v>0</v>
      </c>
    </row>
    <row r="215" spans="1:37" ht="11.5" x14ac:dyDescent="0.25">
      <c r="A215" s="533"/>
      <c r="B215" s="439" t="s">
        <v>1137</v>
      </c>
      <c r="C215" s="452" t="s">
        <v>37</v>
      </c>
      <c r="D215" s="493">
        <f>D213*波及効果シート!$D$74</f>
        <v>0</v>
      </c>
      <c r="E215" s="493">
        <f>E213*波及効果シート!$D$74</f>
        <v>0</v>
      </c>
      <c r="F215" s="493">
        <f>F213*波及効果シート!$D$74</f>
        <v>0</v>
      </c>
      <c r="G215" s="493">
        <f>G213*波及効果シート!$D$74</f>
        <v>0</v>
      </c>
      <c r="H215" s="493">
        <f>H213*波及効果シート!$D$74</f>
        <v>0</v>
      </c>
      <c r="I215" s="493">
        <f>I213*波及効果シート!$D$74</f>
        <v>0</v>
      </c>
      <c r="J215" s="493">
        <f>J213*波及効果シート!$D$74</f>
        <v>0</v>
      </c>
      <c r="K215" s="493">
        <f>K213*波及効果シート!$D$74</f>
        <v>0</v>
      </c>
      <c r="L215" s="493">
        <f>L213*波及効果シート!$D$74</f>
        <v>0</v>
      </c>
      <c r="M215" s="493">
        <f>M213*波及効果シート!$D$74</f>
        <v>0</v>
      </c>
      <c r="N215" s="493">
        <f>N213*波及効果シート!$D$74</f>
        <v>0</v>
      </c>
      <c r="O215" s="493">
        <f>O213*波及効果シート!$D$74</f>
        <v>0</v>
      </c>
      <c r="P215" s="493">
        <f>P213*波及効果シート!$D$74</f>
        <v>0</v>
      </c>
      <c r="Q215" s="493">
        <f>Q213*波及効果シート!$D$74</f>
        <v>0</v>
      </c>
      <c r="R215" s="493">
        <f>R213*波及効果シート!$D$74</f>
        <v>0</v>
      </c>
      <c r="S215" s="493">
        <f>S213*波及効果シート!$D$74</f>
        <v>0</v>
      </c>
      <c r="T215" s="493">
        <f>T213*波及効果シート!$D$74</f>
        <v>0</v>
      </c>
      <c r="U215" s="493">
        <f>U213*波及効果シート!$D$74</f>
        <v>0</v>
      </c>
      <c r="V215" s="493">
        <f>V213*波及効果シート!$D$74</f>
        <v>0</v>
      </c>
      <c r="W215" s="493">
        <f>W213*波及効果シート!$D$74</f>
        <v>0</v>
      </c>
      <c r="X215" s="493">
        <f>X213*波及効果シート!$D$74</f>
        <v>0</v>
      </c>
      <c r="Y215" s="493">
        <f>Y213*波及効果シート!$D$74</f>
        <v>0</v>
      </c>
      <c r="Z215" s="493">
        <f>Z213*波及効果シート!$D$74</f>
        <v>0</v>
      </c>
      <c r="AA215" s="493">
        <f>AA213*波及効果シート!$D$74</f>
        <v>0</v>
      </c>
      <c r="AB215" s="493">
        <f>AB213*波及効果シート!$D$74</f>
        <v>0</v>
      </c>
      <c r="AC215" s="493">
        <f>AC213*波及効果シート!$D$74</f>
        <v>0</v>
      </c>
      <c r="AD215" s="493">
        <f>AD213*波及効果シート!$D$74</f>
        <v>0</v>
      </c>
      <c r="AE215" s="493">
        <f>AE213*波及効果シート!$D$74</f>
        <v>0</v>
      </c>
      <c r="AF215" s="493">
        <f>AF213*波及効果シート!$D$74</f>
        <v>0</v>
      </c>
      <c r="AG215" s="493">
        <f>AG213*波及効果シート!$D$74</f>
        <v>0</v>
      </c>
      <c r="AH215" s="493">
        <f>AH213*波及効果シート!$D$74</f>
        <v>0</v>
      </c>
      <c r="AI215" s="535">
        <f t="shared" si="170"/>
        <v>0</v>
      </c>
      <c r="AJ215" s="535">
        <f t="shared" si="171"/>
        <v>0</v>
      </c>
      <c r="AK215" s="497">
        <f t="shared" si="172"/>
        <v>0</v>
      </c>
    </row>
    <row r="216" spans="1:37" ht="11.5" x14ac:dyDescent="0.25">
      <c r="A216" s="533" t="str">
        <f>A212&amp;B216</f>
        <v>0所得税（国税）</v>
      </c>
      <c r="B216" s="439" t="s">
        <v>351</v>
      </c>
      <c r="C216" s="452" t="s">
        <v>333</v>
      </c>
      <c r="D216" s="493">
        <f>D213*地域経済性分析・初期条件!$P$23</f>
        <v>0</v>
      </c>
      <c r="E216" s="493">
        <f>E213*地域経済性分析・初期条件!$P$23</f>
        <v>0</v>
      </c>
      <c r="F216" s="493">
        <f>F213*地域経済性分析・初期条件!$P$23</f>
        <v>0</v>
      </c>
      <c r="G216" s="493">
        <f>G213*地域経済性分析・初期条件!$P$23</f>
        <v>0</v>
      </c>
      <c r="H216" s="493">
        <f>H213*地域経済性分析・初期条件!$P$23</f>
        <v>0</v>
      </c>
      <c r="I216" s="493">
        <f>I213*地域経済性分析・初期条件!$P$23</f>
        <v>0</v>
      </c>
      <c r="J216" s="493">
        <f>J213*地域経済性分析・初期条件!$P$23</f>
        <v>0</v>
      </c>
      <c r="K216" s="493">
        <f>K213*地域経済性分析・初期条件!$P$23</f>
        <v>0</v>
      </c>
      <c r="L216" s="493">
        <f>L213*地域経済性分析・初期条件!$P$23</f>
        <v>0</v>
      </c>
      <c r="M216" s="493">
        <f>M213*地域経済性分析・初期条件!$P$23</f>
        <v>0</v>
      </c>
      <c r="N216" s="493">
        <f>N213*地域経済性分析・初期条件!$P$23</f>
        <v>0</v>
      </c>
      <c r="O216" s="493">
        <f>O213*地域経済性分析・初期条件!$P$23</f>
        <v>0</v>
      </c>
      <c r="P216" s="493">
        <f>P213*地域経済性分析・初期条件!$P$23</f>
        <v>0</v>
      </c>
      <c r="Q216" s="493">
        <f>Q213*地域経済性分析・初期条件!$P$23</f>
        <v>0</v>
      </c>
      <c r="R216" s="493">
        <f>R213*地域経済性分析・初期条件!$P$23</f>
        <v>0</v>
      </c>
      <c r="S216" s="493">
        <f>S213*地域経済性分析・初期条件!$P$23</f>
        <v>0</v>
      </c>
      <c r="T216" s="493">
        <f>T213*地域経済性分析・初期条件!$P$23</f>
        <v>0</v>
      </c>
      <c r="U216" s="493">
        <f>U213*地域経済性分析・初期条件!$P$23</f>
        <v>0</v>
      </c>
      <c r="V216" s="493">
        <f>V213*地域経済性分析・初期条件!$P$23</f>
        <v>0</v>
      </c>
      <c r="W216" s="493">
        <f>W213*地域経済性分析・初期条件!$P$23</f>
        <v>0</v>
      </c>
      <c r="X216" s="493">
        <f>X213*地域経済性分析・初期条件!$P$23</f>
        <v>0</v>
      </c>
      <c r="Y216" s="493">
        <f>Y213*地域経済性分析・初期条件!$P$23</f>
        <v>0</v>
      </c>
      <c r="Z216" s="493">
        <f>Z213*地域経済性分析・初期条件!$P$23</f>
        <v>0</v>
      </c>
      <c r="AA216" s="493">
        <f>AA213*地域経済性分析・初期条件!$P$23</f>
        <v>0</v>
      </c>
      <c r="AB216" s="493">
        <f>AB213*地域経済性分析・初期条件!$P$23</f>
        <v>0</v>
      </c>
      <c r="AC216" s="493">
        <f>AC213*地域経済性分析・初期条件!$P$23</f>
        <v>0</v>
      </c>
      <c r="AD216" s="493">
        <f>AD213*地域経済性分析・初期条件!$P$23</f>
        <v>0</v>
      </c>
      <c r="AE216" s="493">
        <f>AE213*地域経済性分析・初期条件!$P$23</f>
        <v>0</v>
      </c>
      <c r="AF216" s="493">
        <f>AF213*地域経済性分析・初期条件!$P$23</f>
        <v>0</v>
      </c>
      <c r="AG216" s="493">
        <f>AG213*地域経済性分析・初期条件!$P$23</f>
        <v>0</v>
      </c>
      <c r="AH216" s="493">
        <f>AH213*地域経済性分析・初期条件!$P$23</f>
        <v>0</v>
      </c>
      <c r="AI216" s="535">
        <f t="shared" si="167"/>
        <v>0</v>
      </c>
      <c r="AJ216" s="535">
        <f t="shared" si="168"/>
        <v>0</v>
      </c>
      <c r="AK216" s="497">
        <f t="shared" si="169"/>
        <v>0</v>
      </c>
    </row>
    <row r="217" spans="1:37" ht="11.5" x14ac:dyDescent="0.25">
      <c r="A217" s="533" t="str">
        <f>A212&amp;B217</f>
        <v>0法人税（国税）</v>
      </c>
      <c r="B217" s="439" t="s">
        <v>350</v>
      </c>
      <c r="C217" s="452" t="s">
        <v>333</v>
      </c>
      <c r="D217" s="493">
        <f>D213*地域経済性分析・初期条件!$Q$23</f>
        <v>0</v>
      </c>
      <c r="E217" s="493">
        <f>E213*地域経済性分析・初期条件!$Q$23</f>
        <v>0</v>
      </c>
      <c r="F217" s="493">
        <f>F213*地域経済性分析・初期条件!$Q$23</f>
        <v>0</v>
      </c>
      <c r="G217" s="493">
        <f>G213*地域経済性分析・初期条件!$Q$23</f>
        <v>0</v>
      </c>
      <c r="H217" s="493">
        <f>H213*地域経済性分析・初期条件!$Q$23</f>
        <v>0</v>
      </c>
      <c r="I217" s="493">
        <f>I213*地域経済性分析・初期条件!$Q$23</f>
        <v>0</v>
      </c>
      <c r="J217" s="493">
        <f>J213*地域経済性分析・初期条件!$Q$23</f>
        <v>0</v>
      </c>
      <c r="K217" s="493">
        <f>K213*地域経済性分析・初期条件!$Q$23</f>
        <v>0</v>
      </c>
      <c r="L217" s="493">
        <f>L213*地域経済性分析・初期条件!$Q$23</f>
        <v>0</v>
      </c>
      <c r="M217" s="493">
        <f>M213*地域経済性分析・初期条件!$Q$23</f>
        <v>0</v>
      </c>
      <c r="N217" s="493">
        <f>N213*地域経済性分析・初期条件!$Q$23</f>
        <v>0</v>
      </c>
      <c r="O217" s="493">
        <f>O213*地域経済性分析・初期条件!$Q$23</f>
        <v>0</v>
      </c>
      <c r="P217" s="493">
        <f>P213*地域経済性分析・初期条件!$Q$23</f>
        <v>0</v>
      </c>
      <c r="Q217" s="493">
        <f>Q213*地域経済性分析・初期条件!$Q$23</f>
        <v>0</v>
      </c>
      <c r="R217" s="493">
        <f>R213*地域経済性分析・初期条件!$Q$23</f>
        <v>0</v>
      </c>
      <c r="S217" s="493">
        <f>S213*地域経済性分析・初期条件!$Q$23</f>
        <v>0</v>
      </c>
      <c r="T217" s="493">
        <f>T213*地域経済性分析・初期条件!$Q$23</f>
        <v>0</v>
      </c>
      <c r="U217" s="493">
        <f>U213*地域経済性分析・初期条件!$Q$23</f>
        <v>0</v>
      </c>
      <c r="V217" s="493">
        <f>V213*地域経済性分析・初期条件!$Q$23</f>
        <v>0</v>
      </c>
      <c r="W217" s="493">
        <f>W213*地域経済性分析・初期条件!$Q$23</f>
        <v>0</v>
      </c>
      <c r="X217" s="493">
        <f>X213*地域経済性分析・初期条件!$Q$23</f>
        <v>0</v>
      </c>
      <c r="Y217" s="493">
        <f>Y213*地域経済性分析・初期条件!$Q$23</f>
        <v>0</v>
      </c>
      <c r="Z217" s="493">
        <f>Z213*地域経済性分析・初期条件!$Q$23</f>
        <v>0</v>
      </c>
      <c r="AA217" s="493">
        <f>AA213*地域経済性分析・初期条件!$Q$23</f>
        <v>0</v>
      </c>
      <c r="AB217" s="493">
        <f>AB213*地域経済性分析・初期条件!$Q$23</f>
        <v>0</v>
      </c>
      <c r="AC217" s="493">
        <f>AC213*地域経済性分析・初期条件!$Q$23</f>
        <v>0</v>
      </c>
      <c r="AD217" s="493">
        <f>AD213*地域経済性分析・初期条件!$Q$23</f>
        <v>0</v>
      </c>
      <c r="AE217" s="493">
        <f>AE213*地域経済性分析・初期条件!$Q$23</f>
        <v>0</v>
      </c>
      <c r="AF217" s="493">
        <f>AF213*地域経済性分析・初期条件!$Q$23</f>
        <v>0</v>
      </c>
      <c r="AG217" s="493">
        <f>AG213*地域経済性分析・初期条件!$Q$23</f>
        <v>0</v>
      </c>
      <c r="AH217" s="493">
        <f>AH213*地域経済性分析・初期条件!$Q$23</f>
        <v>0</v>
      </c>
      <c r="AI217" s="535">
        <f t="shared" si="167"/>
        <v>0</v>
      </c>
      <c r="AJ217" s="535">
        <f t="shared" si="168"/>
        <v>0</v>
      </c>
      <c r="AK217" s="497">
        <f t="shared" si="169"/>
        <v>0</v>
      </c>
    </row>
    <row r="218" spans="1:37" ht="11.5" x14ac:dyDescent="0.25">
      <c r="A218" s="533" t="str">
        <f>A212&amp;B218</f>
        <v>0従業員の可処分所得（一次）</v>
      </c>
      <c r="B218" s="439" t="s">
        <v>329</v>
      </c>
      <c r="C218" s="451" t="s">
        <v>37</v>
      </c>
      <c r="D218" s="493">
        <f>D213*地域経済性分析・初期条件!$H$23</f>
        <v>0</v>
      </c>
      <c r="E218" s="493">
        <f>E213*地域経済性分析・初期条件!$H$23</f>
        <v>0</v>
      </c>
      <c r="F218" s="465">
        <f>F213*地域経済性分析・初期条件!$H$23</f>
        <v>0</v>
      </c>
      <c r="G218" s="465">
        <f>G213*地域経済性分析・初期条件!$H$23</f>
        <v>0</v>
      </c>
      <c r="H218" s="465">
        <f>H213*地域経済性分析・初期条件!$H$23</f>
        <v>0</v>
      </c>
      <c r="I218" s="465">
        <f>I213*地域経済性分析・初期条件!$H$23</f>
        <v>0</v>
      </c>
      <c r="J218" s="465">
        <f>J213*地域経済性分析・初期条件!$H$23</f>
        <v>0</v>
      </c>
      <c r="K218" s="465">
        <f>K213*地域経済性分析・初期条件!$H$23</f>
        <v>0</v>
      </c>
      <c r="L218" s="465">
        <f>L213*地域経済性分析・初期条件!$H$23</f>
        <v>0</v>
      </c>
      <c r="M218" s="465">
        <f>M213*地域経済性分析・初期条件!$H$23</f>
        <v>0</v>
      </c>
      <c r="N218" s="465">
        <f>N213*地域経済性分析・初期条件!$H$23</f>
        <v>0</v>
      </c>
      <c r="O218" s="465">
        <f>O213*地域経済性分析・初期条件!$H$23</f>
        <v>0</v>
      </c>
      <c r="P218" s="465">
        <f>P213*地域経済性分析・初期条件!$H$23</f>
        <v>0</v>
      </c>
      <c r="Q218" s="465">
        <f>Q213*地域経済性分析・初期条件!$H$23</f>
        <v>0</v>
      </c>
      <c r="R218" s="465">
        <f>R213*地域経済性分析・初期条件!$H$23</f>
        <v>0</v>
      </c>
      <c r="S218" s="465">
        <f>S213*地域経済性分析・初期条件!$H$23</f>
        <v>0</v>
      </c>
      <c r="T218" s="465">
        <f>T213*地域経済性分析・初期条件!$H$23</f>
        <v>0</v>
      </c>
      <c r="U218" s="465">
        <f>U213*地域経済性分析・初期条件!$H$23</f>
        <v>0</v>
      </c>
      <c r="V218" s="465">
        <f>V213*地域経済性分析・初期条件!$H$23</f>
        <v>0</v>
      </c>
      <c r="W218" s="465">
        <f>W213*地域経済性分析・初期条件!$H$23</f>
        <v>0</v>
      </c>
      <c r="X218" s="465">
        <f>X213*地域経済性分析・初期条件!$H$23</f>
        <v>0</v>
      </c>
      <c r="Y218" s="465">
        <f>Y213*地域経済性分析・初期条件!$H$23</f>
        <v>0</v>
      </c>
      <c r="Z218" s="465">
        <f>Z213*地域経済性分析・初期条件!$H$23</f>
        <v>0</v>
      </c>
      <c r="AA218" s="465">
        <f>AA213*地域経済性分析・初期条件!$H$23</f>
        <v>0</v>
      </c>
      <c r="AB218" s="465">
        <f>AB213*地域経済性分析・初期条件!$H$23</f>
        <v>0</v>
      </c>
      <c r="AC218" s="465">
        <f>AC213*地域経済性分析・初期条件!$H$23</f>
        <v>0</v>
      </c>
      <c r="AD218" s="465">
        <f>AD213*地域経済性分析・初期条件!$H$23</f>
        <v>0</v>
      </c>
      <c r="AE218" s="465">
        <f>AE213*地域経済性分析・初期条件!$H$23</f>
        <v>0</v>
      </c>
      <c r="AF218" s="465">
        <f>AF213*地域経済性分析・初期条件!$H$23</f>
        <v>0</v>
      </c>
      <c r="AG218" s="465">
        <f>AG213*地域経済性分析・初期条件!$H$23</f>
        <v>0</v>
      </c>
      <c r="AH218" s="465">
        <f>AH213*地域経済性分析・初期条件!$H$23</f>
        <v>0</v>
      </c>
      <c r="AI218" s="535">
        <f t="shared" si="167"/>
        <v>0</v>
      </c>
      <c r="AJ218" s="535">
        <f t="shared" si="168"/>
        <v>0</v>
      </c>
      <c r="AK218" s="497">
        <f t="shared" si="169"/>
        <v>0</v>
      </c>
    </row>
    <row r="219" spans="1:37" ht="11.5" x14ac:dyDescent="0.25">
      <c r="A219" s="533" t="str">
        <f>A212&amp;B219</f>
        <v>0企業の税引後利益（一次）</v>
      </c>
      <c r="B219" s="439" t="s">
        <v>330</v>
      </c>
      <c r="C219" s="451" t="s">
        <v>37</v>
      </c>
      <c r="D219" s="493">
        <f>D213*地域経済性分析・初期条件!$I$23</f>
        <v>0</v>
      </c>
      <c r="E219" s="493">
        <f>E213*地域経済性分析・初期条件!$I$23</f>
        <v>0</v>
      </c>
      <c r="F219" s="465">
        <f>F213*地域経済性分析・初期条件!$I$23</f>
        <v>0</v>
      </c>
      <c r="G219" s="465">
        <f>G213*地域経済性分析・初期条件!$I$23</f>
        <v>0</v>
      </c>
      <c r="H219" s="465">
        <f>H213*地域経済性分析・初期条件!$I$23</f>
        <v>0</v>
      </c>
      <c r="I219" s="465">
        <f>I213*地域経済性分析・初期条件!$I$23</f>
        <v>0</v>
      </c>
      <c r="J219" s="465">
        <f>J213*地域経済性分析・初期条件!$I$23</f>
        <v>0</v>
      </c>
      <c r="K219" s="465">
        <f>K213*地域経済性分析・初期条件!$I$23</f>
        <v>0</v>
      </c>
      <c r="L219" s="465">
        <f>L213*地域経済性分析・初期条件!$I$23</f>
        <v>0</v>
      </c>
      <c r="M219" s="465">
        <f>M213*地域経済性分析・初期条件!$I$23</f>
        <v>0</v>
      </c>
      <c r="N219" s="465">
        <f>N213*地域経済性分析・初期条件!$I$23</f>
        <v>0</v>
      </c>
      <c r="O219" s="465">
        <f>O213*地域経済性分析・初期条件!$I$23</f>
        <v>0</v>
      </c>
      <c r="P219" s="465">
        <f>P213*地域経済性分析・初期条件!$I$23</f>
        <v>0</v>
      </c>
      <c r="Q219" s="465">
        <f>Q213*地域経済性分析・初期条件!$I$23</f>
        <v>0</v>
      </c>
      <c r="R219" s="465">
        <f>R213*地域経済性分析・初期条件!$I$23</f>
        <v>0</v>
      </c>
      <c r="S219" s="465">
        <f>S213*地域経済性分析・初期条件!$I$23</f>
        <v>0</v>
      </c>
      <c r="T219" s="465">
        <f>T213*地域経済性分析・初期条件!$I$23</f>
        <v>0</v>
      </c>
      <c r="U219" s="465">
        <f>U213*地域経済性分析・初期条件!$I$23</f>
        <v>0</v>
      </c>
      <c r="V219" s="465">
        <f>V213*地域経済性分析・初期条件!$I$23</f>
        <v>0</v>
      </c>
      <c r="W219" s="465">
        <f>W213*地域経済性分析・初期条件!$I$23</f>
        <v>0</v>
      </c>
      <c r="X219" s="465">
        <f>X213*地域経済性分析・初期条件!$I$23</f>
        <v>0</v>
      </c>
      <c r="Y219" s="465">
        <f>Y213*地域経済性分析・初期条件!$I$23</f>
        <v>0</v>
      </c>
      <c r="Z219" s="465">
        <f>Z213*地域経済性分析・初期条件!$I$23</f>
        <v>0</v>
      </c>
      <c r="AA219" s="465">
        <f>AA213*地域経済性分析・初期条件!$I$23</f>
        <v>0</v>
      </c>
      <c r="AB219" s="465">
        <f>AB213*地域経済性分析・初期条件!$I$23</f>
        <v>0</v>
      </c>
      <c r="AC219" s="465">
        <f>AC213*地域経済性分析・初期条件!$I$23</f>
        <v>0</v>
      </c>
      <c r="AD219" s="465">
        <f>AD213*地域経済性分析・初期条件!$I$23</f>
        <v>0</v>
      </c>
      <c r="AE219" s="465">
        <f>AE213*地域経済性分析・初期条件!$I$23</f>
        <v>0</v>
      </c>
      <c r="AF219" s="465">
        <f>AF213*地域経済性分析・初期条件!$I$23</f>
        <v>0</v>
      </c>
      <c r="AG219" s="465">
        <f>AG213*地域経済性分析・初期条件!$I$23</f>
        <v>0</v>
      </c>
      <c r="AH219" s="465">
        <f>AH213*地域経済性分析・初期条件!$I$23</f>
        <v>0</v>
      </c>
      <c r="AI219" s="535">
        <f t="shared" si="167"/>
        <v>0</v>
      </c>
      <c r="AJ219" s="535">
        <f t="shared" ref="AJ219:AJ225" si="173">SUM(D219:X219)</f>
        <v>0</v>
      </c>
      <c r="AK219" s="497">
        <f t="shared" ref="AK219:AK225" si="174">SUM(D219:AH219)</f>
        <v>0</v>
      </c>
    </row>
    <row r="220" spans="1:37" ht="11.5" x14ac:dyDescent="0.25">
      <c r="A220" s="533" t="str">
        <f>A212&amp;B220</f>
        <v>0都道府県税収（一次）</v>
      </c>
      <c r="B220" s="439" t="s">
        <v>331</v>
      </c>
      <c r="C220" s="451" t="s">
        <v>37</v>
      </c>
      <c r="D220" s="493">
        <f>D213*地域経済性分析・初期条件!$J$23</f>
        <v>0</v>
      </c>
      <c r="E220" s="493">
        <f>E213*地域経済性分析・初期条件!$J$23</f>
        <v>0</v>
      </c>
      <c r="F220" s="465">
        <f>F213*地域経済性分析・初期条件!$J$23</f>
        <v>0</v>
      </c>
      <c r="G220" s="465">
        <f>G213*地域経済性分析・初期条件!$J$23</f>
        <v>0</v>
      </c>
      <c r="H220" s="465">
        <f>H213*地域経済性分析・初期条件!$J$23</f>
        <v>0</v>
      </c>
      <c r="I220" s="465">
        <f>I213*地域経済性分析・初期条件!$J$23</f>
        <v>0</v>
      </c>
      <c r="J220" s="465">
        <f>J213*地域経済性分析・初期条件!$J$23</f>
        <v>0</v>
      </c>
      <c r="K220" s="465">
        <f>K213*地域経済性分析・初期条件!$J$23</f>
        <v>0</v>
      </c>
      <c r="L220" s="465">
        <f>L213*地域経済性分析・初期条件!$J$23</f>
        <v>0</v>
      </c>
      <c r="M220" s="465">
        <f>M213*地域経済性分析・初期条件!$J$23</f>
        <v>0</v>
      </c>
      <c r="N220" s="465">
        <f>N213*地域経済性分析・初期条件!$J$23</f>
        <v>0</v>
      </c>
      <c r="O220" s="465">
        <f>O213*地域経済性分析・初期条件!$J$23</f>
        <v>0</v>
      </c>
      <c r="P220" s="465">
        <f>P213*地域経済性分析・初期条件!$J$23</f>
        <v>0</v>
      </c>
      <c r="Q220" s="465">
        <f>Q213*地域経済性分析・初期条件!$J$23</f>
        <v>0</v>
      </c>
      <c r="R220" s="465">
        <f>R213*地域経済性分析・初期条件!$J$23</f>
        <v>0</v>
      </c>
      <c r="S220" s="465">
        <f>S213*地域経済性分析・初期条件!$J$23</f>
        <v>0</v>
      </c>
      <c r="T220" s="465">
        <f>T213*地域経済性分析・初期条件!$J$23</f>
        <v>0</v>
      </c>
      <c r="U220" s="465">
        <f>U213*地域経済性分析・初期条件!$J$23</f>
        <v>0</v>
      </c>
      <c r="V220" s="465">
        <f>V213*地域経済性分析・初期条件!$J$23</f>
        <v>0</v>
      </c>
      <c r="W220" s="465">
        <f>W213*地域経済性分析・初期条件!$J$23</f>
        <v>0</v>
      </c>
      <c r="X220" s="465">
        <f>X213*地域経済性分析・初期条件!$J$23</f>
        <v>0</v>
      </c>
      <c r="Y220" s="465">
        <f>Y213*地域経済性分析・初期条件!$J$23</f>
        <v>0</v>
      </c>
      <c r="Z220" s="465">
        <f>Z213*地域経済性分析・初期条件!$J$23</f>
        <v>0</v>
      </c>
      <c r="AA220" s="465">
        <f>AA213*地域経済性分析・初期条件!$J$23</f>
        <v>0</v>
      </c>
      <c r="AB220" s="465">
        <f>AB213*地域経済性分析・初期条件!$J$23</f>
        <v>0</v>
      </c>
      <c r="AC220" s="465">
        <f>AC213*地域経済性分析・初期条件!$J$23</f>
        <v>0</v>
      </c>
      <c r="AD220" s="465">
        <f>AD213*地域経済性分析・初期条件!$J$23</f>
        <v>0</v>
      </c>
      <c r="AE220" s="465">
        <f>AE213*地域経済性分析・初期条件!$J$23</f>
        <v>0</v>
      </c>
      <c r="AF220" s="465">
        <f>AF213*地域経済性分析・初期条件!$J$23</f>
        <v>0</v>
      </c>
      <c r="AG220" s="465">
        <f>AG213*地域経済性分析・初期条件!$J$23</f>
        <v>0</v>
      </c>
      <c r="AH220" s="465">
        <f>AH213*地域経済性分析・初期条件!$J$23</f>
        <v>0</v>
      </c>
      <c r="AI220" s="535">
        <f t="shared" si="167"/>
        <v>0</v>
      </c>
      <c r="AJ220" s="535">
        <f t="shared" si="173"/>
        <v>0</v>
      </c>
      <c r="AK220" s="497">
        <f t="shared" si="174"/>
        <v>0</v>
      </c>
    </row>
    <row r="221" spans="1:37" ht="11.5" x14ac:dyDescent="0.25">
      <c r="A221" s="533" t="str">
        <f>A212&amp;B221</f>
        <v>0市町村税収（一次）</v>
      </c>
      <c r="B221" s="439" t="s">
        <v>332</v>
      </c>
      <c r="C221" s="452" t="s">
        <v>37</v>
      </c>
      <c r="D221" s="493">
        <f>D213*地域経済性分析・初期条件!$K$23</f>
        <v>0</v>
      </c>
      <c r="E221" s="465">
        <f>E213*地域経済性分析・初期条件!$K$23</f>
        <v>0</v>
      </c>
      <c r="F221" s="465">
        <f>F213*地域経済性分析・初期条件!$K$23</f>
        <v>0</v>
      </c>
      <c r="G221" s="465">
        <f>G213*地域経済性分析・初期条件!$K$23</f>
        <v>0</v>
      </c>
      <c r="H221" s="465">
        <f>H213*地域経済性分析・初期条件!$K$23</f>
        <v>0</v>
      </c>
      <c r="I221" s="465">
        <f>I213*地域経済性分析・初期条件!$K$23</f>
        <v>0</v>
      </c>
      <c r="J221" s="465">
        <f>J213*地域経済性分析・初期条件!$K$23</f>
        <v>0</v>
      </c>
      <c r="K221" s="465">
        <f>K213*地域経済性分析・初期条件!$K$23</f>
        <v>0</v>
      </c>
      <c r="L221" s="465">
        <f>L213*地域経済性分析・初期条件!$K$23</f>
        <v>0</v>
      </c>
      <c r="M221" s="465">
        <f>M213*地域経済性分析・初期条件!$K$23</f>
        <v>0</v>
      </c>
      <c r="N221" s="465">
        <f>N213*地域経済性分析・初期条件!$K$23</f>
        <v>0</v>
      </c>
      <c r="O221" s="465">
        <f>O213*地域経済性分析・初期条件!$K$23</f>
        <v>0</v>
      </c>
      <c r="P221" s="465">
        <f>P213*地域経済性分析・初期条件!$K$23</f>
        <v>0</v>
      </c>
      <c r="Q221" s="465">
        <f>Q213*地域経済性分析・初期条件!$K$23</f>
        <v>0</v>
      </c>
      <c r="R221" s="465">
        <f>R213*地域経済性分析・初期条件!$K$23</f>
        <v>0</v>
      </c>
      <c r="S221" s="465">
        <f>S213*地域経済性分析・初期条件!$K$23</f>
        <v>0</v>
      </c>
      <c r="T221" s="465">
        <f>T213*地域経済性分析・初期条件!$K$23</f>
        <v>0</v>
      </c>
      <c r="U221" s="465">
        <f>U213*地域経済性分析・初期条件!$K$23</f>
        <v>0</v>
      </c>
      <c r="V221" s="465">
        <f>V213*地域経済性分析・初期条件!$K$23</f>
        <v>0</v>
      </c>
      <c r="W221" s="465">
        <f>W213*地域経済性分析・初期条件!$K$23</f>
        <v>0</v>
      </c>
      <c r="X221" s="465">
        <f>X213*地域経済性分析・初期条件!$K$23</f>
        <v>0</v>
      </c>
      <c r="Y221" s="465">
        <f>Y213*地域経済性分析・初期条件!$K$23</f>
        <v>0</v>
      </c>
      <c r="Z221" s="465">
        <f>Z213*地域経済性分析・初期条件!$K$23</f>
        <v>0</v>
      </c>
      <c r="AA221" s="465">
        <f>AA213*地域経済性分析・初期条件!$K$23</f>
        <v>0</v>
      </c>
      <c r="AB221" s="465">
        <f>AB213*地域経済性分析・初期条件!$K$23</f>
        <v>0</v>
      </c>
      <c r="AC221" s="465">
        <f>AC213*地域経済性分析・初期条件!$K$23</f>
        <v>0</v>
      </c>
      <c r="AD221" s="465">
        <f>AD213*地域経済性分析・初期条件!$K$23</f>
        <v>0</v>
      </c>
      <c r="AE221" s="465">
        <f>AE213*地域経済性分析・初期条件!$K$23</f>
        <v>0</v>
      </c>
      <c r="AF221" s="465">
        <f>AF213*地域経済性分析・初期条件!$K$23</f>
        <v>0</v>
      </c>
      <c r="AG221" s="465">
        <f>AG213*地域経済性分析・初期条件!$K$23</f>
        <v>0</v>
      </c>
      <c r="AH221" s="465">
        <f>AH213*地域経済性分析・初期条件!$K$23</f>
        <v>0</v>
      </c>
      <c r="AI221" s="535">
        <f t="shared" si="167"/>
        <v>0</v>
      </c>
      <c r="AJ221" s="535">
        <f t="shared" si="173"/>
        <v>0</v>
      </c>
      <c r="AK221" s="497">
        <f t="shared" si="174"/>
        <v>0</v>
      </c>
    </row>
    <row r="222" spans="1:37" ht="11.5" x14ac:dyDescent="0.25">
      <c r="A222" s="533" t="str">
        <f>A212&amp;B222</f>
        <v>0従業員の可処分所得（二次以降）</v>
      </c>
      <c r="B222" s="439" t="s">
        <v>334</v>
      </c>
      <c r="C222" s="452" t="s">
        <v>333</v>
      </c>
      <c r="D222" s="493">
        <f>D213*地域経済性分析・初期条件!$L$23</f>
        <v>0</v>
      </c>
      <c r="E222" s="465">
        <f>E213*地域経済性分析・初期条件!$L$23</f>
        <v>0</v>
      </c>
      <c r="F222" s="465">
        <f>F213*地域経済性分析・初期条件!$L$23</f>
        <v>0</v>
      </c>
      <c r="G222" s="465">
        <f>G213*地域経済性分析・初期条件!$L$23</f>
        <v>0</v>
      </c>
      <c r="H222" s="465">
        <f>H213*地域経済性分析・初期条件!$L$23</f>
        <v>0</v>
      </c>
      <c r="I222" s="465">
        <f>I213*地域経済性分析・初期条件!$L$23</f>
        <v>0</v>
      </c>
      <c r="J222" s="465">
        <f>J213*地域経済性分析・初期条件!$L$23</f>
        <v>0</v>
      </c>
      <c r="K222" s="465">
        <f>K213*地域経済性分析・初期条件!$L$23</f>
        <v>0</v>
      </c>
      <c r="L222" s="465">
        <f>L213*地域経済性分析・初期条件!$L$23</f>
        <v>0</v>
      </c>
      <c r="M222" s="465">
        <f>M213*地域経済性分析・初期条件!$L$23</f>
        <v>0</v>
      </c>
      <c r="N222" s="465">
        <f>N213*地域経済性分析・初期条件!$L$23</f>
        <v>0</v>
      </c>
      <c r="O222" s="465">
        <f>O213*地域経済性分析・初期条件!$L$23</f>
        <v>0</v>
      </c>
      <c r="P222" s="465">
        <f>P213*地域経済性分析・初期条件!$L$23</f>
        <v>0</v>
      </c>
      <c r="Q222" s="465">
        <f>Q213*地域経済性分析・初期条件!$L$23</f>
        <v>0</v>
      </c>
      <c r="R222" s="465">
        <f>R213*地域経済性分析・初期条件!$L$23</f>
        <v>0</v>
      </c>
      <c r="S222" s="465">
        <f>S213*地域経済性分析・初期条件!$L$23</f>
        <v>0</v>
      </c>
      <c r="T222" s="465">
        <f>T213*地域経済性分析・初期条件!$L$23</f>
        <v>0</v>
      </c>
      <c r="U222" s="465">
        <f>U213*地域経済性分析・初期条件!$L$23</f>
        <v>0</v>
      </c>
      <c r="V222" s="465">
        <f>V213*地域経済性分析・初期条件!$L$23</f>
        <v>0</v>
      </c>
      <c r="W222" s="465">
        <f>W213*地域経済性分析・初期条件!$L$23</f>
        <v>0</v>
      </c>
      <c r="X222" s="465">
        <f>X213*地域経済性分析・初期条件!$L$23</f>
        <v>0</v>
      </c>
      <c r="Y222" s="465">
        <f>Y213*地域経済性分析・初期条件!$L$23</f>
        <v>0</v>
      </c>
      <c r="Z222" s="465">
        <f>Z213*地域経済性分析・初期条件!$L$23</f>
        <v>0</v>
      </c>
      <c r="AA222" s="465">
        <f>AA213*地域経済性分析・初期条件!$L$23</f>
        <v>0</v>
      </c>
      <c r="AB222" s="465">
        <f>AB213*地域経済性分析・初期条件!$L$23</f>
        <v>0</v>
      </c>
      <c r="AC222" s="465">
        <f>AC213*地域経済性分析・初期条件!$L$23</f>
        <v>0</v>
      </c>
      <c r="AD222" s="465">
        <f>AD213*地域経済性分析・初期条件!$L$23</f>
        <v>0</v>
      </c>
      <c r="AE222" s="465">
        <f>AE213*地域経済性分析・初期条件!$L$23</f>
        <v>0</v>
      </c>
      <c r="AF222" s="465">
        <f>AF213*地域経済性分析・初期条件!$L$23</f>
        <v>0</v>
      </c>
      <c r="AG222" s="465">
        <f>AG213*地域経済性分析・初期条件!$L$23</f>
        <v>0</v>
      </c>
      <c r="AH222" s="465">
        <f>AH213*地域経済性分析・初期条件!$L$23</f>
        <v>0</v>
      </c>
      <c r="AI222" s="535">
        <f t="shared" si="167"/>
        <v>0</v>
      </c>
      <c r="AJ222" s="535">
        <f t="shared" si="173"/>
        <v>0</v>
      </c>
      <c r="AK222" s="497">
        <f t="shared" si="174"/>
        <v>0</v>
      </c>
    </row>
    <row r="223" spans="1:37" ht="11.5" x14ac:dyDescent="0.25">
      <c r="A223" s="533" t="str">
        <f>A212&amp;B223</f>
        <v>0企業の税引後利益（二次以降）</v>
      </c>
      <c r="B223" s="439" t="s">
        <v>335</v>
      </c>
      <c r="C223" s="452" t="s">
        <v>333</v>
      </c>
      <c r="D223" s="493">
        <f>D213*地域経済性分析・初期条件!$M$23</f>
        <v>0</v>
      </c>
      <c r="E223" s="465">
        <f>E213*地域経済性分析・初期条件!$M$23</f>
        <v>0</v>
      </c>
      <c r="F223" s="465">
        <f>F213*地域経済性分析・初期条件!$M$23</f>
        <v>0</v>
      </c>
      <c r="G223" s="465">
        <f>G213*地域経済性分析・初期条件!$M$23</f>
        <v>0</v>
      </c>
      <c r="H223" s="465">
        <f>H213*地域経済性分析・初期条件!$M$23</f>
        <v>0</v>
      </c>
      <c r="I223" s="465">
        <f>I213*地域経済性分析・初期条件!$M$23</f>
        <v>0</v>
      </c>
      <c r="J223" s="465">
        <f>J213*地域経済性分析・初期条件!$M$23</f>
        <v>0</v>
      </c>
      <c r="K223" s="465">
        <f>K213*地域経済性分析・初期条件!$M$23</f>
        <v>0</v>
      </c>
      <c r="L223" s="465">
        <f>L213*地域経済性分析・初期条件!$M$23</f>
        <v>0</v>
      </c>
      <c r="M223" s="465">
        <f>M213*地域経済性分析・初期条件!$M$23</f>
        <v>0</v>
      </c>
      <c r="N223" s="465">
        <f>N213*地域経済性分析・初期条件!$M$23</f>
        <v>0</v>
      </c>
      <c r="O223" s="465">
        <f>O213*地域経済性分析・初期条件!$M$23</f>
        <v>0</v>
      </c>
      <c r="P223" s="465">
        <f>P213*地域経済性分析・初期条件!$M$23</f>
        <v>0</v>
      </c>
      <c r="Q223" s="465">
        <f>Q213*地域経済性分析・初期条件!$M$23</f>
        <v>0</v>
      </c>
      <c r="R223" s="465">
        <f>R213*地域経済性分析・初期条件!$M$23</f>
        <v>0</v>
      </c>
      <c r="S223" s="465">
        <f>S213*地域経済性分析・初期条件!$M$23</f>
        <v>0</v>
      </c>
      <c r="T223" s="465">
        <f>T213*地域経済性分析・初期条件!$M$23</f>
        <v>0</v>
      </c>
      <c r="U223" s="465">
        <f>U213*地域経済性分析・初期条件!$M$23</f>
        <v>0</v>
      </c>
      <c r="V223" s="465">
        <f>V213*地域経済性分析・初期条件!$M$23</f>
        <v>0</v>
      </c>
      <c r="W223" s="465">
        <f>W213*地域経済性分析・初期条件!$M$23</f>
        <v>0</v>
      </c>
      <c r="X223" s="465">
        <f>X213*地域経済性分析・初期条件!$M$23</f>
        <v>0</v>
      </c>
      <c r="Y223" s="465">
        <f>Y213*地域経済性分析・初期条件!$M$23</f>
        <v>0</v>
      </c>
      <c r="Z223" s="465">
        <f>Z213*地域経済性分析・初期条件!$M$23</f>
        <v>0</v>
      </c>
      <c r="AA223" s="465">
        <f>AA213*地域経済性分析・初期条件!$M$23</f>
        <v>0</v>
      </c>
      <c r="AB223" s="465">
        <f>AB213*地域経済性分析・初期条件!$M$23</f>
        <v>0</v>
      </c>
      <c r="AC223" s="465">
        <f>AC213*地域経済性分析・初期条件!$M$23</f>
        <v>0</v>
      </c>
      <c r="AD223" s="465">
        <f>AD213*地域経済性分析・初期条件!$M$23</f>
        <v>0</v>
      </c>
      <c r="AE223" s="465">
        <f>AE213*地域経済性分析・初期条件!$M$23</f>
        <v>0</v>
      </c>
      <c r="AF223" s="465">
        <f>AF213*地域経済性分析・初期条件!$M$23</f>
        <v>0</v>
      </c>
      <c r="AG223" s="465">
        <f>AG213*地域経済性分析・初期条件!$M$23</f>
        <v>0</v>
      </c>
      <c r="AH223" s="465">
        <f>AH213*地域経済性分析・初期条件!$M$23</f>
        <v>0</v>
      </c>
      <c r="AI223" s="535">
        <f t="shared" si="167"/>
        <v>0</v>
      </c>
      <c r="AJ223" s="535">
        <f t="shared" si="173"/>
        <v>0</v>
      </c>
      <c r="AK223" s="497">
        <f t="shared" si="174"/>
        <v>0</v>
      </c>
    </row>
    <row r="224" spans="1:37" ht="11.5" x14ac:dyDescent="0.25">
      <c r="A224" s="533" t="str">
        <f>A212&amp;B224</f>
        <v>0都道府県税収（二次以降）</v>
      </c>
      <c r="B224" s="439" t="s">
        <v>336</v>
      </c>
      <c r="C224" s="452" t="s">
        <v>333</v>
      </c>
      <c r="D224" s="493">
        <f>D213*地域経済性分析・初期条件!$N$23</f>
        <v>0</v>
      </c>
      <c r="E224" s="465">
        <f>E213*地域経済性分析・初期条件!$N$23</f>
        <v>0</v>
      </c>
      <c r="F224" s="465">
        <f>F213*地域経済性分析・初期条件!$N$23</f>
        <v>0</v>
      </c>
      <c r="G224" s="465">
        <f>G213*地域経済性分析・初期条件!$N$23</f>
        <v>0</v>
      </c>
      <c r="H224" s="465">
        <f>H213*地域経済性分析・初期条件!$N$23</f>
        <v>0</v>
      </c>
      <c r="I224" s="465">
        <f>I213*地域経済性分析・初期条件!$N$23</f>
        <v>0</v>
      </c>
      <c r="J224" s="465">
        <f>J213*地域経済性分析・初期条件!$N$23</f>
        <v>0</v>
      </c>
      <c r="K224" s="465">
        <f>K213*地域経済性分析・初期条件!$N$23</f>
        <v>0</v>
      </c>
      <c r="L224" s="465">
        <f>L213*地域経済性分析・初期条件!$N$23</f>
        <v>0</v>
      </c>
      <c r="M224" s="465">
        <f>M213*地域経済性分析・初期条件!$N$23</f>
        <v>0</v>
      </c>
      <c r="N224" s="465">
        <f>N213*地域経済性分析・初期条件!$N$23</f>
        <v>0</v>
      </c>
      <c r="O224" s="465">
        <f>O213*地域経済性分析・初期条件!$N$23</f>
        <v>0</v>
      </c>
      <c r="P224" s="465">
        <f>P213*地域経済性分析・初期条件!$N$23</f>
        <v>0</v>
      </c>
      <c r="Q224" s="465">
        <f>Q213*地域経済性分析・初期条件!$N$23</f>
        <v>0</v>
      </c>
      <c r="R224" s="465">
        <f>R213*地域経済性分析・初期条件!$N$23</f>
        <v>0</v>
      </c>
      <c r="S224" s="465">
        <f>S213*地域経済性分析・初期条件!$N$23</f>
        <v>0</v>
      </c>
      <c r="T224" s="465">
        <f>T213*地域経済性分析・初期条件!$N$23</f>
        <v>0</v>
      </c>
      <c r="U224" s="465">
        <f>U213*地域経済性分析・初期条件!$N$23</f>
        <v>0</v>
      </c>
      <c r="V224" s="465">
        <f>V213*地域経済性分析・初期条件!$N$23</f>
        <v>0</v>
      </c>
      <c r="W224" s="465">
        <f>W213*地域経済性分析・初期条件!$N$23</f>
        <v>0</v>
      </c>
      <c r="X224" s="465">
        <f>X213*地域経済性分析・初期条件!$N$23</f>
        <v>0</v>
      </c>
      <c r="Y224" s="465">
        <f>Y213*地域経済性分析・初期条件!$N$23</f>
        <v>0</v>
      </c>
      <c r="Z224" s="465">
        <f>Z213*地域経済性分析・初期条件!$N$23</f>
        <v>0</v>
      </c>
      <c r="AA224" s="465">
        <f>AA213*地域経済性分析・初期条件!$N$23</f>
        <v>0</v>
      </c>
      <c r="AB224" s="465">
        <f>AB213*地域経済性分析・初期条件!$N$23</f>
        <v>0</v>
      </c>
      <c r="AC224" s="465">
        <f>AC213*地域経済性分析・初期条件!$N$23</f>
        <v>0</v>
      </c>
      <c r="AD224" s="465">
        <f>AD213*地域経済性分析・初期条件!$N$23</f>
        <v>0</v>
      </c>
      <c r="AE224" s="465">
        <f>AE213*地域経済性分析・初期条件!$N$23</f>
        <v>0</v>
      </c>
      <c r="AF224" s="465">
        <f>AF213*地域経済性分析・初期条件!$N$23</f>
        <v>0</v>
      </c>
      <c r="AG224" s="465">
        <f>AG213*地域経済性分析・初期条件!$N$23</f>
        <v>0</v>
      </c>
      <c r="AH224" s="465">
        <f>AH213*地域経済性分析・初期条件!$N$23</f>
        <v>0</v>
      </c>
      <c r="AI224" s="535">
        <f t="shared" si="167"/>
        <v>0</v>
      </c>
      <c r="AJ224" s="535">
        <f t="shared" si="173"/>
        <v>0</v>
      </c>
      <c r="AK224" s="497">
        <f t="shared" si="174"/>
        <v>0</v>
      </c>
    </row>
    <row r="225" spans="1:37" ht="12" thickBot="1" x14ac:dyDescent="0.3">
      <c r="A225" s="689" t="str">
        <f>A212&amp;B225</f>
        <v>0市町村税収（二次以降）</v>
      </c>
      <c r="B225" s="690" t="s">
        <v>337</v>
      </c>
      <c r="C225" s="691" t="s">
        <v>333</v>
      </c>
      <c r="D225" s="692">
        <f>D213*地域経済性分析・初期条件!$O$23</f>
        <v>0</v>
      </c>
      <c r="E225" s="693">
        <f>E213*地域経済性分析・初期条件!$O$23</f>
        <v>0</v>
      </c>
      <c r="F225" s="693">
        <f>F213*地域経済性分析・初期条件!$O$23</f>
        <v>0</v>
      </c>
      <c r="G225" s="693">
        <f>G213*地域経済性分析・初期条件!$O$23</f>
        <v>0</v>
      </c>
      <c r="H225" s="693">
        <f>H213*地域経済性分析・初期条件!$O$23</f>
        <v>0</v>
      </c>
      <c r="I225" s="693">
        <f>I213*地域経済性分析・初期条件!$O$23</f>
        <v>0</v>
      </c>
      <c r="J225" s="693">
        <f>J213*地域経済性分析・初期条件!$O$23</f>
        <v>0</v>
      </c>
      <c r="K225" s="693">
        <f>K213*地域経済性分析・初期条件!$O$23</f>
        <v>0</v>
      </c>
      <c r="L225" s="693">
        <f>L213*地域経済性分析・初期条件!$O$23</f>
        <v>0</v>
      </c>
      <c r="M225" s="693">
        <f>M213*地域経済性分析・初期条件!$O$23</f>
        <v>0</v>
      </c>
      <c r="N225" s="693">
        <f>N213*地域経済性分析・初期条件!$O$23</f>
        <v>0</v>
      </c>
      <c r="O225" s="693">
        <f>O213*地域経済性分析・初期条件!$O$23</f>
        <v>0</v>
      </c>
      <c r="P225" s="693">
        <f>P213*地域経済性分析・初期条件!$O$23</f>
        <v>0</v>
      </c>
      <c r="Q225" s="693">
        <f>Q213*地域経済性分析・初期条件!$O$23</f>
        <v>0</v>
      </c>
      <c r="R225" s="693">
        <f>R213*地域経済性分析・初期条件!$O$23</f>
        <v>0</v>
      </c>
      <c r="S225" s="693">
        <f>S213*地域経済性分析・初期条件!$O$23</f>
        <v>0</v>
      </c>
      <c r="T225" s="693">
        <f>T213*地域経済性分析・初期条件!$O$23</f>
        <v>0</v>
      </c>
      <c r="U225" s="693">
        <f>U213*地域経済性分析・初期条件!$O$23</f>
        <v>0</v>
      </c>
      <c r="V225" s="693">
        <f>V213*地域経済性分析・初期条件!$O$23</f>
        <v>0</v>
      </c>
      <c r="W225" s="693">
        <f>W213*地域経済性分析・初期条件!$O$23</f>
        <v>0</v>
      </c>
      <c r="X225" s="693">
        <f>X213*地域経済性分析・初期条件!$O$23</f>
        <v>0</v>
      </c>
      <c r="Y225" s="693">
        <f>Y213*地域経済性分析・初期条件!$O$23</f>
        <v>0</v>
      </c>
      <c r="Z225" s="693">
        <f>Z213*地域経済性分析・初期条件!$O$23</f>
        <v>0</v>
      </c>
      <c r="AA225" s="693">
        <f>AA213*地域経済性分析・初期条件!$O$23</f>
        <v>0</v>
      </c>
      <c r="AB225" s="693">
        <f>AB213*地域経済性分析・初期条件!$O$23</f>
        <v>0</v>
      </c>
      <c r="AC225" s="693">
        <f>AC213*地域経済性分析・初期条件!$O$23</f>
        <v>0</v>
      </c>
      <c r="AD225" s="693">
        <f>AD213*地域経済性分析・初期条件!$O$23</f>
        <v>0</v>
      </c>
      <c r="AE225" s="693">
        <f>AE213*地域経済性分析・初期条件!$O$23</f>
        <v>0</v>
      </c>
      <c r="AF225" s="693">
        <f>AF213*地域経済性分析・初期条件!$O$23</f>
        <v>0</v>
      </c>
      <c r="AG225" s="693">
        <f>AG213*地域経済性分析・初期条件!$O$23</f>
        <v>0</v>
      </c>
      <c r="AH225" s="693">
        <f>AH213*地域経済性分析・初期条件!$O$23</f>
        <v>0</v>
      </c>
      <c r="AI225" s="694">
        <f t="shared" si="167"/>
        <v>0</v>
      </c>
      <c r="AJ225" s="694">
        <f t="shared" si="173"/>
        <v>0</v>
      </c>
      <c r="AK225" s="695">
        <f t="shared" si="174"/>
        <v>0</v>
      </c>
    </row>
    <row r="226" spans="1:37" ht="12" thickTop="1" x14ac:dyDescent="0.25">
      <c r="A226" s="1409" t="s">
        <v>1089</v>
      </c>
      <c r="B226" s="439"/>
      <c r="C226" s="452" t="s">
        <v>1090</v>
      </c>
      <c r="D226" s="493">
        <f>SUM(D190:D197,D204:D211,,D218:D225)</f>
        <v>0</v>
      </c>
      <c r="E226" s="493">
        <f t="shared" ref="E226" si="175">SUM(E190:E197,E204:E211,,E218:E225)</f>
        <v>6278455.2635626718</v>
      </c>
      <c r="F226" s="493">
        <f t="shared" ref="F226" si="176">SUM(F190:F197,F204:F211,,F218:F225)</f>
        <v>6278455.2635626718</v>
      </c>
      <c r="G226" s="493">
        <f t="shared" ref="G226" si="177">SUM(G190:G197,G204:G211,,G218:G225)</f>
        <v>6278455.2635626718</v>
      </c>
      <c r="H226" s="493">
        <f t="shared" ref="H226" si="178">SUM(H190:H197,H204:H211,,H218:H225)</f>
        <v>6278455.2635626718</v>
      </c>
      <c r="I226" s="493">
        <f t="shared" ref="I226" si="179">SUM(I190:I197,I204:I211,,I218:I225)</f>
        <v>6278455.2635626718</v>
      </c>
      <c r="J226" s="493">
        <f t="shared" ref="J226" si="180">SUM(J190:J197,J204:J211,,J218:J225)</f>
        <v>6278455.2635626718</v>
      </c>
      <c r="K226" s="493">
        <f t="shared" ref="K226" si="181">SUM(K190:K197,K204:K211,,K218:K225)</f>
        <v>6278455.2635626718</v>
      </c>
      <c r="L226" s="493">
        <f t="shared" ref="L226" si="182">SUM(L190:L197,L204:L211,,L218:L225)</f>
        <v>6278455.2635626718</v>
      </c>
      <c r="M226" s="493">
        <f t="shared" ref="M226" si="183">SUM(M190:M197,M204:M211,,M218:M225)</f>
        <v>6278455.2635626718</v>
      </c>
      <c r="N226" s="493">
        <f t="shared" ref="N226" si="184">SUM(N190:N197,N204:N211,,N218:N225)</f>
        <v>6278455.2635626718</v>
      </c>
      <c r="O226" s="493">
        <f t="shared" ref="O226" si="185">SUM(O190:O197,O204:O211,,O218:O225)</f>
        <v>6278455.2635626718</v>
      </c>
      <c r="P226" s="493">
        <f t="shared" ref="P226" si="186">SUM(P190:P197,P204:P211,,P218:P225)</f>
        <v>6278455.2635626718</v>
      </c>
      <c r="Q226" s="493">
        <f t="shared" ref="Q226" si="187">SUM(Q190:Q197,Q204:Q211,,Q218:Q225)</f>
        <v>6278455.2635626718</v>
      </c>
      <c r="R226" s="493">
        <f t="shared" ref="R226" si="188">SUM(R190:R197,R204:R211,,R218:R225)</f>
        <v>6278455.2635626718</v>
      </c>
      <c r="S226" s="493">
        <f t="shared" ref="S226" si="189">SUM(S190:S197,S204:S211,,S218:S225)</f>
        <v>6278455.2635626718</v>
      </c>
      <c r="T226" s="493">
        <f t="shared" ref="T226" si="190">SUM(T190:T197,T204:T211,,T218:T225)</f>
        <v>6278455.2635626718</v>
      </c>
      <c r="U226" s="493">
        <f t="shared" ref="U226" si="191">SUM(U190:U197,U204:U211,,U218:U225)</f>
        <v>6278455.2635626718</v>
      </c>
      <c r="V226" s="493">
        <f t="shared" ref="V226" si="192">SUM(V190:V197,V204:V211,,V218:V225)</f>
        <v>6278455.2635626718</v>
      </c>
      <c r="W226" s="493">
        <f t="shared" ref="W226" si="193">SUM(W190:W197,W204:W211,,W218:W225)</f>
        <v>6278455.2635626718</v>
      </c>
      <c r="X226" s="493">
        <f t="shared" ref="X226" si="194">SUM(X190:X197,X204:X211,,X218:X225)</f>
        <v>6278455.2635626718</v>
      </c>
      <c r="Y226" s="493">
        <f t="shared" ref="Y226" si="195">SUM(Y190:Y197,Y204:Y211,,Y218:Y225)</f>
        <v>6278455.2635626718</v>
      </c>
      <c r="Z226" s="493">
        <f t="shared" ref="Z226" si="196">SUM(Z190:Z197,Z204:Z211,,Z218:Z225)</f>
        <v>6278455.2635626718</v>
      </c>
      <c r="AA226" s="493">
        <f t="shared" ref="AA226" si="197">SUM(AA190:AA197,AA204:AA211,,AA218:AA225)</f>
        <v>6278455.2635626718</v>
      </c>
      <c r="AB226" s="493">
        <f t="shared" ref="AB226" si="198">SUM(AB190:AB197,AB204:AB211,,AB218:AB225)</f>
        <v>6278455.2635626718</v>
      </c>
      <c r="AC226" s="493">
        <f t="shared" ref="AC226" si="199">SUM(AC190:AC197,AC204:AC211,,AC218:AC225)</f>
        <v>6278455.2635626718</v>
      </c>
      <c r="AD226" s="493">
        <f t="shared" ref="AD226" si="200">SUM(AD190:AD197,AD204:AD211,,AD218:AD225)</f>
        <v>6278455.2635626718</v>
      </c>
      <c r="AE226" s="493">
        <f t="shared" ref="AE226" si="201">SUM(AE190:AE197,AE204:AE211,,AE218:AE225)</f>
        <v>6278455.2635626718</v>
      </c>
      <c r="AF226" s="493">
        <f t="shared" ref="AF226" si="202">SUM(AF190:AF197,AF204:AF211,,AF218:AF225)</f>
        <v>6278455.2635626718</v>
      </c>
      <c r="AG226" s="493">
        <f t="shared" ref="AG226" si="203">SUM(AG190:AG197,AG204:AG211,,AG218:AG225)</f>
        <v>6278455.2635626718</v>
      </c>
      <c r="AH226" s="493">
        <f t="shared" ref="AH226" si="204">SUM(AH190:AH197,AH204:AH211,,AH218:AH225)</f>
        <v>6278455.2635626718</v>
      </c>
      <c r="AI226" s="535">
        <f t="shared" ref="AI226" si="205">SUM(AI190:AI197,AI204:AI211,,AI218:AI225)</f>
        <v>62784552.635626733</v>
      </c>
      <c r="AJ226" s="535">
        <f t="shared" ref="AJ226" si="206">SUM(AJ190:AJ197,AJ204:AJ211,,AJ218:AJ225)</f>
        <v>125569105.27125347</v>
      </c>
      <c r="AK226" s="497">
        <f t="shared" ref="AK226" si="207">SUM(AK190:AK197,AK204:AK211,,AK218:AK225)</f>
        <v>188353657.90688014</v>
      </c>
    </row>
    <row r="227" spans="1:37" ht="11.5" x14ac:dyDescent="0.25">
      <c r="A227" s="1410" t="s">
        <v>1091</v>
      </c>
      <c r="B227" s="1403"/>
      <c r="C227" s="1404" t="s">
        <v>37</v>
      </c>
      <c r="D227" s="1397">
        <f>D183*1.1-D226</f>
        <v>0</v>
      </c>
      <c r="E227" s="1397">
        <f t="shared" ref="E227" si="208">E183*1.1-E226</f>
        <v>86431536.614661604</v>
      </c>
      <c r="F227" s="1397">
        <f t="shared" ref="F227" si="209">F183*1.1-F226</f>
        <v>86431536.614661604</v>
      </c>
      <c r="G227" s="1397">
        <f t="shared" ref="G227" si="210">G183*1.1-G226</f>
        <v>86431536.614661604</v>
      </c>
      <c r="H227" s="1397">
        <f t="shared" ref="H227" si="211">H183*1.1-H226</f>
        <v>86431536.614661604</v>
      </c>
      <c r="I227" s="1397">
        <f t="shared" ref="I227" si="212">I183*1.1-I226</f>
        <v>86431536.614661604</v>
      </c>
      <c r="J227" s="1397">
        <f t="shared" ref="J227" si="213">J183*1.1-J226</f>
        <v>86431536.614661604</v>
      </c>
      <c r="K227" s="1397">
        <f t="shared" ref="K227" si="214">K183*1.1-K226</f>
        <v>86431536.614661604</v>
      </c>
      <c r="L227" s="1397">
        <f t="shared" ref="L227" si="215">L183*1.1-L226</f>
        <v>86431536.614661604</v>
      </c>
      <c r="M227" s="1397">
        <f t="shared" ref="M227" si="216">M183*1.1-M226</f>
        <v>86431536.614661604</v>
      </c>
      <c r="N227" s="1397">
        <f t="shared" ref="N227" si="217">N183*1.1-N226</f>
        <v>86431536.614661604</v>
      </c>
      <c r="O227" s="1397">
        <f t="shared" ref="O227" si="218">O183*1.1-O226</f>
        <v>86431536.614661604</v>
      </c>
      <c r="P227" s="1397">
        <f t="shared" ref="P227" si="219">P183*1.1-P226</f>
        <v>86431536.614661604</v>
      </c>
      <c r="Q227" s="1397">
        <f t="shared" ref="Q227" si="220">Q183*1.1-Q226</f>
        <v>86431536.614661604</v>
      </c>
      <c r="R227" s="1397">
        <f t="shared" ref="R227" si="221">R183*1.1-R226</f>
        <v>86431536.614661604</v>
      </c>
      <c r="S227" s="1397">
        <f t="shared" ref="S227" si="222">S183*1.1-S226</f>
        <v>86431536.614661604</v>
      </c>
      <c r="T227" s="1397">
        <f t="shared" ref="T227" si="223">T183*1.1-T226</f>
        <v>86431536.614661604</v>
      </c>
      <c r="U227" s="1397">
        <f t="shared" ref="U227" si="224">U183*1.1-U226</f>
        <v>86431536.614661604</v>
      </c>
      <c r="V227" s="1397">
        <f t="shared" ref="V227" si="225">V183*1.1-V226</f>
        <v>86431536.614661604</v>
      </c>
      <c r="W227" s="1397">
        <f t="shared" ref="W227" si="226">W183*1.1-W226</f>
        <v>86431536.614661604</v>
      </c>
      <c r="X227" s="1397">
        <f t="shared" ref="X227" si="227">X183*1.1-X226</f>
        <v>86431536.614661604</v>
      </c>
      <c r="Y227" s="1397">
        <f t="shared" ref="Y227" si="228">Y183*1.1-Y226</f>
        <v>86431536.614661604</v>
      </c>
      <c r="Z227" s="1397">
        <f t="shared" ref="Z227" si="229">Z183*1.1-Z226</f>
        <v>86431536.614661604</v>
      </c>
      <c r="AA227" s="1397">
        <f t="shared" ref="AA227" si="230">AA183*1.1-AA226</f>
        <v>86431536.614661604</v>
      </c>
      <c r="AB227" s="1397">
        <f t="shared" ref="AB227" si="231">AB183*1.1-AB226</f>
        <v>86431536.614661604</v>
      </c>
      <c r="AC227" s="1397">
        <f t="shared" ref="AC227" si="232">AC183*1.1-AC226</f>
        <v>86431536.614661604</v>
      </c>
      <c r="AD227" s="1397">
        <f t="shared" ref="AD227" si="233">AD183*1.1-AD226</f>
        <v>86431536.614661604</v>
      </c>
      <c r="AE227" s="1397">
        <f t="shared" ref="AE227" si="234">AE183*1.1-AE226</f>
        <v>86431536.614661604</v>
      </c>
      <c r="AF227" s="1397">
        <f t="shared" ref="AF227" si="235">AF183*1.1-AF226</f>
        <v>86431536.614661604</v>
      </c>
      <c r="AG227" s="1397">
        <f t="shared" ref="AG227" si="236">AG183*1.1-AG226</f>
        <v>86431536.614661604</v>
      </c>
      <c r="AH227" s="1397">
        <f t="shared" ref="AH227" si="237">AH183*1.1-AH226</f>
        <v>86431536.614661604</v>
      </c>
      <c r="AI227" s="1405">
        <f t="shared" ref="AI227:AK227" si="238">AI183-AI226</f>
        <v>780033555.34823036</v>
      </c>
      <c r="AJ227" s="1405">
        <f t="shared" si="238"/>
        <v>1560067110.6964602</v>
      </c>
      <c r="AK227" s="1406">
        <f t="shared" si="238"/>
        <v>2340100666.0446901</v>
      </c>
    </row>
    <row r="228" spans="1:37" ht="11.5" x14ac:dyDescent="0.25">
      <c r="A228" s="439" t="str">
        <f>B33</f>
        <v>灰処理費用</v>
      </c>
      <c r="B228" s="416"/>
      <c r="C228" s="451" t="s">
        <v>37</v>
      </c>
      <c r="D228" s="493"/>
      <c r="E228" s="493">
        <f t="shared" ref="E228:AH228" si="239">E33</f>
        <v>60201293.427418359</v>
      </c>
      <c r="F228" s="493">
        <f t="shared" si="239"/>
        <v>60201293.427418359</v>
      </c>
      <c r="G228" s="493">
        <f t="shared" si="239"/>
        <v>60201293.427418359</v>
      </c>
      <c r="H228" s="493">
        <f t="shared" si="239"/>
        <v>60201293.427418359</v>
      </c>
      <c r="I228" s="493">
        <f t="shared" si="239"/>
        <v>60201293.427418359</v>
      </c>
      <c r="J228" s="493">
        <f t="shared" si="239"/>
        <v>60201293.427418359</v>
      </c>
      <c r="K228" s="493">
        <f t="shared" si="239"/>
        <v>60201293.427418359</v>
      </c>
      <c r="L228" s="493">
        <f t="shared" si="239"/>
        <v>60201293.427418359</v>
      </c>
      <c r="M228" s="493">
        <f t="shared" si="239"/>
        <v>60201293.427418359</v>
      </c>
      <c r="N228" s="493">
        <f t="shared" si="239"/>
        <v>60201293.427418359</v>
      </c>
      <c r="O228" s="493">
        <f t="shared" si="239"/>
        <v>60201293.427418359</v>
      </c>
      <c r="P228" s="493">
        <f t="shared" si="239"/>
        <v>60201293.427418359</v>
      </c>
      <c r="Q228" s="493">
        <f t="shared" si="239"/>
        <v>60201293.427418359</v>
      </c>
      <c r="R228" s="493">
        <f t="shared" si="239"/>
        <v>60201293.427418359</v>
      </c>
      <c r="S228" s="493">
        <f t="shared" si="239"/>
        <v>60201293.427418359</v>
      </c>
      <c r="T228" s="493">
        <f t="shared" si="239"/>
        <v>60201293.427418359</v>
      </c>
      <c r="U228" s="493">
        <f t="shared" si="239"/>
        <v>60201293.427418359</v>
      </c>
      <c r="V228" s="493">
        <f t="shared" si="239"/>
        <v>60201293.427418359</v>
      </c>
      <c r="W228" s="493">
        <f t="shared" si="239"/>
        <v>60201293.427418359</v>
      </c>
      <c r="X228" s="493">
        <f t="shared" si="239"/>
        <v>60201293.427418359</v>
      </c>
      <c r="Y228" s="493">
        <f t="shared" si="239"/>
        <v>60201293.427418359</v>
      </c>
      <c r="Z228" s="493">
        <f t="shared" si="239"/>
        <v>60201293.427418359</v>
      </c>
      <c r="AA228" s="493">
        <f t="shared" si="239"/>
        <v>60201293.427418359</v>
      </c>
      <c r="AB228" s="493">
        <f t="shared" si="239"/>
        <v>60201293.427418359</v>
      </c>
      <c r="AC228" s="493">
        <f t="shared" si="239"/>
        <v>60201293.427418359</v>
      </c>
      <c r="AD228" s="493">
        <f t="shared" si="239"/>
        <v>60201293.427418359</v>
      </c>
      <c r="AE228" s="493">
        <f t="shared" si="239"/>
        <v>60201293.427418359</v>
      </c>
      <c r="AF228" s="493">
        <f t="shared" si="239"/>
        <v>60201293.427418359</v>
      </c>
      <c r="AG228" s="493">
        <f t="shared" si="239"/>
        <v>60201293.427418359</v>
      </c>
      <c r="AH228" s="493">
        <f t="shared" si="239"/>
        <v>60201293.427418359</v>
      </c>
      <c r="AI228" s="535">
        <f>SUM(D228:N228)</f>
        <v>602012934.27418363</v>
      </c>
      <c r="AJ228" s="535">
        <f>SUM(D228:X228)</f>
        <v>1204025868.5483675</v>
      </c>
      <c r="AK228" s="497">
        <f>SUM(D228:AH228)</f>
        <v>1806038802.8225522</v>
      </c>
    </row>
    <row r="229" spans="1:37" ht="11.5" x14ac:dyDescent="0.25">
      <c r="A229" s="487" t="str">
        <f>地域経済性分析・初期条件!$G$25</f>
        <v>その他のサービス業</v>
      </c>
      <c r="C229" s="452"/>
      <c r="D229" s="493"/>
      <c r="E229" s="465"/>
      <c r="F229" s="466"/>
      <c r="G229" s="465"/>
      <c r="H229" s="465"/>
      <c r="I229" s="465"/>
      <c r="J229" s="465"/>
      <c r="K229" s="465"/>
      <c r="L229" s="465"/>
      <c r="M229" s="465"/>
      <c r="N229" s="465"/>
      <c r="O229" s="465"/>
      <c r="P229" s="465"/>
      <c r="Q229" s="465"/>
      <c r="R229" s="465"/>
      <c r="S229" s="465"/>
      <c r="T229" s="465"/>
      <c r="U229" s="465"/>
      <c r="V229" s="465"/>
      <c r="W229" s="465"/>
      <c r="X229" s="465"/>
      <c r="Y229" s="465"/>
      <c r="Z229" s="465"/>
      <c r="AA229" s="465"/>
      <c r="AB229" s="465"/>
      <c r="AC229" s="465"/>
      <c r="AD229" s="465"/>
      <c r="AE229" s="465"/>
      <c r="AF229" s="465"/>
      <c r="AG229" s="465"/>
      <c r="AH229" s="465"/>
      <c r="AI229" s="535"/>
      <c r="AJ229" s="535"/>
      <c r="AK229" s="497"/>
    </row>
    <row r="230" spans="1:37" ht="11.5" x14ac:dyDescent="0.25">
      <c r="A230" s="533" t="str">
        <f>A229&amp;B230</f>
        <v>その他のサービス業売上（税別）</v>
      </c>
      <c r="B230" s="439" t="s">
        <v>1092</v>
      </c>
      <c r="C230" s="451" t="s">
        <v>37</v>
      </c>
      <c r="D230" s="493">
        <f>D228*地域経済性分析・初期条件!$F$25</f>
        <v>0</v>
      </c>
      <c r="E230" s="493">
        <f>E228*地域経済性分析・初期条件!$F$25</f>
        <v>30100646.713709179</v>
      </c>
      <c r="F230" s="493">
        <f>F228*地域経済性分析・初期条件!$F$25</f>
        <v>30100646.713709179</v>
      </c>
      <c r="G230" s="493">
        <f>G228*地域経済性分析・初期条件!$F$25</f>
        <v>30100646.713709179</v>
      </c>
      <c r="H230" s="493">
        <f>H228*地域経済性分析・初期条件!$F$25</f>
        <v>30100646.713709179</v>
      </c>
      <c r="I230" s="493">
        <f>I228*地域経済性分析・初期条件!$F$25</f>
        <v>30100646.713709179</v>
      </c>
      <c r="J230" s="493">
        <f>J228*地域経済性分析・初期条件!$F$25</f>
        <v>30100646.713709179</v>
      </c>
      <c r="K230" s="493">
        <f>K228*地域経済性分析・初期条件!$F$25</f>
        <v>30100646.713709179</v>
      </c>
      <c r="L230" s="493">
        <f>L228*地域経済性分析・初期条件!$F$25</f>
        <v>30100646.713709179</v>
      </c>
      <c r="M230" s="493">
        <f>M228*地域経済性分析・初期条件!$F$25</f>
        <v>30100646.713709179</v>
      </c>
      <c r="N230" s="493">
        <f>N228*地域経済性分析・初期条件!$F$25</f>
        <v>30100646.713709179</v>
      </c>
      <c r="O230" s="493">
        <f>O228*地域経済性分析・初期条件!$F$25</f>
        <v>30100646.713709179</v>
      </c>
      <c r="P230" s="493">
        <f>P228*地域経済性分析・初期条件!$F$25</f>
        <v>30100646.713709179</v>
      </c>
      <c r="Q230" s="493">
        <f>Q228*地域経済性分析・初期条件!$F$25</f>
        <v>30100646.713709179</v>
      </c>
      <c r="R230" s="493">
        <f>R228*地域経済性分析・初期条件!$F$25</f>
        <v>30100646.713709179</v>
      </c>
      <c r="S230" s="493">
        <f>S228*地域経済性分析・初期条件!$F$25</f>
        <v>30100646.713709179</v>
      </c>
      <c r="T230" s="493">
        <f>T228*地域経済性分析・初期条件!$F$25</f>
        <v>30100646.713709179</v>
      </c>
      <c r="U230" s="493">
        <f>U228*地域経済性分析・初期条件!$F$25</f>
        <v>30100646.713709179</v>
      </c>
      <c r="V230" s="493">
        <f>V228*地域経済性分析・初期条件!$F$25</f>
        <v>30100646.713709179</v>
      </c>
      <c r="W230" s="493">
        <f>W228*地域経済性分析・初期条件!$F$25</f>
        <v>30100646.713709179</v>
      </c>
      <c r="X230" s="493">
        <f>X228*地域経済性分析・初期条件!$F$25</f>
        <v>30100646.713709179</v>
      </c>
      <c r="Y230" s="493">
        <f>Y228*地域経済性分析・初期条件!$F$25</f>
        <v>30100646.713709179</v>
      </c>
      <c r="Z230" s="493">
        <f>Z228*地域経済性分析・初期条件!$F$25</f>
        <v>30100646.713709179</v>
      </c>
      <c r="AA230" s="493">
        <f>AA228*地域経済性分析・初期条件!$F$25</f>
        <v>30100646.713709179</v>
      </c>
      <c r="AB230" s="493">
        <f>AB228*地域経済性分析・初期条件!$F$25</f>
        <v>30100646.713709179</v>
      </c>
      <c r="AC230" s="493">
        <f>AC228*地域経済性分析・初期条件!$F$25</f>
        <v>30100646.713709179</v>
      </c>
      <c r="AD230" s="493">
        <f>AD228*地域経済性分析・初期条件!$F$25</f>
        <v>30100646.713709179</v>
      </c>
      <c r="AE230" s="493">
        <f>AE228*地域経済性分析・初期条件!$F$25</f>
        <v>30100646.713709179</v>
      </c>
      <c r="AF230" s="493">
        <f>AF228*地域経済性分析・初期条件!$F$25</f>
        <v>30100646.713709179</v>
      </c>
      <c r="AG230" s="493">
        <f>AG228*地域経済性分析・初期条件!$F$25</f>
        <v>30100646.713709179</v>
      </c>
      <c r="AH230" s="493">
        <f>AH228*地域経済性分析・初期条件!$F$25</f>
        <v>30100646.713709179</v>
      </c>
      <c r="AI230" s="535">
        <f t="shared" ref="AI230:AI242" si="240">SUM(D230:N230)</f>
        <v>301006467.13709182</v>
      </c>
      <c r="AJ230" s="535">
        <f t="shared" ref="AJ230:AJ242" si="241">SUM(D230:X230)</f>
        <v>602012934.27418375</v>
      </c>
      <c r="AK230" s="497">
        <f t="shared" ref="AK230:AK242" si="242">SUM(D230:AH230)</f>
        <v>903019401.4112761</v>
      </c>
    </row>
    <row r="231" spans="1:37" ht="11.5" x14ac:dyDescent="0.25">
      <c r="A231" s="533"/>
      <c r="B231" s="439" t="s">
        <v>1136</v>
      </c>
      <c r="C231" s="451" t="s">
        <v>37</v>
      </c>
      <c r="D231" s="493">
        <f>D230*波及効果シート!$D$72</f>
        <v>0</v>
      </c>
      <c r="E231" s="493">
        <f>E230*波及効果シート!$D$72</f>
        <v>331107.11385080096</v>
      </c>
      <c r="F231" s="493">
        <f>F230*波及効果シート!$D$72</f>
        <v>331107.11385080096</v>
      </c>
      <c r="G231" s="493">
        <f>G230*波及効果シート!$D$72</f>
        <v>331107.11385080096</v>
      </c>
      <c r="H231" s="493">
        <f>H230*波及効果シート!$D$72</f>
        <v>331107.11385080096</v>
      </c>
      <c r="I231" s="493">
        <f>I230*波及効果シート!$D$72</f>
        <v>331107.11385080096</v>
      </c>
      <c r="J231" s="493">
        <f>J230*波及効果シート!$D$72</f>
        <v>331107.11385080096</v>
      </c>
      <c r="K231" s="493">
        <f>K230*波及効果シート!$D$72</f>
        <v>331107.11385080096</v>
      </c>
      <c r="L231" s="493">
        <f>L230*波及効果シート!$D$72</f>
        <v>331107.11385080096</v>
      </c>
      <c r="M231" s="493">
        <f>M230*波及効果シート!$D$72</f>
        <v>331107.11385080096</v>
      </c>
      <c r="N231" s="493">
        <f>N230*波及効果シート!$D$72</f>
        <v>331107.11385080096</v>
      </c>
      <c r="O231" s="493">
        <f>O230*波及効果シート!$D$72</f>
        <v>331107.11385080096</v>
      </c>
      <c r="P231" s="493">
        <f>P230*波及効果シート!$D$72</f>
        <v>331107.11385080096</v>
      </c>
      <c r="Q231" s="493">
        <f>Q230*波及効果シート!$D$72</f>
        <v>331107.11385080096</v>
      </c>
      <c r="R231" s="493">
        <f>R230*波及効果シート!$D$72</f>
        <v>331107.11385080096</v>
      </c>
      <c r="S231" s="493">
        <f>S230*波及効果シート!$D$72</f>
        <v>331107.11385080096</v>
      </c>
      <c r="T231" s="493">
        <f>T230*波及効果シート!$D$72</f>
        <v>331107.11385080096</v>
      </c>
      <c r="U231" s="493">
        <f>U230*波及効果シート!$D$72</f>
        <v>331107.11385080096</v>
      </c>
      <c r="V231" s="493">
        <f>V230*波及効果シート!$D$72</f>
        <v>331107.11385080096</v>
      </c>
      <c r="W231" s="493">
        <f>W230*波及効果シート!$D$72</f>
        <v>331107.11385080096</v>
      </c>
      <c r="X231" s="493">
        <f>X230*波及効果シート!$D$72</f>
        <v>331107.11385080096</v>
      </c>
      <c r="Y231" s="493">
        <f>Y230*波及効果シート!$D$72</f>
        <v>331107.11385080096</v>
      </c>
      <c r="Z231" s="493">
        <f>Z230*波及効果シート!$D$72</f>
        <v>331107.11385080096</v>
      </c>
      <c r="AA231" s="493">
        <f>AA230*波及効果シート!$D$72</f>
        <v>331107.11385080096</v>
      </c>
      <c r="AB231" s="493">
        <f>AB230*波及効果シート!$D$72</f>
        <v>331107.11385080096</v>
      </c>
      <c r="AC231" s="493">
        <f>AC230*波及効果シート!$D$72</f>
        <v>331107.11385080096</v>
      </c>
      <c r="AD231" s="493">
        <f>AD230*波及効果シート!$D$72</f>
        <v>331107.11385080096</v>
      </c>
      <c r="AE231" s="493">
        <f>AE230*波及効果シート!$D$72</f>
        <v>331107.11385080096</v>
      </c>
      <c r="AF231" s="493">
        <f>AF230*波及効果シート!$D$72</f>
        <v>331107.11385080096</v>
      </c>
      <c r="AG231" s="493">
        <f>AG230*波及効果シート!$D$72</f>
        <v>331107.11385080096</v>
      </c>
      <c r="AH231" s="493">
        <f>AH230*波及効果シート!$D$72</f>
        <v>331107.11385080096</v>
      </c>
      <c r="AI231" s="535">
        <f t="shared" ref="AI231:AI232" si="243">SUM(D231:N231)</f>
        <v>3311071.1385080093</v>
      </c>
      <c r="AJ231" s="535">
        <f t="shared" ref="AJ231:AJ232" si="244">SUM(D231:X231)</f>
        <v>6622142.2770160204</v>
      </c>
      <c r="AK231" s="497">
        <f t="shared" ref="AK231:AK232" si="245">SUM(D231:AH231)</f>
        <v>9933213.4155240282</v>
      </c>
    </row>
    <row r="232" spans="1:37" ht="11.5" x14ac:dyDescent="0.25">
      <c r="A232" s="533"/>
      <c r="B232" s="439" t="s">
        <v>1137</v>
      </c>
      <c r="C232" s="452" t="s">
        <v>37</v>
      </c>
      <c r="D232" s="493">
        <f>D230*波及効果シート!$D$74</f>
        <v>0</v>
      </c>
      <c r="E232" s="493">
        <f>E230*波及効果シート!$D$74</f>
        <v>331107.11385080096</v>
      </c>
      <c r="F232" s="493">
        <f>F230*波及効果シート!$D$74</f>
        <v>331107.11385080096</v>
      </c>
      <c r="G232" s="493">
        <f>G230*波及効果シート!$D$74</f>
        <v>331107.11385080096</v>
      </c>
      <c r="H232" s="493">
        <f>H230*波及効果シート!$D$74</f>
        <v>331107.11385080096</v>
      </c>
      <c r="I232" s="493">
        <f>I230*波及効果シート!$D$74</f>
        <v>331107.11385080096</v>
      </c>
      <c r="J232" s="493">
        <f>J230*波及効果シート!$D$74</f>
        <v>331107.11385080096</v>
      </c>
      <c r="K232" s="493">
        <f>K230*波及効果シート!$D$74</f>
        <v>331107.11385080096</v>
      </c>
      <c r="L232" s="493">
        <f>L230*波及効果シート!$D$74</f>
        <v>331107.11385080096</v>
      </c>
      <c r="M232" s="493">
        <f>M230*波及効果シート!$D$74</f>
        <v>331107.11385080096</v>
      </c>
      <c r="N232" s="493">
        <f>N230*波及効果シート!$D$74</f>
        <v>331107.11385080096</v>
      </c>
      <c r="O232" s="493">
        <f>O230*波及効果シート!$D$74</f>
        <v>331107.11385080096</v>
      </c>
      <c r="P232" s="493">
        <f>P230*波及効果シート!$D$74</f>
        <v>331107.11385080096</v>
      </c>
      <c r="Q232" s="493">
        <f>Q230*波及効果シート!$D$74</f>
        <v>331107.11385080096</v>
      </c>
      <c r="R232" s="493">
        <f>R230*波及効果シート!$D$74</f>
        <v>331107.11385080096</v>
      </c>
      <c r="S232" s="493">
        <f>S230*波及効果シート!$D$74</f>
        <v>331107.11385080096</v>
      </c>
      <c r="T232" s="493">
        <f>T230*波及効果シート!$D$74</f>
        <v>331107.11385080096</v>
      </c>
      <c r="U232" s="493">
        <f>U230*波及効果シート!$D$74</f>
        <v>331107.11385080096</v>
      </c>
      <c r="V232" s="493">
        <f>V230*波及効果シート!$D$74</f>
        <v>331107.11385080096</v>
      </c>
      <c r="W232" s="493">
        <f>W230*波及効果シート!$D$74</f>
        <v>331107.11385080096</v>
      </c>
      <c r="X232" s="493">
        <f>X230*波及効果シート!$D$74</f>
        <v>331107.11385080096</v>
      </c>
      <c r="Y232" s="493">
        <f>Y230*波及効果シート!$D$74</f>
        <v>331107.11385080096</v>
      </c>
      <c r="Z232" s="493">
        <f>Z230*波及効果シート!$D$74</f>
        <v>331107.11385080096</v>
      </c>
      <c r="AA232" s="493">
        <f>AA230*波及効果シート!$D$74</f>
        <v>331107.11385080096</v>
      </c>
      <c r="AB232" s="493">
        <f>AB230*波及効果シート!$D$74</f>
        <v>331107.11385080096</v>
      </c>
      <c r="AC232" s="493">
        <f>AC230*波及効果シート!$D$74</f>
        <v>331107.11385080096</v>
      </c>
      <c r="AD232" s="493">
        <f>AD230*波及効果シート!$D$74</f>
        <v>331107.11385080096</v>
      </c>
      <c r="AE232" s="493">
        <f>AE230*波及効果シート!$D$74</f>
        <v>331107.11385080096</v>
      </c>
      <c r="AF232" s="493">
        <f>AF230*波及効果シート!$D$74</f>
        <v>331107.11385080096</v>
      </c>
      <c r="AG232" s="493">
        <f>AG230*波及効果シート!$D$74</f>
        <v>331107.11385080096</v>
      </c>
      <c r="AH232" s="493">
        <f>AH230*波及効果シート!$D$74</f>
        <v>331107.11385080096</v>
      </c>
      <c r="AI232" s="535">
        <f t="shared" si="243"/>
        <v>3311071.1385080093</v>
      </c>
      <c r="AJ232" s="535">
        <f t="shared" si="244"/>
        <v>6622142.2770160204</v>
      </c>
      <c r="AK232" s="497">
        <f t="shared" si="245"/>
        <v>9933213.4155240282</v>
      </c>
    </row>
    <row r="233" spans="1:37" ht="11.5" x14ac:dyDescent="0.25">
      <c r="A233" s="533" t="str">
        <f>A229&amp;B233</f>
        <v>その他のサービス業所得税（国税）</v>
      </c>
      <c r="B233" s="439" t="s">
        <v>351</v>
      </c>
      <c r="C233" s="452" t="s">
        <v>37</v>
      </c>
      <c r="D233" s="493">
        <f>D230*地域経済性分析・初期条件!$P$25</f>
        <v>0</v>
      </c>
      <c r="E233" s="493">
        <f>E230*地域経済性分析・初期条件!$P$25</f>
        <v>6020129.3427418359</v>
      </c>
      <c r="F233" s="493">
        <f>F230*地域経済性分析・初期条件!$P$25</f>
        <v>6020129.3427418359</v>
      </c>
      <c r="G233" s="493">
        <f>G230*地域経済性分析・初期条件!$P$25</f>
        <v>6020129.3427418359</v>
      </c>
      <c r="H233" s="493">
        <f>H230*地域経済性分析・初期条件!$P$25</f>
        <v>6020129.3427418359</v>
      </c>
      <c r="I233" s="493">
        <f>I230*地域経済性分析・初期条件!$P$25</f>
        <v>6020129.3427418359</v>
      </c>
      <c r="J233" s="493">
        <f>J230*地域経済性分析・初期条件!$P$25</f>
        <v>6020129.3427418359</v>
      </c>
      <c r="K233" s="493">
        <f>K230*地域経済性分析・初期条件!$P$25</f>
        <v>6020129.3427418359</v>
      </c>
      <c r="L233" s="493">
        <f>L230*地域経済性分析・初期条件!$P$25</f>
        <v>6020129.3427418359</v>
      </c>
      <c r="M233" s="493">
        <f>M230*地域経済性分析・初期条件!$P$25</f>
        <v>6020129.3427418359</v>
      </c>
      <c r="N233" s="493">
        <f>N230*地域経済性分析・初期条件!$P$25</f>
        <v>6020129.3427418359</v>
      </c>
      <c r="O233" s="493">
        <f>O230*地域経済性分析・初期条件!$P$25</f>
        <v>6020129.3427418359</v>
      </c>
      <c r="P233" s="493">
        <f>P230*地域経済性分析・初期条件!$P$25</f>
        <v>6020129.3427418359</v>
      </c>
      <c r="Q233" s="493">
        <f>Q230*地域経済性分析・初期条件!$P$25</f>
        <v>6020129.3427418359</v>
      </c>
      <c r="R233" s="493">
        <f>R230*地域経済性分析・初期条件!$P$25</f>
        <v>6020129.3427418359</v>
      </c>
      <c r="S233" s="493">
        <f>S230*地域経済性分析・初期条件!$P$25</f>
        <v>6020129.3427418359</v>
      </c>
      <c r="T233" s="493">
        <f>T230*地域経済性分析・初期条件!$P$25</f>
        <v>6020129.3427418359</v>
      </c>
      <c r="U233" s="493">
        <f>U230*地域経済性分析・初期条件!$P$25</f>
        <v>6020129.3427418359</v>
      </c>
      <c r="V233" s="493">
        <f>V230*地域経済性分析・初期条件!$P$25</f>
        <v>6020129.3427418359</v>
      </c>
      <c r="W233" s="493">
        <f>W230*地域経済性分析・初期条件!$P$25</f>
        <v>6020129.3427418359</v>
      </c>
      <c r="X233" s="493">
        <f>X230*地域経済性分析・初期条件!$P$25</f>
        <v>6020129.3427418359</v>
      </c>
      <c r="Y233" s="493">
        <f>Y230*地域経済性分析・初期条件!$P$25</f>
        <v>6020129.3427418359</v>
      </c>
      <c r="Z233" s="493">
        <f>Z230*地域経済性分析・初期条件!$P$25</f>
        <v>6020129.3427418359</v>
      </c>
      <c r="AA233" s="493">
        <f>AA230*地域経済性分析・初期条件!$P$25</f>
        <v>6020129.3427418359</v>
      </c>
      <c r="AB233" s="493">
        <f>AB230*地域経済性分析・初期条件!$P$25</f>
        <v>6020129.3427418359</v>
      </c>
      <c r="AC233" s="493">
        <f>AC230*地域経済性分析・初期条件!$P$25</f>
        <v>6020129.3427418359</v>
      </c>
      <c r="AD233" s="493">
        <f>AD230*地域経済性分析・初期条件!$P$25</f>
        <v>6020129.3427418359</v>
      </c>
      <c r="AE233" s="493">
        <f>AE230*地域経済性分析・初期条件!$P$25</f>
        <v>6020129.3427418359</v>
      </c>
      <c r="AF233" s="493">
        <f>AF230*地域経済性分析・初期条件!$P$25</f>
        <v>6020129.3427418359</v>
      </c>
      <c r="AG233" s="493">
        <f>AG230*地域経済性分析・初期条件!$P$25</f>
        <v>6020129.3427418359</v>
      </c>
      <c r="AH233" s="493">
        <f>AH230*地域経済性分析・初期条件!$P$25</f>
        <v>6020129.3427418359</v>
      </c>
      <c r="AI233" s="535">
        <f t="shared" si="240"/>
        <v>60201293.427418351</v>
      </c>
      <c r="AJ233" s="535">
        <f t="shared" si="241"/>
        <v>120402586.85483667</v>
      </c>
      <c r="AK233" s="497">
        <f t="shared" si="242"/>
        <v>180603880.28225511</v>
      </c>
    </row>
    <row r="234" spans="1:37" ht="11.5" x14ac:dyDescent="0.25">
      <c r="A234" s="533" t="str">
        <f>A229&amp;B234</f>
        <v>その他のサービス業法人税（国税）</v>
      </c>
      <c r="B234" s="439" t="s">
        <v>350</v>
      </c>
      <c r="C234" s="452" t="s">
        <v>37</v>
      </c>
      <c r="D234" s="493">
        <f>D230*地域経済性分析・初期条件!$Q$25</f>
        <v>0</v>
      </c>
      <c r="E234" s="493">
        <f>E230*地域経済性分析・初期条件!$Q$25</f>
        <v>4515097.0070563769</v>
      </c>
      <c r="F234" s="493">
        <f>F230*地域経済性分析・初期条件!$Q$25</f>
        <v>4515097.0070563769</v>
      </c>
      <c r="G234" s="493">
        <f>G230*地域経済性分析・初期条件!$Q$25</f>
        <v>4515097.0070563769</v>
      </c>
      <c r="H234" s="493">
        <f>H230*地域経済性分析・初期条件!$Q$25</f>
        <v>4515097.0070563769</v>
      </c>
      <c r="I234" s="493">
        <f>I230*地域経済性分析・初期条件!$Q$25</f>
        <v>4515097.0070563769</v>
      </c>
      <c r="J234" s="493">
        <f>J230*地域経済性分析・初期条件!$Q$25</f>
        <v>4515097.0070563769</v>
      </c>
      <c r="K234" s="493">
        <f>K230*地域経済性分析・初期条件!$Q$25</f>
        <v>4515097.0070563769</v>
      </c>
      <c r="L234" s="493">
        <f>L230*地域経済性分析・初期条件!$Q$25</f>
        <v>4515097.0070563769</v>
      </c>
      <c r="M234" s="493">
        <f>M230*地域経済性分析・初期条件!$Q$25</f>
        <v>4515097.0070563769</v>
      </c>
      <c r="N234" s="493">
        <f>N230*地域経済性分析・初期条件!$Q$25</f>
        <v>4515097.0070563769</v>
      </c>
      <c r="O234" s="493">
        <f>O230*地域経済性分析・初期条件!$Q$25</f>
        <v>4515097.0070563769</v>
      </c>
      <c r="P234" s="493">
        <f>P230*地域経済性分析・初期条件!$Q$25</f>
        <v>4515097.0070563769</v>
      </c>
      <c r="Q234" s="493">
        <f>Q230*地域経済性分析・初期条件!$Q$25</f>
        <v>4515097.0070563769</v>
      </c>
      <c r="R234" s="493">
        <f>R230*地域経済性分析・初期条件!$Q$25</f>
        <v>4515097.0070563769</v>
      </c>
      <c r="S234" s="493">
        <f>S230*地域経済性分析・初期条件!$Q$25</f>
        <v>4515097.0070563769</v>
      </c>
      <c r="T234" s="493">
        <f>T230*地域経済性分析・初期条件!$Q$25</f>
        <v>4515097.0070563769</v>
      </c>
      <c r="U234" s="493">
        <f>U230*地域経済性分析・初期条件!$Q$25</f>
        <v>4515097.0070563769</v>
      </c>
      <c r="V234" s="493">
        <f>V230*地域経済性分析・初期条件!$Q$25</f>
        <v>4515097.0070563769</v>
      </c>
      <c r="W234" s="493">
        <f>W230*地域経済性分析・初期条件!$Q$25</f>
        <v>4515097.0070563769</v>
      </c>
      <c r="X234" s="493">
        <f>X230*地域経済性分析・初期条件!$Q$25</f>
        <v>4515097.0070563769</v>
      </c>
      <c r="Y234" s="493">
        <f>Y230*地域経済性分析・初期条件!$Q$25</f>
        <v>4515097.0070563769</v>
      </c>
      <c r="Z234" s="493">
        <f>Z230*地域経済性分析・初期条件!$Q$25</f>
        <v>4515097.0070563769</v>
      </c>
      <c r="AA234" s="493">
        <f>AA230*地域経済性分析・初期条件!$Q$25</f>
        <v>4515097.0070563769</v>
      </c>
      <c r="AB234" s="493">
        <f>AB230*地域経済性分析・初期条件!$Q$25</f>
        <v>4515097.0070563769</v>
      </c>
      <c r="AC234" s="493">
        <f>AC230*地域経済性分析・初期条件!$Q$25</f>
        <v>4515097.0070563769</v>
      </c>
      <c r="AD234" s="493">
        <f>AD230*地域経済性分析・初期条件!$Q$25</f>
        <v>4515097.0070563769</v>
      </c>
      <c r="AE234" s="493">
        <f>AE230*地域経済性分析・初期条件!$Q$25</f>
        <v>4515097.0070563769</v>
      </c>
      <c r="AF234" s="493">
        <f>AF230*地域経済性分析・初期条件!$Q$25</f>
        <v>4515097.0070563769</v>
      </c>
      <c r="AG234" s="493">
        <f>AG230*地域経済性分析・初期条件!$Q$25</f>
        <v>4515097.0070563769</v>
      </c>
      <c r="AH234" s="493">
        <f>AH230*地域経済性分析・初期条件!$Q$25</f>
        <v>4515097.0070563769</v>
      </c>
      <c r="AI234" s="535">
        <f t="shared" si="240"/>
        <v>45150970.070563771</v>
      </c>
      <c r="AJ234" s="535">
        <f t="shared" si="241"/>
        <v>90301940.141127512</v>
      </c>
      <c r="AK234" s="497">
        <f t="shared" si="242"/>
        <v>135452910.21169123</v>
      </c>
    </row>
    <row r="235" spans="1:37" ht="11.5" x14ac:dyDescent="0.25">
      <c r="A235" s="533" t="str">
        <f>A229&amp;B235</f>
        <v>その他のサービス業従業員の可処分所得（一次）</v>
      </c>
      <c r="B235" s="439" t="s">
        <v>329</v>
      </c>
      <c r="C235" s="451" t="s">
        <v>37</v>
      </c>
      <c r="D235" s="493">
        <f>D230*地域経済性分析・初期条件!$H$25</f>
        <v>0</v>
      </c>
      <c r="E235" s="493">
        <f>E230*地域経済性分析・初期条件!$H$25</f>
        <v>6070112.3224746725</v>
      </c>
      <c r="F235" s="493">
        <f>F230*地域経済性分析・初期条件!$H$25</f>
        <v>6070112.3224746725</v>
      </c>
      <c r="G235" s="493">
        <f>G230*地域経済性分析・初期条件!$H$25</f>
        <v>6070112.3224746725</v>
      </c>
      <c r="H235" s="493">
        <f>H230*地域経済性分析・初期条件!$H$25</f>
        <v>6070112.3224746725</v>
      </c>
      <c r="I235" s="493">
        <f>I230*地域経済性分析・初期条件!$H$25</f>
        <v>6070112.3224746725</v>
      </c>
      <c r="J235" s="493">
        <f>J230*地域経済性分析・初期条件!$H$25</f>
        <v>6070112.3224746725</v>
      </c>
      <c r="K235" s="493">
        <f>K230*地域経済性分析・初期条件!$H$25</f>
        <v>6070112.3224746725</v>
      </c>
      <c r="L235" s="493">
        <f>L230*地域経済性分析・初期条件!$H$25</f>
        <v>6070112.3224746725</v>
      </c>
      <c r="M235" s="493">
        <f>M230*地域経済性分析・初期条件!$H$25</f>
        <v>6070112.3224746725</v>
      </c>
      <c r="N235" s="493">
        <f>N230*地域経済性分析・初期条件!$H$25</f>
        <v>6070112.3224746725</v>
      </c>
      <c r="O235" s="493">
        <f>O230*地域経済性分析・初期条件!$H$25</f>
        <v>6070112.3224746725</v>
      </c>
      <c r="P235" s="493">
        <f>P230*地域経済性分析・初期条件!$H$25</f>
        <v>6070112.3224746725</v>
      </c>
      <c r="Q235" s="493">
        <f>Q230*地域経済性分析・初期条件!$H$25</f>
        <v>6070112.3224746725</v>
      </c>
      <c r="R235" s="493">
        <f>R230*地域経済性分析・初期条件!$H$25</f>
        <v>6070112.3224746725</v>
      </c>
      <c r="S235" s="493">
        <f>S230*地域経済性分析・初期条件!$H$25</f>
        <v>6070112.3224746725</v>
      </c>
      <c r="T235" s="493">
        <f>T230*地域経済性分析・初期条件!$H$25</f>
        <v>6070112.3224746725</v>
      </c>
      <c r="U235" s="493">
        <f>U230*地域経済性分析・初期条件!$H$25</f>
        <v>6070112.3224746725</v>
      </c>
      <c r="V235" s="493">
        <f>V230*地域経済性分析・初期条件!$H$25</f>
        <v>6070112.3224746725</v>
      </c>
      <c r="W235" s="493">
        <f>W230*地域経済性分析・初期条件!$H$25</f>
        <v>6070112.3224746725</v>
      </c>
      <c r="X235" s="493">
        <f>X230*地域経済性分析・初期条件!$H$25</f>
        <v>6070112.3224746725</v>
      </c>
      <c r="Y235" s="493">
        <f>Y230*地域経済性分析・初期条件!$H$25</f>
        <v>6070112.3224746725</v>
      </c>
      <c r="Z235" s="493">
        <f>Z230*地域経済性分析・初期条件!$H$25</f>
        <v>6070112.3224746725</v>
      </c>
      <c r="AA235" s="493">
        <f>AA230*地域経済性分析・初期条件!$H$25</f>
        <v>6070112.3224746725</v>
      </c>
      <c r="AB235" s="493">
        <f>AB230*地域経済性分析・初期条件!$H$25</f>
        <v>6070112.3224746725</v>
      </c>
      <c r="AC235" s="493">
        <f>AC230*地域経済性分析・初期条件!$H$25</f>
        <v>6070112.3224746725</v>
      </c>
      <c r="AD235" s="493">
        <f>AD230*地域経済性分析・初期条件!$H$25</f>
        <v>6070112.3224746725</v>
      </c>
      <c r="AE235" s="493">
        <f>AE230*地域経済性分析・初期条件!$H$25</f>
        <v>6070112.3224746725</v>
      </c>
      <c r="AF235" s="493">
        <f>AF230*地域経済性分析・初期条件!$H$25</f>
        <v>6070112.3224746725</v>
      </c>
      <c r="AG235" s="493">
        <f>AG230*地域経済性分析・初期条件!$H$25</f>
        <v>6070112.3224746725</v>
      </c>
      <c r="AH235" s="493">
        <f>AH230*地域経済性分析・初期条件!$H$25</f>
        <v>6070112.3224746725</v>
      </c>
      <c r="AI235" s="535">
        <f t="shared" si="240"/>
        <v>60701123.224746726</v>
      </c>
      <c r="AJ235" s="535">
        <f t="shared" si="241"/>
        <v>121402246.44949345</v>
      </c>
      <c r="AK235" s="497">
        <f t="shared" si="242"/>
        <v>182103369.67424008</v>
      </c>
    </row>
    <row r="236" spans="1:37" ht="11.5" x14ac:dyDescent="0.25">
      <c r="A236" s="533" t="str">
        <f>A229&amp;B236</f>
        <v>その他のサービス業企業の税引後利益（一次）</v>
      </c>
      <c r="B236" s="439" t="s">
        <v>330</v>
      </c>
      <c r="C236" s="451" t="s">
        <v>37</v>
      </c>
      <c r="D236" s="493">
        <f>D230*地域経済性分析・初期条件!$I$25</f>
        <v>0</v>
      </c>
      <c r="E236" s="493">
        <f>E230*地域経済性分析・初期条件!$I$25</f>
        <v>1388419.0487011739</v>
      </c>
      <c r="F236" s="493">
        <f>F230*地域経済性分析・初期条件!$I$25</f>
        <v>1388419.0487011739</v>
      </c>
      <c r="G236" s="493">
        <f>G230*地域経済性分析・初期条件!$I$25</f>
        <v>1388419.0487011739</v>
      </c>
      <c r="H236" s="493">
        <f>H230*地域経済性分析・初期条件!$I$25</f>
        <v>1388419.0487011739</v>
      </c>
      <c r="I236" s="493">
        <f>I230*地域経済性分析・初期条件!$I$25</f>
        <v>1388419.0487011739</v>
      </c>
      <c r="J236" s="493">
        <f>J230*地域経済性分析・初期条件!$I$25</f>
        <v>1388419.0487011739</v>
      </c>
      <c r="K236" s="493">
        <f>K230*地域経済性分析・初期条件!$I$25</f>
        <v>1388419.0487011739</v>
      </c>
      <c r="L236" s="493">
        <f>L230*地域経済性分析・初期条件!$I$25</f>
        <v>1388419.0487011739</v>
      </c>
      <c r="M236" s="493">
        <f>M230*地域経済性分析・初期条件!$I$25</f>
        <v>1388419.0487011739</v>
      </c>
      <c r="N236" s="493">
        <f>N230*地域経済性分析・初期条件!$I$25</f>
        <v>1388419.0487011739</v>
      </c>
      <c r="O236" s="493">
        <f>O230*地域経済性分析・初期条件!$I$25</f>
        <v>1388419.0487011739</v>
      </c>
      <c r="P236" s="493">
        <f>P230*地域経済性分析・初期条件!$I$25</f>
        <v>1388419.0487011739</v>
      </c>
      <c r="Q236" s="493">
        <f>Q230*地域経済性分析・初期条件!$I$25</f>
        <v>1388419.0487011739</v>
      </c>
      <c r="R236" s="493">
        <f>R230*地域経済性分析・初期条件!$I$25</f>
        <v>1388419.0487011739</v>
      </c>
      <c r="S236" s="493">
        <f>S230*地域経済性分析・初期条件!$I$25</f>
        <v>1388419.0487011739</v>
      </c>
      <c r="T236" s="493">
        <f>T230*地域経済性分析・初期条件!$I$25</f>
        <v>1388419.0487011739</v>
      </c>
      <c r="U236" s="493">
        <f>U230*地域経済性分析・初期条件!$I$25</f>
        <v>1388419.0487011739</v>
      </c>
      <c r="V236" s="493">
        <f>V230*地域経済性分析・初期条件!$I$25</f>
        <v>1388419.0487011739</v>
      </c>
      <c r="W236" s="493">
        <f>W230*地域経済性分析・初期条件!$I$25</f>
        <v>1388419.0487011739</v>
      </c>
      <c r="X236" s="493">
        <f>X230*地域経済性分析・初期条件!$I$25</f>
        <v>1388419.0487011739</v>
      </c>
      <c r="Y236" s="493">
        <f>Y230*地域経済性分析・初期条件!$I$25</f>
        <v>1388419.0487011739</v>
      </c>
      <c r="Z236" s="493">
        <f>Z230*地域経済性分析・初期条件!$I$25</f>
        <v>1388419.0487011739</v>
      </c>
      <c r="AA236" s="493">
        <f>AA230*地域経済性分析・初期条件!$I$25</f>
        <v>1388419.0487011739</v>
      </c>
      <c r="AB236" s="493">
        <f>AB230*地域経済性分析・初期条件!$I$25</f>
        <v>1388419.0487011739</v>
      </c>
      <c r="AC236" s="493">
        <f>AC230*地域経済性分析・初期条件!$I$25</f>
        <v>1388419.0487011739</v>
      </c>
      <c r="AD236" s="493">
        <f>AD230*地域経済性分析・初期条件!$I$25</f>
        <v>1388419.0487011739</v>
      </c>
      <c r="AE236" s="493">
        <f>AE230*地域経済性分析・初期条件!$I$25</f>
        <v>1388419.0487011739</v>
      </c>
      <c r="AF236" s="493">
        <f>AF230*地域経済性分析・初期条件!$I$25</f>
        <v>1388419.0487011739</v>
      </c>
      <c r="AG236" s="493">
        <f>AG230*地域経済性分析・初期条件!$I$25</f>
        <v>1388419.0487011739</v>
      </c>
      <c r="AH236" s="493">
        <f>AH230*地域経済性分析・初期条件!$I$25</f>
        <v>1388419.0487011739</v>
      </c>
      <c r="AI236" s="535">
        <f t="shared" si="240"/>
        <v>13884190.48701174</v>
      </c>
      <c r="AJ236" s="535">
        <f t="shared" si="241"/>
        <v>27768380.974023484</v>
      </c>
      <c r="AK236" s="497">
        <f t="shared" si="242"/>
        <v>41652571.461035229</v>
      </c>
    </row>
    <row r="237" spans="1:37" ht="11.5" x14ac:dyDescent="0.25">
      <c r="A237" s="533" t="str">
        <f>A229&amp;B237</f>
        <v>その他のサービス業都道府県税収（一次）</v>
      </c>
      <c r="B237" s="439" t="s">
        <v>331</v>
      </c>
      <c r="C237" s="451" t="s">
        <v>37</v>
      </c>
      <c r="D237" s="493">
        <f>D230*地域経済性分析・初期条件!$J$25</f>
        <v>0</v>
      </c>
      <c r="E237" s="493">
        <f>E230*地域経済性分析・初期条件!$J$25</f>
        <v>716749.81991701352</v>
      </c>
      <c r="F237" s="493">
        <f>F230*地域経済性分析・初期条件!$J$25</f>
        <v>716749.81991701352</v>
      </c>
      <c r="G237" s="493">
        <f>G230*地域経済性分析・初期条件!$J$25</f>
        <v>716749.81991701352</v>
      </c>
      <c r="H237" s="493">
        <f>H230*地域経済性分析・初期条件!$J$25</f>
        <v>716749.81991701352</v>
      </c>
      <c r="I237" s="493">
        <f>I230*地域経済性分析・初期条件!$J$25</f>
        <v>716749.81991701352</v>
      </c>
      <c r="J237" s="493">
        <f>J230*地域経済性分析・初期条件!$J$25</f>
        <v>716749.81991701352</v>
      </c>
      <c r="K237" s="493">
        <f>K230*地域経済性分析・初期条件!$J$25</f>
        <v>716749.81991701352</v>
      </c>
      <c r="L237" s="493">
        <f>L230*地域経済性分析・初期条件!$J$25</f>
        <v>716749.81991701352</v>
      </c>
      <c r="M237" s="493">
        <f>M230*地域経済性分析・初期条件!$J$25</f>
        <v>716749.81991701352</v>
      </c>
      <c r="N237" s="493">
        <f>N230*地域経済性分析・初期条件!$J$25</f>
        <v>716749.81991701352</v>
      </c>
      <c r="O237" s="493">
        <f>O230*地域経済性分析・初期条件!$J$25</f>
        <v>716749.81991701352</v>
      </c>
      <c r="P237" s="493">
        <f>P230*地域経済性分析・初期条件!$J$25</f>
        <v>716749.81991701352</v>
      </c>
      <c r="Q237" s="493">
        <f>Q230*地域経済性分析・初期条件!$J$25</f>
        <v>716749.81991701352</v>
      </c>
      <c r="R237" s="493">
        <f>R230*地域経済性分析・初期条件!$J$25</f>
        <v>716749.81991701352</v>
      </c>
      <c r="S237" s="493">
        <f>S230*地域経済性分析・初期条件!$J$25</f>
        <v>716749.81991701352</v>
      </c>
      <c r="T237" s="493">
        <f>T230*地域経済性分析・初期条件!$J$25</f>
        <v>716749.81991701352</v>
      </c>
      <c r="U237" s="493">
        <f>U230*地域経済性分析・初期条件!$J$25</f>
        <v>716749.81991701352</v>
      </c>
      <c r="V237" s="493">
        <f>V230*地域経済性分析・初期条件!$J$25</f>
        <v>716749.81991701352</v>
      </c>
      <c r="W237" s="493">
        <f>W230*地域経済性分析・初期条件!$J$25</f>
        <v>716749.81991701352</v>
      </c>
      <c r="X237" s="493">
        <f>X230*地域経済性分析・初期条件!$J$25</f>
        <v>716749.81991701352</v>
      </c>
      <c r="Y237" s="493">
        <f>Y230*地域経済性分析・初期条件!$J$25</f>
        <v>716749.81991701352</v>
      </c>
      <c r="Z237" s="493">
        <f>Z230*地域経済性分析・初期条件!$J$25</f>
        <v>716749.81991701352</v>
      </c>
      <c r="AA237" s="493">
        <f>AA230*地域経済性分析・初期条件!$J$25</f>
        <v>716749.81991701352</v>
      </c>
      <c r="AB237" s="493">
        <f>AB230*地域経済性分析・初期条件!$J$25</f>
        <v>716749.81991701352</v>
      </c>
      <c r="AC237" s="493">
        <f>AC230*地域経済性分析・初期条件!$J$25</f>
        <v>716749.81991701352</v>
      </c>
      <c r="AD237" s="493">
        <f>AD230*地域経済性分析・初期条件!$J$25</f>
        <v>716749.81991701352</v>
      </c>
      <c r="AE237" s="493">
        <f>AE230*地域経済性分析・初期条件!$J$25</f>
        <v>716749.81991701352</v>
      </c>
      <c r="AF237" s="493">
        <f>AF230*地域経済性分析・初期条件!$J$25</f>
        <v>716749.81991701352</v>
      </c>
      <c r="AG237" s="493">
        <f>AG230*地域経済性分析・初期条件!$J$25</f>
        <v>716749.81991701352</v>
      </c>
      <c r="AH237" s="493">
        <f>AH230*地域経済性分析・初期条件!$J$25</f>
        <v>716749.81991701352</v>
      </c>
      <c r="AI237" s="535">
        <f t="shared" si="240"/>
        <v>7167498.1991701368</v>
      </c>
      <c r="AJ237" s="535">
        <f t="shared" si="241"/>
        <v>14334996.398340276</v>
      </c>
      <c r="AK237" s="497">
        <f t="shared" si="242"/>
        <v>21502494.597510401</v>
      </c>
    </row>
    <row r="238" spans="1:37" ht="11.5" x14ac:dyDescent="0.25">
      <c r="A238" s="533" t="str">
        <f>A229&amp;B238</f>
        <v>その他のサービス業市町村税収（一次）</v>
      </c>
      <c r="B238" s="439" t="s">
        <v>332</v>
      </c>
      <c r="C238" s="452" t="s">
        <v>37</v>
      </c>
      <c r="D238" s="493">
        <f>D230*地域経済性分析・初期条件!$K$25</f>
        <v>0</v>
      </c>
      <c r="E238" s="493">
        <f>E230*地域経済性分析・初期条件!$K$25</f>
        <v>379021.58207821893</v>
      </c>
      <c r="F238" s="493">
        <f>F230*地域経済性分析・初期条件!$K$25</f>
        <v>379021.58207821893</v>
      </c>
      <c r="G238" s="493">
        <f>G230*地域経済性分析・初期条件!$K$25</f>
        <v>379021.58207821893</v>
      </c>
      <c r="H238" s="493">
        <f>H230*地域経済性分析・初期条件!$K$25</f>
        <v>379021.58207821893</v>
      </c>
      <c r="I238" s="493">
        <f>I230*地域経済性分析・初期条件!$K$25</f>
        <v>379021.58207821893</v>
      </c>
      <c r="J238" s="493">
        <f>J230*地域経済性分析・初期条件!$K$25</f>
        <v>379021.58207821893</v>
      </c>
      <c r="K238" s="493">
        <f>K230*地域経済性分析・初期条件!$K$25</f>
        <v>379021.58207821893</v>
      </c>
      <c r="L238" s="493">
        <f>L230*地域経済性分析・初期条件!$K$25</f>
        <v>379021.58207821893</v>
      </c>
      <c r="M238" s="493">
        <f>M230*地域経済性分析・初期条件!$K$25</f>
        <v>379021.58207821893</v>
      </c>
      <c r="N238" s="493">
        <f>N230*地域経済性分析・初期条件!$K$25</f>
        <v>379021.58207821893</v>
      </c>
      <c r="O238" s="493">
        <f>O230*地域経済性分析・初期条件!$K$25</f>
        <v>379021.58207821893</v>
      </c>
      <c r="P238" s="493">
        <f>P230*地域経済性分析・初期条件!$K$25</f>
        <v>379021.58207821893</v>
      </c>
      <c r="Q238" s="493">
        <f>Q230*地域経済性分析・初期条件!$K$25</f>
        <v>379021.58207821893</v>
      </c>
      <c r="R238" s="493">
        <f>R230*地域経済性分析・初期条件!$K$25</f>
        <v>379021.58207821893</v>
      </c>
      <c r="S238" s="493">
        <f>S230*地域経済性分析・初期条件!$K$25</f>
        <v>379021.58207821893</v>
      </c>
      <c r="T238" s="493">
        <f>T230*地域経済性分析・初期条件!$K$25</f>
        <v>379021.58207821893</v>
      </c>
      <c r="U238" s="493">
        <f>U230*地域経済性分析・初期条件!$K$25</f>
        <v>379021.58207821893</v>
      </c>
      <c r="V238" s="493">
        <f>V230*地域経済性分析・初期条件!$K$25</f>
        <v>379021.58207821893</v>
      </c>
      <c r="W238" s="493">
        <f>W230*地域経済性分析・初期条件!$K$25</f>
        <v>379021.58207821893</v>
      </c>
      <c r="X238" s="493">
        <f>X230*地域経済性分析・初期条件!$K$25</f>
        <v>379021.58207821893</v>
      </c>
      <c r="Y238" s="493">
        <f>Y230*地域経済性分析・初期条件!$K$25</f>
        <v>379021.58207821893</v>
      </c>
      <c r="Z238" s="493">
        <f>Z230*地域経済性分析・初期条件!$K$25</f>
        <v>379021.58207821893</v>
      </c>
      <c r="AA238" s="493">
        <f>AA230*地域経済性分析・初期条件!$K$25</f>
        <v>379021.58207821893</v>
      </c>
      <c r="AB238" s="493">
        <f>AB230*地域経済性分析・初期条件!$K$25</f>
        <v>379021.58207821893</v>
      </c>
      <c r="AC238" s="493">
        <f>AC230*地域経済性分析・初期条件!$K$25</f>
        <v>379021.58207821893</v>
      </c>
      <c r="AD238" s="493">
        <f>AD230*地域経済性分析・初期条件!$K$25</f>
        <v>379021.58207821893</v>
      </c>
      <c r="AE238" s="493">
        <f>AE230*地域経済性分析・初期条件!$K$25</f>
        <v>379021.58207821893</v>
      </c>
      <c r="AF238" s="493">
        <f>AF230*地域経済性分析・初期条件!$K$25</f>
        <v>379021.58207821893</v>
      </c>
      <c r="AG238" s="493">
        <f>AG230*地域経済性分析・初期条件!$K$25</f>
        <v>379021.58207821893</v>
      </c>
      <c r="AH238" s="493">
        <f>AH230*地域経済性分析・初期条件!$K$25</f>
        <v>379021.58207821893</v>
      </c>
      <c r="AI238" s="535">
        <f t="shared" si="240"/>
        <v>3790215.8207821893</v>
      </c>
      <c r="AJ238" s="535">
        <f t="shared" si="241"/>
        <v>7580431.6415643748</v>
      </c>
      <c r="AK238" s="497">
        <f t="shared" si="242"/>
        <v>11370647.462346559</v>
      </c>
    </row>
    <row r="239" spans="1:37" ht="11.5" x14ac:dyDescent="0.25">
      <c r="A239" s="533" t="str">
        <f>A229&amp;B239</f>
        <v>その他のサービス業従業員の可処分所得（二次以降）</v>
      </c>
      <c r="B239" s="439" t="s">
        <v>334</v>
      </c>
      <c r="C239" s="452" t="s">
        <v>37</v>
      </c>
      <c r="D239" s="493">
        <f>D230*地域経済性分析・初期条件!$L$25</f>
        <v>0</v>
      </c>
      <c r="E239" s="493">
        <f>E230*地域経済性分析・初期条件!$L$25</f>
        <v>2273399.8953037956</v>
      </c>
      <c r="F239" s="493">
        <f>F230*地域経済性分析・初期条件!$L$25</f>
        <v>2273399.8953037956</v>
      </c>
      <c r="G239" s="493">
        <f>G230*地域経済性分析・初期条件!$L$25</f>
        <v>2273399.8953037956</v>
      </c>
      <c r="H239" s="493">
        <f>H230*地域経済性分析・初期条件!$L$25</f>
        <v>2273399.8953037956</v>
      </c>
      <c r="I239" s="493">
        <f>I230*地域経済性分析・初期条件!$L$25</f>
        <v>2273399.8953037956</v>
      </c>
      <c r="J239" s="493">
        <f>J230*地域経済性分析・初期条件!$L$25</f>
        <v>2273399.8953037956</v>
      </c>
      <c r="K239" s="493">
        <f>K230*地域経済性分析・初期条件!$L$25</f>
        <v>2273399.8953037956</v>
      </c>
      <c r="L239" s="493">
        <f>L230*地域経済性分析・初期条件!$L$25</f>
        <v>2273399.8953037956</v>
      </c>
      <c r="M239" s="493">
        <f>M230*地域経済性分析・初期条件!$L$25</f>
        <v>2273399.8953037956</v>
      </c>
      <c r="N239" s="493">
        <f>N230*地域経済性分析・初期条件!$L$25</f>
        <v>2273399.8953037956</v>
      </c>
      <c r="O239" s="493">
        <f>O230*地域経済性分析・初期条件!$L$25</f>
        <v>2273399.8953037956</v>
      </c>
      <c r="P239" s="493">
        <f>P230*地域経済性分析・初期条件!$L$25</f>
        <v>2273399.8953037956</v>
      </c>
      <c r="Q239" s="493">
        <f>Q230*地域経済性分析・初期条件!$L$25</f>
        <v>2273399.8953037956</v>
      </c>
      <c r="R239" s="493">
        <f>R230*地域経済性分析・初期条件!$L$25</f>
        <v>2273399.8953037956</v>
      </c>
      <c r="S239" s="493">
        <f>S230*地域経済性分析・初期条件!$L$25</f>
        <v>2273399.8953037956</v>
      </c>
      <c r="T239" s="493">
        <f>T230*地域経済性分析・初期条件!$L$25</f>
        <v>2273399.8953037956</v>
      </c>
      <c r="U239" s="493">
        <f>U230*地域経済性分析・初期条件!$L$25</f>
        <v>2273399.8953037956</v>
      </c>
      <c r="V239" s="493">
        <f>V230*地域経済性分析・初期条件!$L$25</f>
        <v>2273399.8953037956</v>
      </c>
      <c r="W239" s="493">
        <f>W230*地域経済性分析・初期条件!$L$25</f>
        <v>2273399.8953037956</v>
      </c>
      <c r="X239" s="493">
        <f>X230*地域経済性分析・初期条件!$L$25</f>
        <v>2273399.8953037956</v>
      </c>
      <c r="Y239" s="493">
        <f>Y230*地域経済性分析・初期条件!$L$25</f>
        <v>2273399.8953037956</v>
      </c>
      <c r="Z239" s="493">
        <f>Z230*地域経済性分析・初期条件!$L$25</f>
        <v>2273399.8953037956</v>
      </c>
      <c r="AA239" s="493">
        <f>AA230*地域経済性分析・初期条件!$L$25</f>
        <v>2273399.8953037956</v>
      </c>
      <c r="AB239" s="493">
        <f>AB230*地域経済性分析・初期条件!$L$25</f>
        <v>2273399.8953037956</v>
      </c>
      <c r="AC239" s="493">
        <f>AC230*地域経済性分析・初期条件!$L$25</f>
        <v>2273399.8953037956</v>
      </c>
      <c r="AD239" s="493">
        <f>AD230*地域経済性分析・初期条件!$L$25</f>
        <v>2273399.8953037956</v>
      </c>
      <c r="AE239" s="493">
        <f>AE230*地域経済性分析・初期条件!$L$25</f>
        <v>2273399.8953037956</v>
      </c>
      <c r="AF239" s="493">
        <f>AF230*地域経済性分析・初期条件!$L$25</f>
        <v>2273399.8953037956</v>
      </c>
      <c r="AG239" s="493">
        <f>AG230*地域経済性分析・初期条件!$L$25</f>
        <v>2273399.8953037956</v>
      </c>
      <c r="AH239" s="493">
        <f>AH230*地域経済性分析・初期条件!$L$25</f>
        <v>2273399.8953037956</v>
      </c>
      <c r="AI239" s="535">
        <f t="shared" si="240"/>
        <v>22733998.953037959</v>
      </c>
      <c r="AJ239" s="535">
        <f t="shared" si="241"/>
        <v>45467997.90607591</v>
      </c>
      <c r="AK239" s="497">
        <f t="shared" si="242"/>
        <v>68201996.859113842</v>
      </c>
    </row>
    <row r="240" spans="1:37" ht="11.5" x14ac:dyDescent="0.25">
      <c r="A240" s="533" t="str">
        <f>A229&amp;B240</f>
        <v>その他のサービス業企業の税引後利益（二次以降）</v>
      </c>
      <c r="B240" s="439" t="s">
        <v>335</v>
      </c>
      <c r="C240" s="452" t="s">
        <v>37</v>
      </c>
      <c r="D240" s="493">
        <f>D230*地域経済性分析・初期条件!$M$25</f>
        <v>0</v>
      </c>
      <c r="E240" s="493">
        <f>E230*地域経済性分析・初期条件!$M$25</f>
        <v>1309173.1238781842</v>
      </c>
      <c r="F240" s="493">
        <f>F230*地域経済性分析・初期条件!$M$25</f>
        <v>1309173.1238781842</v>
      </c>
      <c r="G240" s="493">
        <f>G230*地域経済性分析・初期条件!$M$25</f>
        <v>1309173.1238781842</v>
      </c>
      <c r="H240" s="493">
        <f>H230*地域経済性分析・初期条件!$M$25</f>
        <v>1309173.1238781842</v>
      </c>
      <c r="I240" s="493">
        <f>I230*地域経済性分析・初期条件!$M$25</f>
        <v>1309173.1238781842</v>
      </c>
      <c r="J240" s="493">
        <f>J230*地域経済性分析・初期条件!$M$25</f>
        <v>1309173.1238781842</v>
      </c>
      <c r="K240" s="493">
        <f>K230*地域経済性分析・初期条件!$M$25</f>
        <v>1309173.1238781842</v>
      </c>
      <c r="L240" s="493">
        <f>L230*地域経済性分析・初期条件!$M$25</f>
        <v>1309173.1238781842</v>
      </c>
      <c r="M240" s="493">
        <f>M230*地域経済性分析・初期条件!$M$25</f>
        <v>1309173.1238781842</v>
      </c>
      <c r="N240" s="493">
        <f>N230*地域経済性分析・初期条件!$M$25</f>
        <v>1309173.1238781842</v>
      </c>
      <c r="O240" s="493">
        <f>O230*地域経済性分析・初期条件!$M$25</f>
        <v>1309173.1238781842</v>
      </c>
      <c r="P240" s="493">
        <f>P230*地域経済性分析・初期条件!$M$25</f>
        <v>1309173.1238781842</v>
      </c>
      <c r="Q240" s="493">
        <f>Q230*地域経済性分析・初期条件!$M$25</f>
        <v>1309173.1238781842</v>
      </c>
      <c r="R240" s="493">
        <f>R230*地域経済性分析・初期条件!$M$25</f>
        <v>1309173.1238781842</v>
      </c>
      <c r="S240" s="493">
        <f>S230*地域経済性分析・初期条件!$M$25</f>
        <v>1309173.1238781842</v>
      </c>
      <c r="T240" s="493">
        <f>T230*地域経済性分析・初期条件!$M$25</f>
        <v>1309173.1238781842</v>
      </c>
      <c r="U240" s="493">
        <f>U230*地域経済性分析・初期条件!$M$25</f>
        <v>1309173.1238781842</v>
      </c>
      <c r="V240" s="493">
        <f>V230*地域経済性分析・初期条件!$M$25</f>
        <v>1309173.1238781842</v>
      </c>
      <c r="W240" s="493">
        <f>W230*地域経済性分析・初期条件!$M$25</f>
        <v>1309173.1238781842</v>
      </c>
      <c r="X240" s="493">
        <f>X230*地域経済性分析・初期条件!$M$25</f>
        <v>1309173.1238781842</v>
      </c>
      <c r="Y240" s="493">
        <f>Y230*地域経済性分析・初期条件!$M$25</f>
        <v>1309173.1238781842</v>
      </c>
      <c r="Z240" s="493">
        <f>Z230*地域経済性分析・初期条件!$M$25</f>
        <v>1309173.1238781842</v>
      </c>
      <c r="AA240" s="493">
        <f>AA230*地域経済性分析・初期条件!$M$25</f>
        <v>1309173.1238781842</v>
      </c>
      <c r="AB240" s="493">
        <f>AB230*地域経済性分析・初期条件!$M$25</f>
        <v>1309173.1238781842</v>
      </c>
      <c r="AC240" s="493">
        <f>AC230*地域経済性分析・初期条件!$M$25</f>
        <v>1309173.1238781842</v>
      </c>
      <c r="AD240" s="493">
        <f>AD230*地域経済性分析・初期条件!$M$25</f>
        <v>1309173.1238781842</v>
      </c>
      <c r="AE240" s="493">
        <f>AE230*地域経済性分析・初期条件!$M$25</f>
        <v>1309173.1238781842</v>
      </c>
      <c r="AF240" s="493">
        <f>AF230*地域経済性分析・初期条件!$M$25</f>
        <v>1309173.1238781842</v>
      </c>
      <c r="AG240" s="493">
        <f>AG230*地域経済性分析・初期条件!$M$25</f>
        <v>1309173.1238781842</v>
      </c>
      <c r="AH240" s="493">
        <f>AH230*地域経済性分析・初期条件!$M$25</f>
        <v>1309173.1238781842</v>
      </c>
      <c r="AI240" s="535">
        <f t="shared" si="240"/>
        <v>13091731.238781845</v>
      </c>
      <c r="AJ240" s="535">
        <f t="shared" si="241"/>
        <v>26183462.47756369</v>
      </c>
      <c r="AK240" s="497">
        <f t="shared" si="242"/>
        <v>39275193.716345519</v>
      </c>
    </row>
    <row r="241" spans="1:37" ht="11.5" x14ac:dyDescent="0.25">
      <c r="A241" s="533" t="str">
        <f>A229&amp;B241</f>
        <v>その他のサービス業都道府県税収（二次以降）</v>
      </c>
      <c r="B241" s="439" t="s">
        <v>336</v>
      </c>
      <c r="C241" s="452" t="s">
        <v>37</v>
      </c>
      <c r="D241" s="493">
        <f>D230*地域経済性分析・初期条件!$N$25</f>
        <v>0</v>
      </c>
      <c r="E241" s="493">
        <f>E230*地域経済性分析・初期条件!$N$25</f>
        <v>372624.37827152695</v>
      </c>
      <c r="F241" s="493">
        <f>F230*地域経済性分析・初期条件!$N$25</f>
        <v>372624.37827152695</v>
      </c>
      <c r="G241" s="493">
        <f>G230*地域経済性分析・初期条件!$N$25</f>
        <v>372624.37827152695</v>
      </c>
      <c r="H241" s="493">
        <f>H230*地域経済性分析・初期条件!$N$25</f>
        <v>372624.37827152695</v>
      </c>
      <c r="I241" s="493">
        <f>I230*地域経済性分析・初期条件!$N$25</f>
        <v>372624.37827152695</v>
      </c>
      <c r="J241" s="493">
        <f>J230*地域経済性分析・初期条件!$N$25</f>
        <v>372624.37827152695</v>
      </c>
      <c r="K241" s="493">
        <f>K230*地域経済性分析・初期条件!$N$25</f>
        <v>372624.37827152695</v>
      </c>
      <c r="L241" s="493">
        <f>L230*地域経済性分析・初期条件!$N$25</f>
        <v>372624.37827152695</v>
      </c>
      <c r="M241" s="493">
        <f>M230*地域経済性分析・初期条件!$N$25</f>
        <v>372624.37827152695</v>
      </c>
      <c r="N241" s="493">
        <f>N230*地域経済性分析・初期条件!$N$25</f>
        <v>372624.37827152695</v>
      </c>
      <c r="O241" s="493">
        <f>O230*地域経済性分析・初期条件!$N$25</f>
        <v>372624.37827152695</v>
      </c>
      <c r="P241" s="493">
        <f>P230*地域経済性分析・初期条件!$N$25</f>
        <v>372624.37827152695</v>
      </c>
      <c r="Q241" s="493">
        <f>Q230*地域経済性分析・初期条件!$N$25</f>
        <v>372624.37827152695</v>
      </c>
      <c r="R241" s="493">
        <f>R230*地域経済性分析・初期条件!$N$25</f>
        <v>372624.37827152695</v>
      </c>
      <c r="S241" s="493">
        <f>S230*地域経済性分析・初期条件!$N$25</f>
        <v>372624.37827152695</v>
      </c>
      <c r="T241" s="493">
        <f>T230*地域経済性分析・初期条件!$N$25</f>
        <v>372624.37827152695</v>
      </c>
      <c r="U241" s="493">
        <f>U230*地域経済性分析・初期条件!$N$25</f>
        <v>372624.37827152695</v>
      </c>
      <c r="V241" s="493">
        <f>V230*地域経済性分析・初期条件!$N$25</f>
        <v>372624.37827152695</v>
      </c>
      <c r="W241" s="493">
        <f>W230*地域経済性分析・初期条件!$N$25</f>
        <v>372624.37827152695</v>
      </c>
      <c r="X241" s="493">
        <f>X230*地域経済性分析・初期条件!$N$25</f>
        <v>372624.37827152695</v>
      </c>
      <c r="Y241" s="493">
        <f>Y230*地域経済性分析・初期条件!$N$25</f>
        <v>372624.37827152695</v>
      </c>
      <c r="Z241" s="493">
        <f>Z230*地域経済性分析・初期条件!$N$25</f>
        <v>372624.37827152695</v>
      </c>
      <c r="AA241" s="493">
        <f>AA230*地域経済性分析・初期条件!$N$25</f>
        <v>372624.37827152695</v>
      </c>
      <c r="AB241" s="493">
        <f>AB230*地域経済性分析・初期条件!$N$25</f>
        <v>372624.37827152695</v>
      </c>
      <c r="AC241" s="493">
        <f>AC230*地域経済性分析・初期条件!$N$25</f>
        <v>372624.37827152695</v>
      </c>
      <c r="AD241" s="493">
        <f>AD230*地域経済性分析・初期条件!$N$25</f>
        <v>372624.37827152695</v>
      </c>
      <c r="AE241" s="493">
        <f>AE230*地域経済性分析・初期条件!$N$25</f>
        <v>372624.37827152695</v>
      </c>
      <c r="AF241" s="493">
        <f>AF230*地域経済性分析・初期条件!$N$25</f>
        <v>372624.37827152695</v>
      </c>
      <c r="AG241" s="493">
        <f>AG230*地域経済性分析・初期条件!$N$25</f>
        <v>372624.37827152695</v>
      </c>
      <c r="AH241" s="493">
        <f>AH230*地域経済性分析・初期条件!$N$25</f>
        <v>372624.37827152695</v>
      </c>
      <c r="AI241" s="535">
        <f t="shared" si="240"/>
        <v>3726243.7827152703</v>
      </c>
      <c r="AJ241" s="535">
        <f t="shared" si="241"/>
        <v>7452487.5654305378</v>
      </c>
      <c r="AK241" s="497">
        <f t="shared" si="242"/>
        <v>11178731.348145811</v>
      </c>
    </row>
    <row r="242" spans="1:37" ht="11.5" x14ac:dyDescent="0.25">
      <c r="A242" s="533" t="str">
        <f>A229&amp;B242</f>
        <v>その他のサービス業市町村税収（二次以降）</v>
      </c>
      <c r="B242" s="439" t="s">
        <v>337</v>
      </c>
      <c r="C242" s="452" t="s">
        <v>37</v>
      </c>
      <c r="D242" s="493">
        <f>D230*地域経済性分析・初期条件!$O$25</f>
        <v>0</v>
      </c>
      <c r="E242" s="493">
        <f>E230*地域経済性分析・初期条件!$O$25</f>
        <v>154059.51358503572</v>
      </c>
      <c r="F242" s="493">
        <f>F230*地域経済性分析・初期条件!$O$25</f>
        <v>154059.51358503572</v>
      </c>
      <c r="G242" s="493">
        <f>G230*地域経済性分析・初期条件!$O$25</f>
        <v>154059.51358503572</v>
      </c>
      <c r="H242" s="493">
        <f>H230*地域経済性分析・初期条件!$O$25</f>
        <v>154059.51358503572</v>
      </c>
      <c r="I242" s="493">
        <f>I230*地域経済性分析・初期条件!$O$25</f>
        <v>154059.51358503572</v>
      </c>
      <c r="J242" s="493">
        <f>J230*地域経済性分析・初期条件!$O$25</f>
        <v>154059.51358503572</v>
      </c>
      <c r="K242" s="493">
        <f>K230*地域経済性分析・初期条件!$O$25</f>
        <v>154059.51358503572</v>
      </c>
      <c r="L242" s="493">
        <f>L230*地域経済性分析・初期条件!$O$25</f>
        <v>154059.51358503572</v>
      </c>
      <c r="M242" s="493">
        <f>M230*地域経済性分析・初期条件!$O$25</f>
        <v>154059.51358503572</v>
      </c>
      <c r="N242" s="493">
        <f>N230*地域経済性分析・初期条件!$O$25</f>
        <v>154059.51358503572</v>
      </c>
      <c r="O242" s="493">
        <f>O230*地域経済性分析・初期条件!$O$25</f>
        <v>154059.51358503572</v>
      </c>
      <c r="P242" s="493">
        <f>P230*地域経済性分析・初期条件!$O$25</f>
        <v>154059.51358503572</v>
      </c>
      <c r="Q242" s="493">
        <f>Q230*地域経済性分析・初期条件!$O$25</f>
        <v>154059.51358503572</v>
      </c>
      <c r="R242" s="493">
        <f>R230*地域経済性分析・初期条件!$O$25</f>
        <v>154059.51358503572</v>
      </c>
      <c r="S242" s="493">
        <f>S230*地域経済性分析・初期条件!$O$25</f>
        <v>154059.51358503572</v>
      </c>
      <c r="T242" s="493">
        <f>T230*地域経済性分析・初期条件!$O$25</f>
        <v>154059.51358503572</v>
      </c>
      <c r="U242" s="493">
        <f>U230*地域経済性分析・初期条件!$O$25</f>
        <v>154059.51358503572</v>
      </c>
      <c r="V242" s="493">
        <f>V230*地域経済性分析・初期条件!$O$25</f>
        <v>154059.51358503572</v>
      </c>
      <c r="W242" s="493">
        <f>W230*地域経済性分析・初期条件!$O$25</f>
        <v>154059.51358503572</v>
      </c>
      <c r="X242" s="493">
        <f>X230*地域経済性分析・初期条件!$O$25</f>
        <v>154059.51358503572</v>
      </c>
      <c r="Y242" s="493">
        <f>Y230*地域経済性分析・初期条件!$O$25</f>
        <v>154059.51358503572</v>
      </c>
      <c r="Z242" s="493">
        <f>Z230*地域経済性分析・初期条件!$O$25</f>
        <v>154059.51358503572</v>
      </c>
      <c r="AA242" s="493">
        <f>AA230*地域経済性分析・初期条件!$O$25</f>
        <v>154059.51358503572</v>
      </c>
      <c r="AB242" s="493">
        <f>AB230*地域経済性分析・初期条件!$O$25</f>
        <v>154059.51358503572</v>
      </c>
      <c r="AC242" s="493">
        <f>AC230*地域経済性分析・初期条件!$O$25</f>
        <v>154059.51358503572</v>
      </c>
      <c r="AD242" s="493">
        <f>AD230*地域経済性分析・初期条件!$O$25</f>
        <v>154059.51358503572</v>
      </c>
      <c r="AE242" s="493">
        <f>AE230*地域経済性分析・初期条件!$O$25</f>
        <v>154059.51358503572</v>
      </c>
      <c r="AF242" s="493">
        <f>AF230*地域経済性分析・初期条件!$O$25</f>
        <v>154059.51358503572</v>
      </c>
      <c r="AG242" s="493">
        <f>AG230*地域経済性分析・初期条件!$O$25</f>
        <v>154059.51358503572</v>
      </c>
      <c r="AH242" s="493">
        <f>AH230*地域経済性分析・初期条件!$O$25</f>
        <v>154059.51358503572</v>
      </c>
      <c r="AI242" s="535">
        <f t="shared" si="240"/>
        <v>1540595.1358503571</v>
      </c>
      <c r="AJ242" s="535">
        <f t="shared" si="241"/>
        <v>3081190.2717007142</v>
      </c>
      <c r="AK242" s="497">
        <f t="shared" si="242"/>
        <v>4621785.4075510716</v>
      </c>
    </row>
    <row r="243" spans="1:37" ht="11.5" x14ac:dyDescent="0.25">
      <c r="A243" s="488">
        <f>地域経済性分析・初期条件!$G$26</f>
        <v>0</v>
      </c>
      <c r="C243" s="452"/>
      <c r="D243" s="493"/>
      <c r="E243" s="493"/>
      <c r="F243" s="465"/>
      <c r="G243" s="465"/>
      <c r="H243" s="465"/>
      <c r="I243" s="465"/>
      <c r="J243" s="465"/>
      <c r="K243" s="465"/>
      <c r="L243" s="465"/>
      <c r="M243" s="465"/>
      <c r="N243" s="465"/>
      <c r="O243" s="465"/>
      <c r="P243" s="465"/>
      <c r="Q243" s="465"/>
      <c r="R243" s="465"/>
      <c r="S243" s="465"/>
      <c r="T243" s="465"/>
      <c r="U243" s="465"/>
      <c r="V243" s="465"/>
      <c r="W243" s="465"/>
      <c r="X243" s="465"/>
      <c r="Y243" s="465"/>
      <c r="Z243" s="465"/>
      <c r="AA243" s="465"/>
      <c r="AB243" s="465"/>
      <c r="AC243" s="465"/>
      <c r="AD243" s="465"/>
      <c r="AE243" s="465"/>
      <c r="AF243" s="465"/>
      <c r="AG243" s="465"/>
      <c r="AH243" s="465"/>
      <c r="AI243" s="535"/>
      <c r="AJ243" s="535"/>
      <c r="AK243" s="497"/>
    </row>
    <row r="244" spans="1:37" ht="11.5" x14ac:dyDescent="0.25">
      <c r="A244" s="533" t="str">
        <f>A243&amp;B244</f>
        <v>0売上（税別）</v>
      </c>
      <c r="B244" s="439" t="s">
        <v>1092</v>
      </c>
      <c r="C244" s="451" t="s">
        <v>37</v>
      </c>
      <c r="D244" s="493">
        <f>D228*地域経済性分析・初期条件!$F$26</f>
        <v>0</v>
      </c>
      <c r="E244" s="493">
        <f>E228*地域経済性分析・初期条件!$F$26</f>
        <v>0</v>
      </c>
      <c r="F244" s="493">
        <f>F228*地域経済性分析・初期条件!$F$26</f>
        <v>0</v>
      </c>
      <c r="G244" s="493">
        <f>G228*地域経済性分析・初期条件!$F$26</f>
        <v>0</v>
      </c>
      <c r="H244" s="493">
        <f>H228*地域経済性分析・初期条件!$F$26</f>
        <v>0</v>
      </c>
      <c r="I244" s="493">
        <f>I228*地域経済性分析・初期条件!$F$26</f>
        <v>0</v>
      </c>
      <c r="J244" s="493">
        <f>J228*地域経済性分析・初期条件!$F$26</f>
        <v>0</v>
      </c>
      <c r="K244" s="493">
        <f>K228*地域経済性分析・初期条件!$F$26</f>
        <v>0</v>
      </c>
      <c r="L244" s="493">
        <f>L228*地域経済性分析・初期条件!$F$26</f>
        <v>0</v>
      </c>
      <c r="M244" s="493">
        <f>M228*地域経済性分析・初期条件!$F$26</f>
        <v>0</v>
      </c>
      <c r="N244" s="493">
        <f>N228*地域経済性分析・初期条件!$F$26</f>
        <v>0</v>
      </c>
      <c r="O244" s="493">
        <f>O228*地域経済性分析・初期条件!$F$26</f>
        <v>0</v>
      </c>
      <c r="P244" s="493">
        <f>P228*地域経済性分析・初期条件!$F$26</f>
        <v>0</v>
      </c>
      <c r="Q244" s="493">
        <f>Q228*地域経済性分析・初期条件!$F$26</f>
        <v>0</v>
      </c>
      <c r="R244" s="493">
        <f>R228*地域経済性分析・初期条件!$F$26</f>
        <v>0</v>
      </c>
      <c r="S244" s="493">
        <f>S228*地域経済性分析・初期条件!$F$26</f>
        <v>0</v>
      </c>
      <c r="T244" s="493">
        <f>T228*地域経済性分析・初期条件!$F$26</f>
        <v>0</v>
      </c>
      <c r="U244" s="493">
        <f>U228*地域経済性分析・初期条件!$F$26</f>
        <v>0</v>
      </c>
      <c r="V244" s="493">
        <f>V228*地域経済性分析・初期条件!$F$26</f>
        <v>0</v>
      </c>
      <c r="W244" s="493">
        <f>W228*地域経済性分析・初期条件!$F$26</f>
        <v>0</v>
      </c>
      <c r="X244" s="493">
        <f>X228*地域経済性分析・初期条件!$F$26</f>
        <v>0</v>
      </c>
      <c r="Y244" s="493">
        <f>Y228*地域経済性分析・初期条件!$F$26</f>
        <v>0</v>
      </c>
      <c r="Z244" s="493">
        <f>Z228*地域経済性分析・初期条件!$F$26</f>
        <v>0</v>
      </c>
      <c r="AA244" s="493">
        <f>AA228*地域経済性分析・初期条件!$F$26</f>
        <v>0</v>
      </c>
      <c r="AB244" s="493">
        <f>AB228*地域経済性分析・初期条件!$F$26</f>
        <v>0</v>
      </c>
      <c r="AC244" s="493">
        <f>AC228*地域経済性分析・初期条件!$F$26</f>
        <v>0</v>
      </c>
      <c r="AD244" s="493">
        <f>AD228*地域経済性分析・初期条件!$F$26</f>
        <v>0</v>
      </c>
      <c r="AE244" s="493">
        <f>AE228*地域経済性分析・初期条件!$F$26</f>
        <v>0</v>
      </c>
      <c r="AF244" s="493">
        <f>AF228*地域経済性分析・初期条件!$F$26</f>
        <v>0</v>
      </c>
      <c r="AG244" s="493">
        <f>AG228*地域経済性分析・初期条件!$F$26</f>
        <v>0</v>
      </c>
      <c r="AH244" s="493">
        <f>AH228*地域経済性分析・初期条件!$F$26</f>
        <v>0</v>
      </c>
      <c r="AI244" s="535">
        <f t="shared" ref="AI244:AI256" si="246">SUM(D244:N244)</f>
        <v>0</v>
      </c>
      <c r="AJ244" s="535">
        <f>SUM(D244:X244)</f>
        <v>0</v>
      </c>
      <c r="AK244" s="497">
        <f>SUM(D244:AH244)</f>
        <v>0</v>
      </c>
    </row>
    <row r="245" spans="1:37" ht="11.5" x14ac:dyDescent="0.25">
      <c r="A245" s="533"/>
      <c r="B245" s="439" t="s">
        <v>1136</v>
      </c>
      <c r="C245" s="451" t="s">
        <v>37</v>
      </c>
      <c r="D245" s="493">
        <f>D244*波及効果シート!$D$72</f>
        <v>0</v>
      </c>
      <c r="E245" s="493">
        <f>E244*波及効果シート!$D$72</f>
        <v>0</v>
      </c>
      <c r="F245" s="493">
        <f>F244*波及効果シート!$D$72</f>
        <v>0</v>
      </c>
      <c r="G245" s="493">
        <f>G244*波及効果シート!$D$72</f>
        <v>0</v>
      </c>
      <c r="H245" s="493">
        <f>H244*波及効果シート!$D$72</f>
        <v>0</v>
      </c>
      <c r="I245" s="493">
        <f>I244*波及効果シート!$D$72</f>
        <v>0</v>
      </c>
      <c r="J245" s="493">
        <f>J244*波及効果シート!$D$72</f>
        <v>0</v>
      </c>
      <c r="K245" s="493">
        <f>K244*波及効果シート!$D$72</f>
        <v>0</v>
      </c>
      <c r="L245" s="493">
        <f>L244*波及効果シート!$D$72</f>
        <v>0</v>
      </c>
      <c r="M245" s="493">
        <f>M244*波及効果シート!$D$72</f>
        <v>0</v>
      </c>
      <c r="N245" s="493">
        <f>N244*波及効果シート!$D$72</f>
        <v>0</v>
      </c>
      <c r="O245" s="493">
        <f>O244*波及効果シート!$D$72</f>
        <v>0</v>
      </c>
      <c r="P245" s="493">
        <f>P244*波及効果シート!$D$72</f>
        <v>0</v>
      </c>
      <c r="Q245" s="493">
        <f>Q244*波及効果シート!$D$72</f>
        <v>0</v>
      </c>
      <c r="R245" s="493">
        <f>R244*波及効果シート!$D$72</f>
        <v>0</v>
      </c>
      <c r="S245" s="493">
        <f>S244*波及効果シート!$D$72</f>
        <v>0</v>
      </c>
      <c r="T245" s="493">
        <f>T244*波及効果シート!$D$72</f>
        <v>0</v>
      </c>
      <c r="U245" s="493">
        <f>U244*波及効果シート!$D$72</f>
        <v>0</v>
      </c>
      <c r="V245" s="493">
        <f>V244*波及効果シート!$D$72</f>
        <v>0</v>
      </c>
      <c r="W245" s="493">
        <f>W244*波及効果シート!$D$72</f>
        <v>0</v>
      </c>
      <c r="X245" s="493">
        <f>X244*波及効果シート!$D$72</f>
        <v>0</v>
      </c>
      <c r="Y245" s="493">
        <f>Y244*波及効果シート!$D$72</f>
        <v>0</v>
      </c>
      <c r="Z245" s="493">
        <f>Z244*波及効果シート!$D$72</f>
        <v>0</v>
      </c>
      <c r="AA245" s="493">
        <f>AA244*波及効果シート!$D$72</f>
        <v>0</v>
      </c>
      <c r="AB245" s="493">
        <f>AB244*波及効果シート!$D$72</f>
        <v>0</v>
      </c>
      <c r="AC245" s="493">
        <f>AC244*波及効果シート!$D$72</f>
        <v>0</v>
      </c>
      <c r="AD245" s="493">
        <f>AD244*波及効果シート!$D$72</f>
        <v>0</v>
      </c>
      <c r="AE245" s="493">
        <f>AE244*波及効果シート!$D$72</f>
        <v>0</v>
      </c>
      <c r="AF245" s="493">
        <f>AF244*波及効果シート!$D$72</f>
        <v>0</v>
      </c>
      <c r="AG245" s="493">
        <f>AG244*波及効果シート!$D$72</f>
        <v>0</v>
      </c>
      <c r="AH245" s="493">
        <f>AH244*波及効果シート!$D$72</f>
        <v>0</v>
      </c>
      <c r="AI245" s="535">
        <f t="shared" ref="AI245:AI246" si="247">SUM(D245:N245)</f>
        <v>0</v>
      </c>
      <c r="AJ245" s="535">
        <f t="shared" ref="AJ245:AJ246" si="248">SUM(D245:X245)</f>
        <v>0</v>
      </c>
      <c r="AK245" s="497">
        <f t="shared" ref="AK245:AK246" si="249">SUM(D245:AH245)</f>
        <v>0</v>
      </c>
    </row>
    <row r="246" spans="1:37" ht="11.5" x14ac:dyDescent="0.25">
      <c r="A246" s="533"/>
      <c r="B246" s="439" t="s">
        <v>1137</v>
      </c>
      <c r="C246" s="452" t="s">
        <v>37</v>
      </c>
      <c r="D246" s="493">
        <f>D244*波及効果シート!$D$74</f>
        <v>0</v>
      </c>
      <c r="E246" s="493">
        <f>E244*波及効果シート!$D$74</f>
        <v>0</v>
      </c>
      <c r="F246" s="493">
        <f>F244*波及効果シート!$D$74</f>
        <v>0</v>
      </c>
      <c r="G246" s="493">
        <f>G244*波及効果シート!$D$74</f>
        <v>0</v>
      </c>
      <c r="H246" s="493">
        <f>H244*波及効果シート!$D$74</f>
        <v>0</v>
      </c>
      <c r="I246" s="493">
        <f>I244*波及効果シート!$D$74</f>
        <v>0</v>
      </c>
      <c r="J246" s="493">
        <f>J244*波及効果シート!$D$74</f>
        <v>0</v>
      </c>
      <c r="K246" s="493">
        <f>K244*波及効果シート!$D$74</f>
        <v>0</v>
      </c>
      <c r="L246" s="493">
        <f>L244*波及効果シート!$D$74</f>
        <v>0</v>
      </c>
      <c r="M246" s="493">
        <f>M244*波及効果シート!$D$74</f>
        <v>0</v>
      </c>
      <c r="N246" s="493">
        <f>N244*波及効果シート!$D$74</f>
        <v>0</v>
      </c>
      <c r="O246" s="493">
        <f>O244*波及効果シート!$D$74</f>
        <v>0</v>
      </c>
      <c r="P246" s="493">
        <f>P244*波及効果シート!$D$74</f>
        <v>0</v>
      </c>
      <c r="Q246" s="493">
        <f>Q244*波及効果シート!$D$74</f>
        <v>0</v>
      </c>
      <c r="R246" s="493">
        <f>R244*波及効果シート!$D$74</f>
        <v>0</v>
      </c>
      <c r="S246" s="493">
        <f>S244*波及効果シート!$D$74</f>
        <v>0</v>
      </c>
      <c r="T246" s="493">
        <f>T244*波及効果シート!$D$74</f>
        <v>0</v>
      </c>
      <c r="U246" s="493">
        <f>U244*波及効果シート!$D$74</f>
        <v>0</v>
      </c>
      <c r="V246" s="493">
        <f>V244*波及効果シート!$D$74</f>
        <v>0</v>
      </c>
      <c r="W246" s="493">
        <f>W244*波及効果シート!$D$74</f>
        <v>0</v>
      </c>
      <c r="X246" s="493">
        <f>X244*波及効果シート!$D$74</f>
        <v>0</v>
      </c>
      <c r="Y246" s="493">
        <f>Y244*波及効果シート!$D$74</f>
        <v>0</v>
      </c>
      <c r="Z246" s="493">
        <f>Z244*波及効果シート!$D$74</f>
        <v>0</v>
      </c>
      <c r="AA246" s="493">
        <f>AA244*波及効果シート!$D$74</f>
        <v>0</v>
      </c>
      <c r="AB246" s="493">
        <f>AB244*波及効果シート!$D$74</f>
        <v>0</v>
      </c>
      <c r="AC246" s="493">
        <f>AC244*波及効果シート!$D$74</f>
        <v>0</v>
      </c>
      <c r="AD246" s="493">
        <f>AD244*波及効果シート!$D$74</f>
        <v>0</v>
      </c>
      <c r="AE246" s="493">
        <f>AE244*波及効果シート!$D$74</f>
        <v>0</v>
      </c>
      <c r="AF246" s="493">
        <f>AF244*波及効果シート!$D$74</f>
        <v>0</v>
      </c>
      <c r="AG246" s="493">
        <f>AG244*波及効果シート!$D$74</f>
        <v>0</v>
      </c>
      <c r="AH246" s="493">
        <f>AH244*波及効果シート!$D$74</f>
        <v>0</v>
      </c>
      <c r="AI246" s="535">
        <f t="shared" si="247"/>
        <v>0</v>
      </c>
      <c r="AJ246" s="535">
        <f t="shared" si="248"/>
        <v>0</v>
      </c>
      <c r="AK246" s="497">
        <f t="shared" si="249"/>
        <v>0</v>
      </c>
    </row>
    <row r="247" spans="1:37" ht="11.5" x14ac:dyDescent="0.25">
      <c r="A247" s="533" t="str">
        <f>A243&amp;B247</f>
        <v>0所得税（国税）</v>
      </c>
      <c r="B247" s="439" t="s">
        <v>351</v>
      </c>
      <c r="C247" s="452" t="s">
        <v>37</v>
      </c>
      <c r="D247" s="493">
        <f>D244*地域経済性分析・初期条件!$P$26</f>
        <v>0</v>
      </c>
      <c r="E247" s="493">
        <f>E244*地域経済性分析・初期条件!$P$26</f>
        <v>0</v>
      </c>
      <c r="F247" s="493">
        <f>F244*地域経済性分析・初期条件!$P$26</f>
        <v>0</v>
      </c>
      <c r="G247" s="493">
        <f>G244*地域経済性分析・初期条件!$P$26</f>
        <v>0</v>
      </c>
      <c r="H247" s="493">
        <f>H244*地域経済性分析・初期条件!$P$26</f>
        <v>0</v>
      </c>
      <c r="I247" s="493">
        <f>I244*地域経済性分析・初期条件!$P$26</f>
        <v>0</v>
      </c>
      <c r="J247" s="493">
        <f>J244*地域経済性分析・初期条件!$P$26</f>
        <v>0</v>
      </c>
      <c r="K247" s="493">
        <f>K244*地域経済性分析・初期条件!$P$26</f>
        <v>0</v>
      </c>
      <c r="L247" s="493">
        <f>L244*地域経済性分析・初期条件!$P$26</f>
        <v>0</v>
      </c>
      <c r="M247" s="493">
        <f>M244*地域経済性分析・初期条件!$P$26</f>
        <v>0</v>
      </c>
      <c r="N247" s="493">
        <f>N244*地域経済性分析・初期条件!$P$26</f>
        <v>0</v>
      </c>
      <c r="O247" s="493">
        <f>O244*地域経済性分析・初期条件!$P$26</f>
        <v>0</v>
      </c>
      <c r="P247" s="493">
        <f>P244*地域経済性分析・初期条件!$P$26</f>
        <v>0</v>
      </c>
      <c r="Q247" s="493">
        <f>Q244*地域経済性分析・初期条件!$P$26</f>
        <v>0</v>
      </c>
      <c r="R247" s="493">
        <f>R244*地域経済性分析・初期条件!$P$26</f>
        <v>0</v>
      </c>
      <c r="S247" s="493">
        <f>S244*地域経済性分析・初期条件!$P$26</f>
        <v>0</v>
      </c>
      <c r="T247" s="493">
        <f>T244*地域経済性分析・初期条件!$P$26</f>
        <v>0</v>
      </c>
      <c r="U247" s="493">
        <f>U244*地域経済性分析・初期条件!$P$26</f>
        <v>0</v>
      </c>
      <c r="V247" s="493">
        <f>V244*地域経済性分析・初期条件!$P$26</f>
        <v>0</v>
      </c>
      <c r="W247" s="493">
        <f>W244*地域経済性分析・初期条件!$P$26</f>
        <v>0</v>
      </c>
      <c r="X247" s="493">
        <f>X244*地域経済性分析・初期条件!$P$26</f>
        <v>0</v>
      </c>
      <c r="Y247" s="493">
        <f>Y244*地域経済性分析・初期条件!$P$26</f>
        <v>0</v>
      </c>
      <c r="Z247" s="493">
        <f>Z244*地域経済性分析・初期条件!$P$26</f>
        <v>0</v>
      </c>
      <c r="AA247" s="493">
        <f>AA244*地域経済性分析・初期条件!$P$26</f>
        <v>0</v>
      </c>
      <c r="AB247" s="493">
        <f>AB244*地域経済性分析・初期条件!$P$26</f>
        <v>0</v>
      </c>
      <c r="AC247" s="493">
        <f>AC244*地域経済性分析・初期条件!$P$26</f>
        <v>0</v>
      </c>
      <c r="AD247" s="493">
        <f>AD244*地域経済性分析・初期条件!$P$26</f>
        <v>0</v>
      </c>
      <c r="AE247" s="493">
        <f>AE244*地域経済性分析・初期条件!$P$26</f>
        <v>0</v>
      </c>
      <c r="AF247" s="493">
        <f>AF244*地域経済性分析・初期条件!$P$26</f>
        <v>0</v>
      </c>
      <c r="AG247" s="493">
        <f>AG244*地域経済性分析・初期条件!$P$26</f>
        <v>0</v>
      </c>
      <c r="AH247" s="493">
        <f>AH244*地域経済性分析・初期条件!$P$26</f>
        <v>0</v>
      </c>
      <c r="AI247" s="535">
        <f t="shared" si="246"/>
        <v>0</v>
      </c>
      <c r="AJ247" s="535">
        <f t="shared" ref="AJ247:AJ256" si="250">SUM(D247:X247)</f>
        <v>0</v>
      </c>
      <c r="AK247" s="497">
        <f t="shared" ref="AK247:AK256" si="251">SUM(D247:AH247)</f>
        <v>0</v>
      </c>
    </row>
    <row r="248" spans="1:37" ht="11.5" x14ac:dyDescent="0.25">
      <c r="A248" s="533" t="str">
        <f>A243&amp;B248</f>
        <v>0法人税（国税）</v>
      </c>
      <c r="B248" s="439" t="s">
        <v>350</v>
      </c>
      <c r="C248" s="452" t="s">
        <v>37</v>
      </c>
      <c r="D248" s="493">
        <f>D244*地域経済性分析・初期条件!$Q$26</f>
        <v>0</v>
      </c>
      <c r="E248" s="493">
        <f>E244*地域経済性分析・初期条件!$Q$26</f>
        <v>0</v>
      </c>
      <c r="F248" s="493">
        <f>F244*地域経済性分析・初期条件!$Q$26</f>
        <v>0</v>
      </c>
      <c r="G248" s="493">
        <f>G244*地域経済性分析・初期条件!$Q$26</f>
        <v>0</v>
      </c>
      <c r="H248" s="493">
        <f>H244*地域経済性分析・初期条件!$Q$26</f>
        <v>0</v>
      </c>
      <c r="I248" s="493">
        <f>I244*地域経済性分析・初期条件!$Q$26</f>
        <v>0</v>
      </c>
      <c r="J248" s="493">
        <f>J244*地域経済性分析・初期条件!$Q$26</f>
        <v>0</v>
      </c>
      <c r="K248" s="493">
        <f>K244*地域経済性分析・初期条件!$Q$26</f>
        <v>0</v>
      </c>
      <c r="L248" s="493">
        <f>L244*地域経済性分析・初期条件!$Q$26</f>
        <v>0</v>
      </c>
      <c r="M248" s="493">
        <f>M244*地域経済性分析・初期条件!$Q$26</f>
        <v>0</v>
      </c>
      <c r="N248" s="493">
        <f>N244*地域経済性分析・初期条件!$Q$26</f>
        <v>0</v>
      </c>
      <c r="O248" s="493">
        <f>O244*地域経済性分析・初期条件!$Q$26</f>
        <v>0</v>
      </c>
      <c r="P248" s="493">
        <f>P244*地域経済性分析・初期条件!$Q$26</f>
        <v>0</v>
      </c>
      <c r="Q248" s="493">
        <f>Q244*地域経済性分析・初期条件!$Q$26</f>
        <v>0</v>
      </c>
      <c r="R248" s="493">
        <f>R244*地域経済性分析・初期条件!$Q$26</f>
        <v>0</v>
      </c>
      <c r="S248" s="493">
        <f>S244*地域経済性分析・初期条件!$Q$26</f>
        <v>0</v>
      </c>
      <c r="T248" s="493">
        <f>T244*地域経済性分析・初期条件!$Q$26</f>
        <v>0</v>
      </c>
      <c r="U248" s="493">
        <f>U244*地域経済性分析・初期条件!$Q$26</f>
        <v>0</v>
      </c>
      <c r="V248" s="493">
        <f>V244*地域経済性分析・初期条件!$Q$26</f>
        <v>0</v>
      </c>
      <c r="W248" s="493">
        <f>W244*地域経済性分析・初期条件!$Q$26</f>
        <v>0</v>
      </c>
      <c r="X248" s="493">
        <f>X244*地域経済性分析・初期条件!$Q$26</f>
        <v>0</v>
      </c>
      <c r="Y248" s="493">
        <f>Y244*地域経済性分析・初期条件!$Q$26</f>
        <v>0</v>
      </c>
      <c r="Z248" s="493">
        <f>Z244*地域経済性分析・初期条件!$Q$26</f>
        <v>0</v>
      </c>
      <c r="AA248" s="493">
        <f>AA244*地域経済性分析・初期条件!$Q$26</f>
        <v>0</v>
      </c>
      <c r="AB248" s="493">
        <f>AB244*地域経済性分析・初期条件!$Q$26</f>
        <v>0</v>
      </c>
      <c r="AC248" s="493">
        <f>AC244*地域経済性分析・初期条件!$Q$26</f>
        <v>0</v>
      </c>
      <c r="AD248" s="493">
        <f>AD244*地域経済性分析・初期条件!$Q$26</f>
        <v>0</v>
      </c>
      <c r="AE248" s="493">
        <f>AE244*地域経済性分析・初期条件!$Q$26</f>
        <v>0</v>
      </c>
      <c r="AF248" s="493">
        <f>AF244*地域経済性分析・初期条件!$Q$26</f>
        <v>0</v>
      </c>
      <c r="AG248" s="493">
        <f>AG244*地域経済性分析・初期条件!$Q$26</f>
        <v>0</v>
      </c>
      <c r="AH248" s="493">
        <f>AH244*地域経済性分析・初期条件!$Q$26</f>
        <v>0</v>
      </c>
      <c r="AI248" s="535">
        <f t="shared" si="246"/>
        <v>0</v>
      </c>
      <c r="AJ248" s="535">
        <f t="shared" si="250"/>
        <v>0</v>
      </c>
      <c r="AK248" s="497">
        <f t="shared" si="251"/>
        <v>0</v>
      </c>
    </row>
    <row r="249" spans="1:37" ht="11.5" x14ac:dyDescent="0.25">
      <c r="A249" s="533" t="str">
        <f>A243&amp;B249</f>
        <v>0従業員の可処分所得（一次）</v>
      </c>
      <c r="B249" s="439" t="s">
        <v>329</v>
      </c>
      <c r="C249" s="451" t="s">
        <v>37</v>
      </c>
      <c r="D249" s="493">
        <f>D244*地域経済性分析・初期条件!$H$26</f>
        <v>0</v>
      </c>
      <c r="E249" s="493">
        <f>E244*地域経済性分析・初期条件!$H$26</f>
        <v>0</v>
      </c>
      <c r="F249" s="493">
        <f>F244*地域経済性分析・初期条件!$H$26</f>
        <v>0</v>
      </c>
      <c r="G249" s="493">
        <f>G244*地域経済性分析・初期条件!$H$26</f>
        <v>0</v>
      </c>
      <c r="H249" s="493">
        <f>H244*地域経済性分析・初期条件!$H$26</f>
        <v>0</v>
      </c>
      <c r="I249" s="493">
        <f>I244*地域経済性分析・初期条件!$H$26</f>
        <v>0</v>
      </c>
      <c r="J249" s="493">
        <f>J244*地域経済性分析・初期条件!$H$26</f>
        <v>0</v>
      </c>
      <c r="K249" s="493">
        <f>K244*地域経済性分析・初期条件!$H$26</f>
        <v>0</v>
      </c>
      <c r="L249" s="493">
        <f>L244*地域経済性分析・初期条件!$H$26</f>
        <v>0</v>
      </c>
      <c r="M249" s="493">
        <f>M244*地域経済性分析・初期条件!$H$26</f>
        <v>0</v>
      </c>
      <c r="N249" s="493">
        <f>N244*地域経済性分析・初期条件!$H$26</f>
        <v>0</v>
      </c>
      <c r="O249" s="493">
        <f>O244*地域経済性分析・初期条件!$H$26</f>
        <v>0</v>
      </c>
      <c r="P249" s="493">
        <f>P244*地域経済性分析・初期条件!$H$26</f>
        <v>0</v>
      </c>
      <c r="Q249" s="493">
        <f>Q244*地域経済性分析・初期条件!$H$26</f>
        <v>0</v>
      </c>
      <c r="R249" s="493">
        <f>R244*地域経済性分析・初期条件!$H$26</f>
        <v>0</v>
      </c>
      <c r="S249" s="493">
        <f>S244*地域経済性分析・初期条件!$H$26</f>
        <v>0</v>
      </c>
      <c r="T249" s="493">
        <f>T244*地域経済性分析・初期条件!$H$26</f>
        <v>0</v>
      </c>
      <c r="U249" s="493">
        <f>U244*地域経済性分析・初期条件!$H$26</f>
        <v>0</v>
      </c>
      <c r="V249" s="493">
        <f>V244*地域経済性分析・初期条件!$H$26</f>
        <v>0</v>
      </c>
      <c r="W249" s="493">
        <f>W244*地域経済性分析・初期条件!$H$26</f>
        <v>0</v>
      </c>
      <c r="X249" s="493">
        <f>X244*地域経済性分析・初期条件!$H$26</f>
        <v>0</v>
      </c>
      <c r="Y249" s="493">
        <f>Y244*地域経済性分析・初期条件!$H$26</f>
        <v>0</v>
      </c>
      <c r="Z249" s="493">
        <f>Z244*地域経済性分析・初期条件!$H$26</f>
        <v>0</v>
      </c>
      <c r="AA249" s="493">
        <f>AA244*地域経済性分析・初期条件!$H$26</f>
        <v>0</v>
      </c>
      <c r="AB249" s="493">
        <f>AB244*地域経済性分析・初期条件!$H$26</f>
        <v>0</v>
      </c>
      <c r="AC249" s="493">
        <f>AC244*地域経済性分析・初期条件!$H$26</f>
        <v>0</v>
      </c>
      <c r="AD249" s="493">
        <f>AD244*地域経済性分析・初期条件!$H$26</f>
        <v>0</v>
      </c>
      <c r="AE249" s="493">
        <f>AE244*地域経済性分析・初期条件!$H$26</f>
        <v>0</v>
      </c>
      <c r="AF249" s="493">
        <f>AF244*地域経済性分析・初期条件!$H$26</f>
        <v>0</v>
      </c>
      <c r="AG249" s="493">
        <f>AG244*地域経済性分析・初期条件!$H$26</f>
        <v>0</v>
      </c>
      <c r="AH249" s="493">
        <f>AH244*地域経済性分析・初期条件!$H$26</f>
        <v>0</v>
      </c>
      <c r="AI249" s="535">
        <f t="shared" si="246"/>
        <v>0</v>
      </c>
      <c r="AJ249" s="535">
        <f t="shared" si="250"/>
        <v>0</v>
      </c>
      <c r="AK249" s="497">
        <f t="shared" si="251"/>
        <v>0</v>
      </c>
    </row>
    <row r="250" spans="1:37" ht="11.5" x14ac:dyDescent="0.25">
      <c r="A250" s="533" t="str">
        <f>A243&amp;B250</f>
        <v>0企業の税引後利益（一次）</v>
      </c>
      <c r="B250" s="439" t="s">
        <v>330</v>
      </c>
      <c r="C250" s="451" t="s">
        <v>37</v>
      </c>
      <c r="D250" s="493">
        <f>D244*地域経済性分析・初期条件!$I$26</f>
        <v>0</v>
      </c>
      <c r="E250" s="493">
        <f>E244*地域経済性分析・初期条件!$I$26</f>
        <v>0</v>
      </c>
      <c r="F250" s="493">
        <f>F244*地域経済性分析・初期条件!$I$26</f>
        <v>0</v>
      </c>
      <c r="G250" s="493">
        <f>G244*地域経済性分析・初期条件!$I$26</f>
        <v>0</v>
      </c>
      <c r="H250" s="493">
        <f>H244*地域経済性分析・初期条件!$I$26</f>
        <v>0</v>
      </c>
      <c r="I250" s="493">
        <f>I244*地域経済性分析・初期条件!$I$26</f>
        <v>0</v>
      </c>
      <c r="J250" s="493">
        <f>J244*地域経済性分析・初期条件!$I$26</f>
        <v>0</v>
      </c>
      <c r="K250" s="493">
        <f>K244*地域経済性分析・初期条件!$I$26</f>
        <v>0</v>
      </c>
      <c r="L250" s="493">
        <f>L244*地域経済性分析・初期条件!$I$26</f>
        <v>0</v>
      </c>
      <c r="M250" s="493">
        <f>M244*地域経済性分析・初期条件!$I$26</f>
        <v>0</v>
      </c>
      <c r="N250" s="493">
        <f>N244*地域経済性分析・初期条件!$I$26</f>
        <v>0</v>
      </c>
      <c r="O250" s="493">
        <f>O244*地域経済性分析・初期条件!$I$26</f>
        <v>0</v>
      </c>
      <c r="P250" s="493">
        <f>P244*地域経済性分析・初期条件!$I$26</f>
        <v>0</v>
      </c>
      <c r="Q250" s="493">
        <f>Q244*地域経済性分析・初期条件!$I$26</f>
        <v>0</v>
      </c>
      <c r="R250" s="493">
        <f>R244*地域経済性分析・初期条件!$I$26</f>
        <v>0</v>
      </c>
      <c r="S250" s="493">
        <f>S244*地域経済性分析・初期条件!$I$26</f>
        <v>0</v>
      </c>
      <c r="T250" s="493">
        <f>T244*地域経済性分析・初期条件!$I$26</f>
        <v>0</v>
      </c>
      <c r="U250" s="493">
        <f>U244*地域経済性分析・初期条件!$I$26</f>
        <v>0</v>
      </c>
      <c r="V250" s="493">
        <f>V244*地域経済性分析・初期条件!$I$26</f>
        <v>0</v>
      </c>
      <c r="W250" s="493">
        <f>W244*地域経済性分析・初期条件!$I$26</f>
        <v>0</v>
      </c>
      <c r="X250" s="493">
        <f>X244*地域経済性分析・初期条件!$I$26</f>
        <v>0</v>
      </c>
      <c r="Y250" s="493">
        <f>Y244*地域経済性分析・初期条件!$I$26</f>
        <v>0</v>
      </c>
      <c r="Z250" s="493">
        <f>Z244*地域経済性分析・初期条件!$I$26</f>
        <v>0</v>
      </c>
      <c r="AA250" s="493">
        <f>AA244*地域経済性分析・初期条件!$I$26</f>
        <v>0</v>
      </c>
      <c r="AB250" s="493">
        <f>AB244*地域経済性分析・初期条件!$I$26</f>
        <v>0</v>
      </c>
      <c r="AC250" s="493">
        <f>AC244*地域経済性分析・初期条件!$I$26</f>
        <v>0</v>
      </c>
      <c r="AD250" s="493">
        <f>AD244*地域経済性分析・初期条件!$I$26</f>
        <v>0</v>
      </c>
      <c r="AE250" s="493">
        <f>AE244*地域経済性分析・初期条件!$I$26</f>
        <v>0</v>
      </c>
      <c r="AF250" s="493">
        <f>AF244*地域経済性分析・初期条件!$I$26</f>
        <v>0</v>
      </c>
      <c r="AG250" s="493">
        <f>AG244*地域経済性分析・初期条件!$I$26</f>
        <v>0</v>
      </c>
      <c r="AH250" s="493">
        <f>AH244*地域経済性分析・初期条件!$I$26</f>
        <v>0</v>
      </c>
      <c r="AI250" s="535">
        <f t="shared" si="246"/>
        <v>0</v>
      </c>
      <c r="AJ250" s="535">
        <f t="shared" si="250"/>
        <v>0</v>
      </c>
      <c r="AK250" s="497">
        <f t="shared" si="251"/>
        <v>0</v>
      </c>
    </row>
    <row r="251" spans="1:37" ht="11.5" x14ac:dyDescent="0.25">
      <c r="A251" s="533" t="str">
        <f>A243&amp;B251</f>
        <v>0都道府県税収（一次）</v>
      </c>
      <c r="B251" s="439" t="s">
        <v>331</v>
      </c>
      <c r="C251" s="451" t="s">
        <v>37</v>
      </c>
      <c r="D251" s="493">
        <f>D244*地域経済性分析・初期条件!$J$26</f>
        <v>0</v>
      </c>
      <c r="E251" s="493">
        <f>E244*地域経済性分析・初期条件!$J$26</f>
        <v>0</v>
      </c>
      <c r="F251" s="493">
        <f>F244*地域経済性分析・初期条件!$J$26</f>
        <v>0</v>
      </c>
      <c r="G251" s="493">
        <f>G244*地域経済性分析・初期条件!$J$26</f>
        <v>0</v>
      </c>
      <c r="H251" s="493">
        <f>H244*地域経済性分析・初期条件!$J$26</f>
        <v>0</v>
      </c>
      <c r="I251" s="493">
        <f>I244*地域経済性分析・初期条件!$J$26</f>
        <v>0</v>
      </c>
      <c r="J251" s="493">
        <f>J244*地域経済性分析・初期条件!$J$26</f>
        <v>0</v>
      </c>
      <c r="K251" s="493">
        <f>K244*地域経済性分析・初期条件!$J$26</f>
        <v>0</v>
      </c>
      <c r="L251" s="493">
        <f>L244*地域経済性分析・初期条件!$J$26</f>
        <v>0</v>
      </c>
      <c r="M251" s="493">
        <f>M244*地域経済性分析・初期条件!$J$26</f>
        <v>0</v>
      </c>
      <c r="N251" s="493">
        <f>N244*地域経済性分析・初期条件!$J$26</f>
        <v>0</v>
      </c>
      <c r="O251" s="493">
        <f>O244*地域経済性分析・初期条件!$J$26</f>
        <v>0</v>
      </c>
      <c r="P251" s="493">
        <f>P244*地域経済性分析・初期条件!$J$26</f>
        <v>0</v>
      </c>
      <c r="Q251" s="493">
        <f>Q244*地域経済性分析・初期条件!$J$26</f>
        <v>0</v>
      </c>
      <c r="R251" s="493">
        <f>R244*地域経済性分析・初期条件!$J$26</f>
        <v>0</v>
      </c>
      <c r="S251" s="493">
        <f>S244*地域経済性分析・初期条件!$J$26</f>
        <v>0</v>
      </c>
      <c r="T251" s="493">
        <f>T244*地域経済性分析・初期条件!$J$26</f>
        <v>0</v>
      </c>
      <c r="U251" s="493">
        <f>U244*地域経済性分析・初期条件!$J$26</f>
        <v>0</v>
      </c>
      <c r="V251" s="493">
        <f>V244*地域経済性分析・初期条件!$J$26</f>
        <v>0</v>
      </c>
      <c r="W251" s="493">
        <f>W244*地域経済性分析・初期条件!$J$26</f>
        <v>0</v>
      </c>
      <c r="X251" s="493">
        <f>X244*地域経済性分析・初期条件!$J$26</f>
        <v>0</v>
      </c>
      <c r="Y251" s="493">
        <f>Y244*地域経済性分析・初期条件!$J$26</f>
        <v>0</v>
      </c>
      <c r="Z251" s="493">
        <f>Z244*地域経済性分析・初期条件!$J$26</f>
        <v>0</v>
      </c>
      <c r="AA251" s="493">
        <f>AA244*地域経済性分析・初期条件!$J$26</f>
        <v>0</v>
      </c>
      <c r="AB251" s="493">
        <f>AB244*地域経済性分析・初期条件!$J$26</f>
        <v>0</v>
      </c>
      <c r="AC251" s="493">
        <f>AC244*地域経済性分析・初期条件!$J$26</f>
        <v>0</v>
      </c>
      <c r="AD251" s="493">
        <f>AD244*地域経済性分析・初期条件!$J$26</f>
        <v>0</v>
      </c>
      <c r="AE251" s="493">
        <f>AE244*地域経済性分析・初期条件!$J$26</f>
        <v>0</v>
      </c>
      <c r="AF251" s="493">
        <f>AF244*地域経済性分析・初期条件!$J$26</f>
        <v>0</v>
      </c>
      <c r="AG251" s="493">
        <f>AG244*地域経済性分析・初期条件!$J$26</f>
        <v>0</v>
      </c>
      <c r="AH251" s="493">
        <f>AH244*地域経済性分析・初期条件!$J$26</f>
        <v>0</v>
      </c>
      <c r="AI251" s="535">
        <f t="shared" si="246"/>
        <v>0</v>
      </c>
      <c r="AJ251" s="535">
        <f t="shared" si="250"/>
        <v>0</v>
      </c>
      <c r="AK251" s="497">
        <f t="shared" si="251"/>
        <v>0</v>
      </c>
    </row>
    <row r="252" spans="1:37" ht="11.5" x14ac:dyDescent="0.25">
      <c r="A252" s="533" t="str">
        <f>A243&amp;B252</f>
        <v>0市町村税収（一次）</v>
      </c>
      <c r="B252" s="439" t="s">
        <v>332</v>
      </c>
      <c r="C252" s="452" t="s">
        <v>37</v>
      </c>
      <c r="D252" s="493">
        <f>D244*地域経済性分析・初期条件!$K$26</f>
        <v>0</v>
      </c>
      <c r="E252" s="493">
        <f>E244*地域経済性分析・初期条件!$K$26</f>
        <v>0</v>
      </c>
      <c r="F252" s="493">
        <f>F244*地域経済性分析・初期条件!$K$26</f>
        <v>0</v>
      </c>
      <c r="G252" s="493">
        <f>G244*地域経済性分析・初期条件!$K$26</f>
        <v>0</v>
      </c>
      <c r="H252" s="493">
        <f>H244*地域経済性分析・初期条件!$K$26</f>
        <v>0</v>
      </c>
      <c r="I252" s="493">
        <f>I244*地域経済性分析・初期条件!$K$26</f>
        <v>0</v>
      </c>
      <c r="J252" s="493">
        <f>J244*地域経済性分析・初期条件!$K$26</f>
        <v>0</v>
      </c>
      <c r="K252" s="493">
        <f>K244*地域経済性分析・初期条件!$K$26</f>
        <v>0</v>
      </c>
      <c r="L252" s="493">
        <f>L244*地域経済性分析・初期条件!$K$26</f>
        <v>0</v>
      </c>
      <c r="M252" s="493">
        <f>M244*地域経済性分析・初期条件!$K$26</f>
        <v>0</v>
      </c>
      <c r="N252" s="493">
        <f>N244*地域経済性分析・初期条件!$K$26</f>
        <v>0</v>
      </c>
      <c r="O252" s="493">
        <f>O244*地域経済性分析・初期条件!$K$26</f>
        <v>0</v>
      </c>
      <c r="P252" s="493">
        <f>P244*地域経済性分析・初期条件!$K$26</f>
        <v>0</v>
      </c>
      <c r="Q252" s="493">
        <f>Q244*地域経済性分析・初期条件!$K$26</f>
        <v>0</v>
      </c>
      <c r="R252" s="493">
        <f>R244*地域経済性分析・初期条件!$K$26</f>
        <v>0</v>
      </c>
      <c r="S252" s="493">
        <f>S244*地域経済性分析・初期条件!$K$26</f>
        <v>0</v>
      </c>
      <c r="T252" s="493">
        <f>T244*地域経済性分析・初期条件!$K$26</f>
        <v>0</v>
      </c>
      <c r="U252" s="493">
        <f>U244*地域経済性分析・初期条件!$K$26</f>
        <v>0</v>
      </c>
      <c r="V252" s="493">
        <f>V244*地域経済性分析・初期条件!$K$26</f>
        <v>0</v>
      </c>
      <c r="W252" s="493">
        <f>W244*地域経済性分析・初期条件!$K$26</f>
        <v>0</v>
      </c>
      <c r="X252" s="493">
        <f>X244*地域経済性分析・初期条件!$K$26</f>
        <v>0</v>
      </c>
      <c r="Y252" s="493">
        <f>Y244*地域経済性分析・初期条件!$K$26</f>
        <v>0</v>
      </c>
      <c r="Z252" s="493">
        <f>Z244*地域経済性分析・初期条件!$K$26</f>
        <v>0</v>
      </c>
      <c r="AA252" s="493">
        <f>AA244*地域経済性分析・初期条件!$K$26</f>
        <v>0</v>
      </c>
      <c r="AB252" s="493">
        <f>AB244*地域経済性分析・初期条件!$K$26</f>
        <v>0</v>
      </c>
      <c r="AC252" s="493">
        <f>AC244*地域経済性分析・初期条件!$K$26</f>
        <v>0</v>
      </c>
      <c r="AD252" s="493">
        <f>AD244*地域経済性分析・初期条件!$K$26</f>
        <v>0</v>
      </c>
      <c r="AE252" s="493">
        <f>AE244*地域経済性分析・初期条件!$K$26</f>
        <v>0</v>
      </c>
      <c r="AF252" s="493">
        <f>AF244*地域経済性分析・初期条件!$K$26</f>
        <v>0</v>
      </c>
      <c r="AG252" s="493">
        <f>AG244*地域経済性分析・初期条件!$K$26</f>
        <v>0</v>
      </c>
      <c r="AH252" s="493">
        <f>AH244*地域経済性分析・初期条件!$K$26</f>
        <v>0</v>
      </c>
      <c r="AI252" s="535">
        <f t="shared" si="246"/>
        <v>0</v>
      </c>
      <c r="AJ252" s="535">
        <f t="shared" si="250"/>
        <v>0</v>
      </c>
      <c r="AK252" s="497">
        <f t="shared" si="251"/>
        <v>0</v>
      </c>
    </row>
    <row r="253" spans="1:37" ht="11.5" x14ac:dyDescent="0.25">
      <c r="A253" s="533" t="str">
        <f>A243&amp;B253</f>
        <v>0従業員の可処分所得（二次以降）</v>
      </c>
      <c r="B253" s="439" t="s">
        <v>334</v>
      </c>
      <c r="C253" s="452" t="s">
        <v>37</v>
      </c>
      <c r="D253" s="493">
        <f>D244*地域経済性分析・初期条件!$L$26</f>
        <v>0</v>
      </c>
      <c r="E253" s="493">
        <f>E244*地域経済性分析・初期条件!$L$26</f>
        <v>0</v>
      </c>
      <c r="F253" s="493">
        <f>F244*地域経済性分析・初期条件!$L$26</f>
        <v>0</v>
      </c>
      <c r="G253" s="493">
        <f>G244*地域経済性分析・初期条件!$L$26</f>
        <v>0</v>
      </c>
      <c r="H253" s="493">
        <f>H244*地域経済性分析・初期条件!$L$26</f>
        <v>0</v>
      </c>
      <c r="I253" s="493">
        <f>I244*地域経済性分析・初期条件!$L$26</f>
        <v>0</v>
      </c>
      <c r="J253" s="493">
        <f>J244*地域経済性分析・初期条件!$L$26</f>
        <v>0</v>
      </c>
      <c r="K253" s="493">
        <f>K244*地域経済性分析・初期条件!$L$26</f>
        <v>0</v>
      </c>
      <c r="L253" s="493">
        <f>L244*地域経済性分析・初期条件!$L$26</f>
        <v>0</v>
      </c>
      <c r="M253" s="493">
        <f>M244*地域経済性分析・初期条件!$L$26</f>
        <v>0</v>
      </c>
      <c r="N253" s="493">
        <f>N244*地域経済性分析・初期条件!$L$26</f>
        <v>0</v>
      </c>
      <c r="O253" s="493">
        <f>O244*地域経済性分析・初期条件!$L$26</f>
        <v>0</v>
      </c>
      <c r="P253" s="493">
        <f>P244*地域経済性分析・初期条件!$L$26</f>
        <v>0</v>
      </c>
      <c r="Q253" s="493">
        <f>Q244*地域経済性分析・初期条件!$L$26</f>
        <v>0</v>
      </c>
      <c r="R253" s="493">
        <f>R244*地域経済性分析・初期条件!$L$26</f>
        <v>0</v>
      </c>
      <c r="S253" s="493">
        <f>S244*地域経済性分析・初期条件!$L$26</f>
        <v>0</v>
      </c>
      <c r="T253" s="493">
        <f>T244*地域経済性分析・初期条件!$L$26</f>
        <v>0</v>
      </c>
      <c r="U253" s="493">
        <f>U244*地域経済性分析・初期条件!$L$26</f>
        <v>0</v>
      </c>
      <c r="V253" s="493">
        <f>V244*地域経済性分析・初期条件!$L$26</f>
        <v>0</v>
      </c>
      <c r="W253" s="493">
        <f>W244*地域経済性分析・初期条件!$L$26</f>
        <v>0</v>
      </c>
      <c r="X253" s="493">
        <f>X244*地域経済性分析・初期条件!$L$26</f>
        <v>0</v>
      </c>
      <c r="Y253" s="493">
        <f>Y244*地域経済性分析・初期条件!$L$26</f>
        <v>0</v>
      </c>
      <c r="Z253" s="493">
        <f>Z244*地域経済性分析・初期条件!$L$26</f>
        <v>0</v>
      </c>
      <c r="AA253" s="493">
        <f>AA244*地域経済性分析・初期条件!$L$26</f>
        <v>0</v>
      </c>
      <c r="AB253" s="493">
        <f>AB244*地域経済性分析・初期条件!$L$26</f>
        <v>0</v>
      </c>
      <c r="AC253" s="493">
        <f>AC244*地域経済性分析・初期条件!$L$26</f>
        <v>0</v>
      </c>
      <c r="AD253" s="493">
        <f>AD244*地域経済性分析・初期条件!$L$26</f>
        <v>0</v>
      </c>
      <c r="AE253" s="493">
        <f>AE244*地域経済性分析・初期条件!$L$26</f>
        <v>0</v>
      </c>
      <c r="AF253" s="493">
        <f>AF244*地域経済性分析・初期条件!$L$26</f>
        <v>0</v>
      </c>
      <c r="AG253" s="493">
        <f>AG244*地域経済性分析・初期条件!$L$26</f>
        <v>0</v>
      </c>
      <c r="AH253" s="493">
        <f>AH244*地域経済性分析・初期条件!$L$26</f>
        <v>0</v>
      </c>
      <c r="AI253" s="535">
        <f t="shared" si="246"/>
        <v>0</v>
      </c>
      <c r="AJ253" s="535">
        <f t="shared" si="250"/>
        <v>0</v>
      </c>
      <c r="AK253" s="497">
        <f t="shared" si="251"/>
        <v>0</v>
      </c>
    </row>
    <row r="254" spans="1:37" ht="11.5" x14ac:dyDescent="0.25">
      <c r="A254" s="533" t="str">
        <f>A243&amp;B254</f>
        <v>0企業の税引後利益（二次以降）</v>
      </c>
      <c r="B254" s="439" t="s">
        <v>335</v>
      </c>
      <c r="C254" s="452" t="s">
        <v>37</v>
      </c>
      <c r="D254" s="493">
        <f>D244*地域経済性分析・初期条件!$M$26</f>
        <v>0</v>
      </c>
      <c r="E254" s="493">
        <f>E244*地域経済性分析・初期条件!$M$26</f>
        <v>0</v>
      </c>
      <c r="F254" s="493">
        <f>F244*地域経済性分析・初期条件!$M$26</f>
        <v>0</v>
      </c>
      <c r="G254" s="493">
        <f>G244*地域経済性分析・初期条件!$M$26</f>
        <v>0</v>
      </c>
      <c r="H254" s="493">
        <f>H244*地域経済性分析・初期条件!$M$26</f>
        <v>0</v>
      </c>
      <c r="I254" s="493">
        <f>I244*地域経済性分析・初期条件!$M$26</f>
        <v>0</v>
      </c>
      <c r="J254" s="493">
        <f>J244*地域経済性分析・初期条件!$M$26</f>
        <v>0</v>
      </c>
      <c r="K254" s="493">
        <f>K244*地域経済性分析・初期条件!$M$26</f>
        <v>0</v>
      </c>
      <c r="L254" s="493">
        <f>L244*地域経済性分析・初期条件!$M$26</f>
        <v>0</v>
      </c>
      <c r="M254" s="493">
        <f>M244*地域経済性分析・初期条件!$M$26</f>
        <v>0</v>
      </c>
      <c r="N254" s="493">
        <f>N244*地域経済性分析・初期条件!$M$26</f>
        <v>0</v>
      </c>
      <c r="O254" s="493">
        <f>O244*地域経済性分析・初期条件!$M$26</f>
        <v>0</v>
      </c>
      <c r="P254" s="493">
        <f>P244*地域経済性分析・初期条件!$M$26</f>
        <v>0</v>
      </c>
      <c r="Q254" s="493">
        <f>Q244*地域経済性分析・初期条件!$M$26</f>
        <v>0</v>
      </c>
      <c r="R254" s="493">
        <f>R244*地域経済性分析・初期条件!$M$26</f>
        <v>0</v>
      </c>
      <c r="S254" s="493">
        <f>S244*地域経済性分析・初期条件!$M$26</f>
        <v>0</v>
      </c>
      <c r="T254" s="493">
        <f>T244*地域経済性分析・初期条件!$M$26</f>
        <v>0</v>
      </c>
      <c r="U254" s="493">
        <f>U244*地域経済性分析・初期条件!$M$26</f>
        <v>0</v>
      </c>
      <c r="V254" s="493">
        <f>V244*地域経済性分析・初期条件!$M$26</f>
        <v>0</v>
      </c>
      <c r="W254" s="493">
        <f>W244*地域経済性分析・初期条件!$M$26</f>
        <v>0</v>
      </c>
      <c r="X254" s="493">
        <f>X244*地域経済性分析・初期条件!$M$26</f>
        <v>0</v>
      </c>
      <c r="Y254" s="493">
        <f>Y244*地域経済性分析・初期条件!$M$26</f>
        <v>0</v>
      </c>
      <c r="Z254" s="493">
        <f>Z244*地域経済性分析・初期条件!$M$26</f>
        <v>0</v>
      </c>
      <c r="AA254" s="493">
        <f>AA244*地域経済性分析・初期条件!$M$26</f>
        <v>0</v>
      </c>
      <c r="AB254" s="493">
        <f>AB244*地域経済性分析・初期条件!$M$26</f>
        <v>0</v>
      </c>
      <c r="AC254" s="493">
        <f>AC244*地域経済性分析・初期条件!$M$26</f>
        <v>0</v>
      </c>
      <c r="AD254" s="493">
        <f>AD244*地域経済性分析・初期条件!$M$26</f>
        <v>0</v>
      </c>
      <c r="AE254" s="493">
        <f>AE244*地域経済性分析・初期条件!$M$26</f>
        <v>0</v>
      </c>
      <c r="AF254" s="493">
        <f>AF244*地域経済性分析・初期条件!$M$26</f>
        <v>0</v>
      </c>
      <c r="AG254" s="493">
        <f>AG244*地域経済性分析・初期条件!$M$26</f>
        <v>0</v>
      </c>
      <c r="AH254" s="493">
        <f>AH244*地域経済性分析・初期条件!$M$26</f>
        <v>0</v>
      </c>
      <c r="AI254" s="535">
        <f t="shared" si="246"/>
        <v>0</v>
      </c>
      <c r="AJ254" s="535">
        <f t="shared" si="250"/>
        <v>0</v>
      </c>
      <c r="AK254" s="497">
        <f t="shared" si="251"/>
        <v>0</v>
      </c>
    </row>
    <row r="255" spans="1:37" ht="11.5" x14ac:dyDescent="0.25">
      <c r="A255" s="533" t="str">
        <f>A243&amp;B255</f>
        <v>0都道府県税収（二次以降）</v>
      </c>
      <c r="B255" s="439" t="s">
        <v>336</v>
      </c>
      <c r="C255" s="452" t="s">
        <v>37</v>
      </c>
      <c r="D255" s="493">
        <f>D244*地域経済性分析・初期条件!$N$26</f>
        <v>0</v>
      </c>
      <c r="E255" s="493">
        <f>E244*地域経済性分析・初期条件!$N$26</f>
        <v>0</v>
      </c>
      <c r="F255" s="493">
        <f>F244*地域経済性分析・初期条件!$N$26</f>
        <v>0</v>
      </c>
      <c r="G255" s="493">
        <f>G244*地域経済性分析・初期条件!$N$26</f>
        <v>0</v>
      </c>
      <c r="H255" s="493">
        <f>H244*地域経済性分析・初期条件!$N$26</f>
        <v>0</v>
      </c>
      <c r="I255" s="493">
        <f>I244*地域経済性分析・初期条件!$N$26</f>
        <v>0</v>
      </c>
      <c r="J255" s="493">
        <f>J244*地域経済性分析・初期条件!$N$26</f>
        <v>0</v>
      </c>
      <c r="K255" s="493">
        <f>K244*地域経済性分析・初期条件!$N$26</f>
        <v>0</v>
      </c>
      <c r="L255" s="493">
        <f>L244*地域経済性分析・初期条件!$N$26</f>
        <v>0</v>
      </c>
      <c r="M255" s="493">
        <f>M244*地域経済性分析・初期条件!$N$26</f>
        <v>0</v>
      </c>
      <c r="N255" s="493">
        <f>N244*地域経済性分析・初期条件!$N$26</f>
        <v>0</v>
      </c>
      <c r="O255" s="493">
        <f>O244*地域経済性分析・初期条件!$N$26</f>
        <v>0</v>
      </c>
      <c r="P255" s="493">
        <f>P244*地域経済性分析・初期条件!$N$26</f>
        <v>0</v>
      </c>
      <c r="Q255" s="493">
        <f>Q244*地域経済性分析・初期条件!$N$26</f>
        <v>0</v>
      </c>
      <c r="R255" s="493">
        <f>R244*地域経済性分析・初期条件!$N$26</f>
        <v>0</v>
      </c>
      <c r="S255" s="493">
        <f>S244*地域経済性分析・初期条件!$N$26</f>
        <v>0</v>
      </c>
      <c r="T255" s="493">
        <f>T244*地域経済性分析・初期条件!$N$26</f>
        <v>0</v>
      </c>
      <c r="U255" s="493">
        <f>U244*地域経済性分析・初期条件!$N$26</f>
        <v>0</v>
      </c>
      <c r="V255" s="493">
        <f>V244*地域経済性分析・初期条件!$N$26</f>
        <v>0</v>
      </c>
      <c r="W255" s="493">
        <f>W244*地域経済性分析・初期条件!$N$26</f>
        <v>0</v>
      </c>
      <c r="X255" s="493">
        <f>X244*地域経済性分析・初期条件!$N$26</f>
        <v>0</v>
      </c>
      <c r="Y255" s="493">
        <f>Y244*地域経済性分析・初期条件!$N$26</f>
        <v>0</v>
      </c>
      <c r="Z255" s="493">
        <f>Z244*地域経済性分析・初期条件!$N$26</f>
        <v>0</v>
      </c>
      <c r="AA255" s="493">
        <f>AA244*地域経済性分析・初期条件!$N$26</f>
        <v>0</v>
      </c>
      <c r="AB255" s="493">
        <f>AB244*地域経済性分析・初期条件!$N$26</f>
        <v>0</v>
      </c>
      <c r="AC255" s="493">
        <f>AC244*地域経済性分析・初期条件!$N$26</f>
        <v>0</v>
      </c>
      <c r="AD255" s="493">
        <f>AD244*地域経済性分析・初期条件!$N$26</f>
        <v>0</v>
      </c>
      <c r="AE255" s="493">
        <f>AE244*地域経済性分析・初期条件!$N$26</f>
        <v>0</v>
      </c>
      <c r="AF255" s="493">
        <f>AF244*地域経済性分析・初期条件!$N$26</f>
        <v>0</v>
      </c>
      <c r="AG255" s="493">
        <f>AG244*地域経済性分析・初期条件!$N$26</f>
        <v>0</v>
      </c>
      <c r="AH255" s="493">
        <f>AH244*地域経済性分析・初期条件!$N$26</f>
        <v>0</v>
      </c>
      <c r="AI255" s="535">
        <f t="shared" si="246"/>
        <v>0</v>
      </c>
      <c r="AJ255" s="535">
        <f t="shared" si="250"/>
        <v>0</v>
      </c>
      <c r="AK255" s="497">
        <f t="shared" si="251"/>
        <v>0</v>
      </c>
    </row>
    <row r="256" spans="1:37" ht="11.5" x14ac:dyDescent="0.25">
      <c r="A256" s="533" t="str">
        <f>A243&amp;B256</f>
        <v>0市町村税収（二次以降）</v>
      </c>
      <c r="B256" s="439" t="s">
        <v>337</v>
      </c>
      <c r="C256" s="452" t="s">
        <v>37</v>
      </c>
      <c r="D256" s="493">
        <f>D244*地域経済性分析・初期条件!$O$26</f>
        <v>0</v>
      </c>
      <c r="E256" s="493">
        <f>E244*地域経済性分析・初期条件!$O$26</f>
        <v>0</v>
      </c>
      <c r="F256" s="493">
        <f>F244*地域経済性分析・初期条件!$O$26</f>
        <v>0</v>
      </c>
      <c r="G256" s="493">
        <f>G244*地域経済性分析・初期条件!$O$26</f>
        <v>0</v>
      </c>
      <c r="H256" s="493">
        <f>H244*地域経済性分析・初期条件!$O$26</f>
        <v>0</v>
      </c>
      <c r="I256" s="493">
        <f>I244*地域経済性分析・初期条件!$O$26</f>
        <v>0</v>
      </c>
      <c r="J256" s="493">
        <f>J244*地域経済性分析・初期条件!$O$26</f>
        <v>0</v>
      </c>
      <c r="K256" s="493">
        <f>K244*地域経済性分析・初期条件!$O$26</f>
        <v>0</v>
      </c>
      <c r="L256" s="493">
        <f>L244*地域経済性分析・初期条件!$O$26</f>
        <v>0</v>
      </c>
      <c r="M256" s="493">
        <f>M244*地域経済性分析・初期条件!$O$26</f>
        <v>0</v>
      </c>
      <c r="N256" s="493">
        <f>N244*地域経済性分析・初期条件!$O$26</f>
        <v>0</v>
      </c>
      <c r="O256" s="493">
        <f>O244*地域経済性分析・初期条件!$O$26</f>
        <v>0</v>
      </c>
      <c r="P256" s="493">
        <f>P244*地域経済性分析・初期条件!$O$26</f>
        <v>0</v>
      </c>
      <c r="Q256" s="493">
        <f>Q244*地域経済性分析・初期条件!$O$26</f>
        <v>0</v>
      </c>
      <c r="R256" s="493">
        <f>R244*地域経済性分析・初期条件!$O$26</f>
        <v>0</v>
      </c>
      <c r="S256" s="493">
        <f>S244*地域経済性分析・初期条件!$O$26</f>
        <v>0</v>
      </c>
      <c r="T256" s="493">
        <f>T244*地域経済性分析・初期条件!$O$26</f>
        <v>0</v>
      </c>
      <c r="U256" s="493">
        <f>U244*地域経済性分析・初期条件!$O$26</f>
        <v>0</v>
      </c>
      <c r="V256" s="493">
        <f>V244*地域経済性分析・初期条件!$O$26</f>
        <v>0</v>
      </c>
      <c r="W256" s="493">
        <f>W244*地域経済性分析・初期条件!$O$26</f>
        <v>0</v>
      </c>
      <c r="X256" s="493">
        <f>X244*地域経済性分析・初期条件!$O$26</f>
        <v>0</v>
      </c>
      <c r="Y256" s="493">
        <f>Y244*地域経済性分析・初期条件!$O$26</f>
        <v>0</v>
      </c>
      <c r="Z256" s="493">
        <f>Z244*地域経済性分析・初期条件!$O$26</f>
        <v>0</v>
      </c>
      <c r="AA256" s="493">
        <f>AA244*地域経済性分析・初期条件!$O$26</f>
        <v>0</v>
      </c>
      <c r="AB256" s="493">
        <f>AB244*地域経済性分析・初期条件!$O$26</f>
        <v>0</v>
      </c>
      <c r="AC256" s="493">
        <f>AC244*地域経済性分析・初期条件!$O$26</f>
        <v>0</v>
      </c>
      <c r="AD256" s="493">
        <f>AD244*地域経済性分析・初期条件!$O$26</f>
        <v>0</v>
      </c>
      <c r="AE256" s="493">
        <f>AE244*地域経済性分析・初期条件!$O$26</f>
        <v>0</v>
      </c>
      <c r="AF256" s="493">
        <f>AF244*地域経済性分析・初期条件!$O$26</f>
        <v>0</v>
      </c>
      <c r="AG256" s="493">
        <f>AG244*地域経済性分析・初期条件!$O$26</f>
        <v>0</v>
      </c>
      <c r="AH256" s="493">
        <f>AH244*地域経済性分析・初期条件!$O$26</f>
        <v>0</v>
      </c>
      <c r="AI256" s="535">
        <f t="shared" si="246"/>
        <v>0</v>
      </c>
      <c r="AJ256" s="535">
        <f t="shared" si="250"/>
        <v>0</v>
      </c>
      <c r="AK256" s="497">
        <f t="shared" si="251"/>
        <v>0</v>
      </c>
    </row>
    <row r="257" spans="1:37" ht="11.5" x14ac:dyDescent="0.25">
      <c r="A257" s="488">
        <f>地域経済性分析・初期条件!$G$27</f>
        <v>0</v>
      </c>
      <c r="C257" s="452"/>
      <c r="D257" s="493"/>
      <c r="E257" s="493"/>
      <c r="F257" s="465"/>
      <c r="G257" s="465"/>
      <c r="H257" s="465"/>
      <c r="I257" s="465"/>
      <c r="J257" s="465"/>
      <c r="K257" s="465"/>
      <c r="L257" s="465"/>
      <c r="M257" s="465"/>
      <c r="N257" s="465"/>
      <c r="O257" s="465"/>
      <c r="P257" s="465"/>
      <c r="Q257" s="465"/>
      <c r="R257" s="465"/>
      <c r="S257" s="465"/>
      <c r="T257" s="465"/>
      <c r="U257" s="465"/>
      <c r="V257" s="465"/>
      <c r="W257" s="465"/>
      <c r="X257" s="465"/>
      <c r="Y257" s="465"/>
      <c r="Z257" s="465"/>
      <c r="AA257" s="465"/>
      <c r="AB257" s="465"/>
      <c r="AC257" s="465"/>
      <c r="AD257" s="465"/>
      <c r="AE257" s="465"/>
      <c r="AF257" s="465"/>
      <c r="AG257" s="465"/>
      <c r="AH257" s="465"/>
      <c r="AI257" s="535"/>
      <c r="AJ257" s="535"/>
      <c r="AK257" s="497"/>
    </row>
    <row r="258" spans="1:37" ht="11.5" x14ac:dyDescent="0.25">
      <c r="A258" s="533" t="str">
        <f>A257&amp;B258</f>
        <v>0売上（税別）</v>
      </c>
      <c r="B258" s="439" t="s">
        <v>1092</v>
      </c>
      <c r="C258" s="451" t="s">
        <v>37</v>
      </c>
      <c r="D258" s="493">
        <f>D228*地域経済性分析・初期条件!$F$27</f>
        <v>0</v>
      </c>
      <c r="E258" s="493">
        <f>E228*地域経済性分析・初期条件!$F$27</f>
        <v>0</v>
      </c>
      <c r="F258" s="493">
        <f>F228*地域経済性分析・初期条件!$F$27</f>
        <v>0</v>
      </c>
      <c r="G258" s="493">
        <f>G228*地域経済性分析・初期条件!$F$27</f>
        <v>0</v>
      </c>
      <c r="H258" s="493">
        <f>H228*地域経済性分析・初期条件!$F$27</f>
        <v>0</v>
      </c>
      <c r="I258" s="493">
        <f>I228*地域経済性分析・初期条件!$F$27</f>
        <v>0</v>
      </c>
      <c r="J258" s="493">
        <f>J228*地域経済性分析・初期条件!$F$27</f>
        <v>0</v>
      </c>
      <c r="K258" s="493">
        <f>K228*地域経済性分析・初期条件!$F$27</f>
        <v>0</v>
      </c>
      <c r="L258" s="493">
        <f>L228*地域経済性分析・初期条件!$F$27</f>
        <v>0</v>
      </c>
      <c r="M258" s="493">
        <f>M228*地域経済性分析・初期条件!$F$27</f>
        <v>0</v>
      </c>
      <c r="N258" s="493">
        <f>N228*地域経済性分析・初期条件!$F$27</f>
        <v>0</v>
      </c>
      <c r="O258" s="493">
        <f>O228*地域経済性分析・初期条件!$F$27</f>
        <v>0</v>
      </c>
      <c r="P258" s="493">
        <f>P228*地域経済性分析・初期条件!$F$27</f>
        <v>0</v>
      </c>
      <c r="Q258" s="493">
        <f>Q228*地域経済性分析・初期条件!$F$27</f>
        <v>0</v>
      </c>
      <c r="R258" s="493">
        <f>R228*地域経済性分析・初期条件!$F$27</f>
        <v>0</v>
      </c>
      <c r="S258" s="493">
        <f>S228*地域経済性分析・初期条件!$F$27</f>
        <v>0</v>
      </c>
      <c r="T258" s="493">
        <f>T228*地域経済性分析・初期条件!$F$27</f>
        <v>0</v>
      </c>
      <c r="U258" s="493">
        <f>U228*地域経済性分析・初期条件!$F$27</f>
        <v>0</v>
      </c>
      <c r="V258" s="493">
        <f>V228*地域経済性分析・初期条件!$F$27</f>
        <v>0</v>
      </c>
      <c r="W258" s="493">
        <f>W228*地域経済性分析・初期条件!$F$27</f>
        <v>0</v>
      </c>
      <c r="X258" s="493">
        <f>X228*地域経済性分析・初期条件!$F$27</f>
        <v>0</v>
      </c>
      <c r="Y258" s="493">
        <f>Y228*地域経済性分析・初期条件!$F$27</f>
        <v>0</v>
      </c>
      <c r="Z258" s="493">
        <f>Z228*地域経済性分析・初期条件!$F$27</f>
        <v>0</v>
      </c>
      <c r="AA258" s="493">
        <f>AA228*地域経済性分析・初期条件!$F$27</f>
        <v>0</v>
      </c>
      <c r="AB258" s="493">
        <f>AB228*地域経済性分析・初期条件!$F$27</f>
        <v>0</v>
      </c>
      <c r="AC258" s="493">
        <f>AC228*地域経済性分析・初期条件!$F$27</f>
        <v>0</v>
      </c>
      <c r="AD258" s="493">
        <f>AD228*地域経済性分析・初期条件!$F$27</f>
        <v>0</v>
      </c>
      <c r="AE258" s="493">
        <f>AE228*地域経済性分析・初期条件!$F$27</f>
        <v>0</v>
      </c>
      <c r="AF258" s="493">
        <f>AF228*地域経済性分析・初期条件!$F$27</f>
        <v>0</v>
      </c>
      <c r="AG258" s="493">
        <f>AG228*地域経済性分析・初期条件!$F$27</f>
        <v>0</v>
      </c>
      <c r="AH258" s="493">
        <f>AH228*地域経済性分析・初期条件!$F$27</f>
        <v>0</v>
      </c>
      <c r="AI258" s="535">
        <f t="shared" ref="AI258:AI270" si="252">SUM(D258:N258)</f>
        <v>0</v>
      </c>
      <c r="AJ258" s="535">
        <f>SUM(D258:X258)</f>
        <v>0</v>
      </c>
      <c r="AK258" s="497">
        <f>SUM(D258:AH258)</f>
        <v>0</v>
      </c>
    </row>
    <row r="259" spans="1:37" ht="11.5" x14ac:dyDescent="0.25">
      <c r="A259" s="533"/>
      <c r="B259" s="439" t="s">
        <v>1136</v>
      </c>
      <c r="C259" s="451" t="s">
        <v>37</v>
      </c>
      <c r="D259" s="493">
        <f>D258*波及効果シート!$D$72</f>
        <v>0</v>
      </c>
      <c r="E259" s="493">
        <f>E258*波及効果シート!$D$72</f>
        <v>0</v>
      </c>
      <c r="F259" s="493">
        <f>F258*波及効果シート!$D$72</f>
        <v>0</v>
      </c>
      <c r="G259" s="493">
        <f>G258*波及効果シート!$D$72</f>
        <v>0</v>
      </c>
      <c r="H259" s="493">
        <f>H258*波及効果シート!$D$72</f>
        <v>0</v>
      </c>
      <c r="I259" s="493">
        <f>I258*波及効果シート!$D$72</f>
        <v>0</v>
      </c>
      <c r="J259" s="493">
        <f>J258*波及効果シート!$D$72</f>
        <v>0</v>
      </c>
      <c r="K259" s="493">
        <f>K258*波及効果シート!$D$72</f>
        <v>0</v>
      </c>
      <c r="L259" s="493">
        <f>L258*波及効果シート!$D$72</f>
        <v>0</v>
      </c>
      <c r="M259" s="493">
        <f>M258*波及効果シート!$D$72</f>
        <v>0</v>
      </c>
      <c r="N259" s="493">
        <f>N258*波及効果シート!$D$72</f>
        <v>0</v>
      </c>
      <c r="O259" s="493">
        <f>O258*波及効果シート!$D$72</f>
        <v>0</v>
      </c>
      <c r="P259" s="493">
        <f>P258*波及効果シート!$D$72</f>
        <v>0</v>
      </c>
      <c r="Q259" s="493">
        <f>Q258*波及効果シート!$D$72</f>
        <v>0</v>
      </c>
      <c r="R259" s="493">
        <f>R258*波及効果シート!$D$72</f>
        <v>0</v>
      </c>
      <c r="S259" s="493">
        <f>S258*波及効果シート!$D$72</f>
        <v>0</v>
      </c>
      <c r="T259" s="493">
        <f>T258*波及効果シート!$D$72</f>
        <v>0</v>
      </c>
      <c r="U259" s="493">
        <f>U258*波及効果シート!$D$72</f>
        <v>0</v>
      </c>
      <c r="V259" s="493">
        <f>V258*波及効果シート!$D$72</f>
        <v>0</v>
      </c>
      <c r="W259" s="493">
        <f>W258*波及効果シート!$D$72</f>
        <v>0</v>
      </c>
      <c r="X259" s="493">
        <f>X258*波及効果シート!$D$72</f>
        <v>0</v>
      </c>
      <c r="Y259" s="493">
        <f>Y258*波及効果シート!$D$72</f>
        <v>0</v>
      </c>
      <c r="Z259" s="493">
        <f>Z258*波及効果シート!$D$72</f>
        <v>0</v>
      </c>
      <c r="AA259" s="493">
        <f>AA258*波及効果シート!$D$72</f>
        <v>0</v>
      </c>
      <c r="AB259" s="493">
        <f>AB258*波及効果シート!$D$72</f>
        <v>0</v>
      </c>
      <c r="AC259" s="493">
        <f>AC258*波及効果シート!$D$72</f>
        <v>0</v>
      </c>
      <c r="AD259" s="493">
        <f>AD258*波及効果シート!$D$72</f>
        <v>0</v>
      </c>
      <c r="AE259" s="493">
        <f>AE258*波及効果シート!$D$72</f>
        <v>0</v>
      </c>
      <c r="AF259" s="493">
        <f>AF258*波及効果シート!$D$72</f>
        <v>0</v>
      </c>
      <c r="AG259" s="493">
        <f>AG258*波及効果シート!$D$72</f>
        <v>0</v>
      </c>
      <c r="AH259" s="493">
        <f>AH258*波及効果シート!$D$72</f>
        <v>0</v>
      </c>
      <c r="AI259" s="535">
        <f t="shared" ref="AI259:AI260" si="253">SUM(D259:N259)</f>
        <v>0</v>
      </c>
      <c r="AJ259" s="535">
        <f t="shared" ref="AJ259:AJ260" si="254">SUM(D259:X259)</f>
        <v>0</v>
      </c>
      <c r="AK259" s="497">
        <f t="shared" ref="AK259:AK260" si="255">SUM(D259:AH259)</f>
        <v>0</v>
      </c>
    </row>
    <row r="260" spans="1:37" ht="11.5" x14ac:dyDescent="0.25">
      <c r="A260" s="533"/>
      <c r="B260" s="439" t="s">
        <v>1137</v>
      </c>
      <c r="C260" s="452" t="s">
        <v>37</v>
      </c>
      <c r="D260" s="493">
        <f>D258*波及効果シート!$D$74</f>
        <v>0</v>
      </c>
      <c r="E260" s="493">
        <f>E258*波及効果シート!$D$74</f>
        <v>0</v>
      </c>
      <c r="F260" s="493">
        <f>F258*波及効果シート!$D$74</f>
        <v>0</v>
      </c>
      <c r="G260" s="493">
        <f>G258*波及効果シート!$D$74</f>
        <v>0</v>
      </c>
      <c r="H260" s="493">
        <f>H258*波及効果シート!$D$74</f>
        <v>0</v>
      </c>
      <c r="I260" s="493">
        <f>I258*波及効果シート!$D$74</f>
        <v>0</v>
      </c>
      <c r="J260" s="493">
        <f>J258*波及効果シート!$D$74</f>
        <v>0</v>
      </c>
      <c r="K260" s="493">
        <f>K258*波及効果シート!$D$74</f>
        <v>0</v>
      </c>
      <c r="L260" s="493">
        <f>L258*波及効果シート!$D$74</f>
        <v>0</v>
      </c>
      <c r="M260" s="493">
        <f>M258*波及効果シート!$D$74</f>
        <v>0</v>
      </c>
      <c r="N260" s="493">
        <f>N258*波及効果シート!$D$74</f>
        <v>0</v>
      </c>
      <c r="O260" s="493">
        <f>O258*波及効果シート!$D$74</f>
        <v>0</v>
      </c>
      <c r="P260" s="493">
        <f>P258*波及効果シート!$D$74</f>
        <v>0</v>
      </c>
      <c r="Q260" s="493">
        <f>Q258*波及効果シート!$D$74</f>
        <v>0</v>
      </c>
      <c r="R260" s="493">
        <f>R258*波及効果シート!$D$74</f>
        <v>0</v>
      </c>
      <c r="S260" s="493">
        <f>S258*波及効果シート!$D$74</f>
        <v>0</v>
      </c>
      <c r="T260" s="493">
        <f>T258*波及効果シート!$D$74</f>
        <v>0</v>
      </c>
      <c r="U260" s="493">
        <f>U258*波及効果シート!$D$74</f>
        <v>0</v>
      </c>
      <c r="V260" s="493">
        <f>V258*波及効果シート!$D$74</f>
        <v>0</v>
      </c>
      <c r="W260" s="493">
        <f>W258*波及効果シート!$D$74</f>
        <v>0</v>
      </c>
      <c r="X260" s="493">
        <f>X258*波及効果シート!$D$74</f>
        <v>0</v>
      </c>
      <c r="Y260" s="493">
        <f>Y258*波及効果シート!$D$74</f>
        <v>0</v>
      </c>
      <c r="Z260" s="493">
        <f>Z258*波及効果シート!$D$74</f>
        <v>0</v>
      </c>
      <c r="AA260" s="493">
        <f>AA258*波及効果シート!$D$74</f>
        <v>0</v>
      </c>
      <c r="AB260" s="493">
        <f>AB258*波及効果シート!$D$74</f>
        <v>0</v>
      </c>
      <c r="AC260" s="493">
        <f>AC258*波及効果シート!$D$74</f>
        <v>0</v>
      </c>
      <c r="AD260" s="493">
        <f>AD258*波及効果シート!$D$74</f>
        <v>0</v>
      </c>
      <c r="AE260" s="493">
        <f>AE258*波及効果シート!$D$74</f>
        <v>0</v>
      </c>
      <c r="AF260" s="493">
        <f>AF258*波及効果シート!$D$74</f>
        <v>0</v>
      </c>
      <c r="AG260" s="493">
        <f>AG258*波及効果シート!$D$74</f>
        <v>0</v>
      </c>
      <c r="AH260" s="493">
        <f>AH258*波及効果シート!$D$74</f>
        <v>0</v>
      </c>
      <c r="AI260" s="535">
        <f t="shared" si="253"/>
        <v>0</v>
      </c>
      <c r="AJ260" s="535">
        <f t="shared" si="254"/>
        <v>0</v>
      </c>
      <c r="AK260" s="497">
        <f t="shared" si="255"/>
        <v>0</v>
      </c>
    </row>
    <row r="261" spans="1:37" ht="11.5" x14ac:dyDescent="0.25">
      <c r="A261" s="533" t="str">
        <f>A257&amp;B261</f>
        <v>0所得税（国税）</v>
      </c>
      <c r="B261" s="439" t="s">
        <v>351</v>
      </c>
      <c r="C261" s="452" t="s">
        <v>37</v>
      </c>
      <c r="D261" s="493">
        <f>D258*地域経済性分析・初期条件!$P$27</f>
        <v>0</v>
      </c>
      <c r="E261" s="493">
        <f>E258*地域経済性分析・初期条件!$P$27</f>
        <v>0</v>
      </c>
      <c r="F261" s="493">
        <f>F258*地域経済性分析・初期条件!$P$27</f>
        <v>0</v>
      </c>
      <c r="G261" s="493">
        <f>G258*地域経済性分析・初期条件!$P$27</f>
        <v>0</v>
      </c>
      <c r="H261" s="493">
        <f>H258*地域経済性分析・初期条件!$P$27</f>
        <v>0</v>
      </c>
      <c r="I261" s="493">
        <f>I258*地域経済性分析・初期条件!$P$27</f>
        <v>0</v>
      </c>
      <c r="J261" s="493">
        <f>J258*地域経済性分析・初期条件!$P$27</f>
        <v>0</v>
      </c>
      <c r="K261" s="493">
        <f>K258*地域経済性分析・初期条件!$P$27</f>
        <v>0</v>
      </c>
      <c r="L261" s="493">
        <f>L258*地域経済性分析・初期条件!$P$27</f>
        <v>0</v>
      </c>
      <c r="M261" s="493">
        <f>M258*地域経済性分析・初期条件!$P$27</f>
        <v>0</v>
      </c>
      <c r="N261" s="493">
        <f>N258*地域経済性分析・初期条件!$P$27</f>
        <v>0</v>
      </c>
      <c r="O261" s="493">
        <f>O258*地域経済性分析・初期条件!$P$27</f>
        <v>0</v>
      </c>
      <c r="P261" s="493">
        <f>P258*地域経済性分析・初期条件!$P$27</f>
        <v>0</v>
      </c>
      <c r="Q261" s="493">
        <f>Q258*地域経済性分析・初期条件!$P$27</f>
        <v>0</v>
      </c>
      <c r="R261" s="493">
        <f>R258*地域経済性分析・初期条件!$P$27</f>
        <v>0</v>
      </c>
      <c r="S261" s="493">
        <f>S258*地域経済性分析・初期条件!$P$27</f>
        <v>0</v>
      </c>
      <c r="T261" s="493">
        <f>T258*地域経済性分析・初期条件!$P$27</f>
        <v>0</v>
      </c>
      <c r="U261" s="493">
        <f>U258*地域経済性分析・初期条件!$P$27</f>
        <v>0</v>
      </c>
      <c r="V261" s="493">
        <f>V258*地域経済性分析・初期条件!$P$27</f>
        <v>0</v>
      </c>
      <c r="W261" s="493">
        <f>W258*地域経済性分析・初期条件!$P$27</f>
        <v>0</v>
      </c>
      <c r="X261" s="493">
        <f>X258*地域経済性分析・初期条件!$P$27</f>
        <v>0</v>
      </c>
      <c r="Y261" s="493">
        <f>Y258*地域経済性分析・初期条件!$P$27</f>
        <v>0</v>
      </c>
      <c r="Z261" s="493">
        <f>Z258*地域経済性分析・初期条件!$P$27</f>
        <v>0</v>
      </c>
      <c r="AA261" s="493">
        <f>AA258*地域経済性分析・初期条件!$P$27</f>
        <v>0</v>
      </c>
      <c r="AB261" s="493">
        <f>AB258*地域経済性分析・初期条件!$P$27</f>
        <v>0</v>
      </c>
      <c r="AC261" s="493">
        <f>AC258*地域経済性分析・初期条件!$P$27</f>
        <v>0</v>
      </c>
      <c r="AD261" s="493">
        <f>AD258*地域経済性分析・初期条件!$P$27</f>
        <v>0</v>
      </c>
      <c r="AE261" s="493">
        <f>AE258*地域経済性分析・初期条件!$P$27</f>
        <v>0</v>
      </c>
      <c r="AF261" s="493">
        <f>AF258*地域経済性分析・初期条件!$P$27</f>
        <v>0</v>
      </c>
      <c r="AG261" s="493">
        <f>AG258*地域経済性分析・初期条件!$P$27</f>
        <v>0</v>
      </c>
      <c r="AH261" s="493">
        <f>AH258*地域経済性分析・初期条件!$P$27</f>
        <v>0</v>
      </c>
      <c r="AI261" s="535">
        <f t="shared" si="252"/>
        <v>0</v>
      </c>
      <c r="AJ261" s="535">
        <f t="shared" ref="AJ261:AJ270" si="256">SUM(D261:X261)</f>
        <v>0</v>
      </c>
      <c r="AK261" s="497">
        <f t="shared" ref="AK261:AK270" si="257">SUM(D261:AH261)</f>
        <v>0</v>
      </c>
    </row>
    <row r="262" spans="1:37" ht="11.5" x14ac:dyDescent="0.25">
      <c r="A262" s="533" t="str">
        <f>A257&amp;B262</f>
        <v>0法人税（国税）</v>
      </c>
      <c r="B262" s="439" t="s">
        <v>350</v>
      </c>
      <c r="C262" s="452" t="s">
        <v>37</v>
      </c>
      <c r="D262" s="493">
        <f>D258*地域経済性分析・初期条件!$Q$27</f>
        <v>0</v>
      </c>
      <c r="E262" s="493">
        <f>E258*地域経済性分析・初期条件!$Q$27</f>
        <v>0</v>
      </c>
      <c r="F262" s="493">
        <f>F258*地域経済性分析・初期条件!$Q$27</f>
        <v>0</v>
      </c>
      <c r="G262" s="493">
        <f>G258*地域経済性分析・初期条件!$Q$27</f>
        <v>0</v>
      </c>
      <c r="H262" s="493">
        <f>H258*地域経済性分析・初期条件!$Q$27</f>
        <v>0</v>
      </c>
      <c r="I262" s="493">
        <f>I258*地域経済性分析・初期条件!$Q$27</f>
        <v>0</v>
      </c>
      <c r="J262" s="493">
        <f>J258*地域経済性分析・初期条件!$Q$27</f>
        <v>0</v>
      </c>
      <c r="K262" s="493">
        <f>K258*地域経済性分析・初期条件!$Q$27</f>
        <v>0</v>
      </c>
      <c r="L262" s="493">
        <f>L258*地域経済性分析・初期条件!$Q$27</f>
        <v>0</v>
      </c>
      <c r="M262" s="493">
        <f>M258*地域経済性分析・初期条件!$Q$27</f>
        <v>0</v>
      </c>
      <c r="N262" s="493">
        <f>N258*地域経済性分析・初期条件!$Q$27</f>
        <v>0</v>
      </c>
      <c r="O262" s="493">
        <f>O258*地域経済性分析・初期条件!$Q$27</f>
        <v>0</v>
      </c>
      <c r="P262" s="493">
        <f>P258*地域経済性分析・初期条件!$Q$27</f>
        <v>0</v>
      </c>
      <c r="Q262" s="493">
        <f>Q258*地域経済性分析・初期条件!$Q$27</f>
        <v>0</v>
      </c>
      <c r="R262" s="493">
        <f>R258*地域経済性分析・初期条件!$Q$27</f>
        <v>0</v>
      </c>
      <c r="S262" s="493">
        <f>S258*地域経済性分析・初期条件!$Q$27</f>
        <v>0</v>
      </c>
      <c r="T262" s="493">
        <f>T258*地域経済性分析・初期条件!$Q$27</f>
        <v>0</v>
      </c>
      <c r="U262" s="493">
        <f>U258*地域経済性分析・初期条件!$Q$27</f>
        <v>0</v>
      </c>
      <c r="V262" s="493">
        <f>V258*地域経済性分析・初期条件!$Q$27</f>
        <v>0</v>
      </c>
      <c r="W262" s="493">
        <f>W258*地域経済性分析・初期条件!$Q$27</f>
        <v>0</v>
      </c>
      <c r="X262" s="493">
        <f>X258*地域経済性分析・初期条件!$Q$27</f>
        <v>0</v>
      </c>
      <c r="Y262" s="493">
        <f>Y258*地域経済性分析・初期条件!$Q$27</f>
        <v>0</v>
      </c>
      <c r="Z262" s="493">
        <f>Z258*地域経済性分析・初期条件!$Q$27</f>
        <v>0</v>
      </c>
      <c r="AA262" s="493">
        <f>AA258*地域経済性分析・初期条件!$Q$27</f>
        <v>0</v>
      </c>
      <c r="AB262" s="493">
        <f>AB258*地域経済性分析・初期条件!$Q$27</f>
        <v>0</v>
      </c>
      <c r="AC262" s="493">
        <f>AC258*地域経済性分析・初期条件!$Q$27</f>
        <v>0</v>
      </c>
      <c r="AD262" s="493">
        <f>AD258*地域経済性分析・初期条件!$Q$27</f>
        <v>0</v>
      </c>
      <c r="AE262" s="493">
        <f>AE258*地域経済性分析・初期条件!$Q$27</f>
        <v>0</v>
      </c>
      <c r="AF262" s="493">
        <f>AF258*地域経済性分析・初期条件!$Q$27</f>
        <v>0</v>
      </c>
      <c r="AG262" s="493">
        <f>AG258*地域経済性分析・初期条件!$Q$27</f>
        <v>0</v>
      </c>
      <c r="AH262" s="493">
        <f>AH258*地域経済性分析・初期条件!$Q$27</f>
        <v>0</v>
      </c>
      <c r="AI262" s="535">
        <f t="shared" si="252"/>
        <v>0</v>
      </c>
      <c r="AJ262" s="535">
        <f t="shared" si="256"/>
        <v>0</v>
      </c>
      <c r="AK262" s="497">
        <f t="shared" si="257"/>
        <v>0</v>
      </c>
    </row>
    <row r="263" spans="1:37" ht="11.5" x14ac:dyDescent="0.25">
      <c r="A263" s="533" t="str">
        <f>A257&amp;B263</f>
        <v>0従業員の可処分所得（一次）</v>
      </c>
      <c r="B263" s="439" t="s">
        <v>329</v>
      </c>
      <c r="C263" s="451" t="s">
        <v>37</v>
      </c>
      <c r="D263" s="493">
        <f>D258*地域経済性分析・初期条件!$H$27</f>
        <v>0</v>
      </c>
      <c r="E263" s="493">
        <f>E258*地域経済性分析・初期条件!$H$27</f>
        <v>0</v>
      </c>
      <c r="F263" s="465">
        <f>F258*地域経済性分析・初期条件!$H$27</f>
        <v>0</v>
      </c>
      <c r="G263" s="465">
        <f>G258*地域経済性分析・初期条件!$H$27</f>
        <v>0</v>
      </c>
      <c r="H263" s="465">
        <f>H258*地域経済性分析・初期条件!$H$27</f>
        <v>0</v>
      </c>
      <c r="I263" s="465">
        <f>I258*地域経済性分析・初期条件!$H$27</f>
        <v>0</v>
      </c>
      <c r="J263" s="465">
        <f>J258*地域経済性分析・初期条件!$H$27</f>
        <v>0</v>
      </c>
      <c r="K263" s="465">
        <f>K258*地域経済性分析・初期条件!$H$27</f>
        <v>0</v>
      </c>
      <c r="L263" s="465">
        <f>L258*地域経済性分析・初期条件!$H$27</f>
        <v>0</v>
      </c>
      <c r="M263" s="465">
        <f>M258*地域経済性分析・初期条件!$H$27</f>
        <v>0</v>
      </c>
      <c r="N263" s="465">
        <f>N258*地域経済性分析・初期条件!$H$27</f>
        <v>0</v>
      </c>
      <c r="O263" s="465">
        <f>O258*地域経済性分析・初期条件!$H$27</f>
        <v>0</v>
      </c>
      <c r="P263" s="465">
        <f>P258*地域経済性分析・初期条件!$H$27</f>
        <v>0</v>
      </c>
      <c r="Q263" s="465">
        <f>Q258*地域経済性分析・初期条件!$H$27</f>
        <v>0</v>
      </c>
      <c r="R263" s="465">
        <f>R258*地域経済性分析・初期条件!$H$27</f>
        <v>0</v>
      </c>
      <c r="S263" s="465">
        <f>S258*地域経済性分析・初期条件!$H$27</f>
        <v>0</v>
      </c>
      <c r="T263" s="465">
        <f>T258*地域経済性分析・初期条件!$H$27</f>
        <v>0</v>
      </c>
      <c r="U263" s="465">
        <f>U258*地域経済性分析・初期条件!$H$27</f>
        <v>0</v>
      </c>
      <c r="V263" s="465">
        <f>V258*地域経済性分析・初期条件!$H$27</f>
        <v>0</v>
      </c>
      <c r="W263" s="465">
        <f>W258*地域経済性分析・初期条件!$H$27</f>
        <v>0</v>
      </c>
      <c r="X263" s="465">
        <f>X258*地域経済性分析・初期条件!$H$27</f>
        <v>0</v>
      </c>
      <c r="Y263" s="465">
        <f>Y258*地域経済性分析・初期条件!$H$27</f>
        <v>0</v>
      </c>
      <c r="Z263" s="465">
        <f>Z258*地域経済性分析・初期条件!$H$27</f>
        <v>0</v>
      </c>
      <c r="AA263" s="465">
        <f>AA258*地域経済性分析・初期条件!$H$27</f>
        <v>0</v>
      </c>
      <c r="AB263" s="465">
        <f>AB258*地域経済性分析・初期条件!$H$27</f>
        <v>0</v>
      </c>
      <c r="AC263" s="465">
        <f>AC258*地域経済性分析・初期条件!$H$27</f>
        <v>0</v>
      </c>
      <c r="AD263" s="465">
        <f>AD258*地域経済性分析・初期条件!$H$27</f>
        <v>0</v>
      </c>
      <c r="AE263" s="465">
        <f>AE258*地域経済性分析・初期条件!$H$27</f>
        <v>0</v>
      </c>
      <c r="AF263" s="465">
        <f>AF258*地域経済性分析・初期条件!$H$27</f>
        <v>0</v>
      </c>
      <c r="AG263" s="465">
        <f>AG258*地域経済性分析・初期条件!$H$27</f>
        <v>0</v>
      </c>
      <c r="AH263" s="465">
        <f>AH258*地域経済性分析・初期条件!$H$27</f>
        <v>0</v>
      </c>
      <c r="AI263" s="535">
        <f t="shared" si="252"/>
        <v>0</v>
      </c>
      <c r="AJ263" s="535">
        <f t="shared" si="256"/>
        <v>0</v>
      </c>
      <c r="AK263" s="497">
        <f t="shared" si="257"/>
        <v>0</v>
      </c>
    </row>
    <row r="264" spans="1:37" ht="11.5" x14ac:dyDescent="0.25">
      <c r="A264" s="533" t="str">
        <f>A257&amp;B264</f>
        <v>0企業の税引後利益（一次）</v>
      </c>
      <c r="B264" s="439" t="s">
        <v>330</v>
      </c>
      <c r="C264" s="451" t="s">
        <v>37</v>
      </c>
      <c r="D264" s="493">
        <f>D258*地域経済性分析・初期条件!$I$27</f>
        <v>0</v>
      </c>
      <c r="E264" s="493">
        <f>E258*地域経済性分析・初期条件!$I$27</f>
        <v>0</v>
      </c>
      <c r="F264" s="465">
        <f>F258*地域経済性分析・初期条件!$I$27</f>
        <v>0</v>
      </c>
      <c r="G264" s="465">
        <f>G258*地域経済性分析・初期条件!$I$27</f>
        <v>0</v>
      </c>
      <c r="H264" s="465">
        <f>H258*地域経済性分析・初期条件!$I$27</f>
        <v>0</v>
      </c>
      <c r="I264" s="465">
        <f>I258*地域経済性分析・初期条件!$I$27</f>
        <v>0</v>
      </c>
      <c r="J264" s="465">
        <f>J258*地域経済性分析・初期条件!$I$27</f>
        <v>0</v>
      </c>
      <c r="K264" s="465">
        <f>K258*地域経済性分析・初期条件!$I$27</f>
        <v>0</v>
      </c>
      <c r="L264" s="465">
        <f>L258*地域経済性分析・初期条件!$I$27</f>
        <v>0</v>
      </c>
      <c r="M264" s="465">
        <f>M258*地域経済性分析・初期条件!$I$27</f>
        <v>0</v>
      </c>
      <c r="N264" s="465">
        <f>N258*地域経済性分析・初期条件!$I$27</f>
        <v>0</v>
      </c>
      <c r="O264" s="465">
        <f>O258*地域経済性分析・初期条件!$I$27</f>
        <v>0</v>
      </c>
      <c r="P264" s="465">
        <f>P258*地域経済性分析・初期条件!$I$27</f>
        <v>0</v>
      </c>
      <c r="Q264" s="465">
        <f>Q258*地域経済性分析・初期条件!$I$27</f>
        <v>0</v>
      </c>
      <c r="R264" s="465">
        <f>R258*地域経済性分析・初期条件!$I$27</f>
        <v>0</v>
      </c>
      <c r="S264" s="465">
        <f>S258*地域経済性分析・初期条件!$I$27</f>
        <v>0</v>
      </c>
      <c r="T264" s="465">
        <f>T258*地域経済性分析・初期条件!$I$27</f>
        <v>0</v>
      </c>
      <c r="U264" s="465">
        <f>U258*地域経済性分析・初期条件!$I$27</f>
        <v>0</v>
      </c>
      <c r="V264" s="465">
        <f>V258*地域経済性分析・初期条件!$I$27</f>
        <v>0</v>
      </c>
      <c r="W264" s="465">
        <f>W258*地域経済性分析・初期条件!$I$27</f>
        <v>0</v>
      </c>
      <c r="X264" s="465">
        <f>X258*地域経済性分析・初期条件!$I$27</f>
        <v>0</v>
      </c>
      <c r="Y264" s="465">
        <f>Y258*地域経済性分析・初期条件!$I$27</f>
        <v>0</v>
      </c>
      <c r="Z264" s="465">
        <f>Z258*地域経済性分析・初期条件!$I$27</f>
        <v>0</v>
      </c>
      <c r="AA264" s="465">
        <f>AA258*地域経済性分析・初期条件!$I$27</f>
        <v>0</v>
      </c>
      <c r="AB264" s="465">
        <f>AB258*地域経済性分析・初期条件!$I$27</f>
        <v>0</v>
      </c>
      <c r="AC264" s="465">
        <f>AC258*地域経済性分析・初期条件!$I$27</f>
        <v>0</v>
      </c>
      <c r="AD264" s="465">
        <f>AD258*地域経済性分析・初期条件!$I$27</f>
        <v>0</v>
      </c>
      <c r="AE264" s="465">
        <f>AE258*地域経済性分析・初期条件!$I$27</f>
        <v>0</v>
      </c>
      <c r="AF264" s="465">
        <f>AF258*地域経済性分析・初期条件!$I$27</f>
        <v>0</v>
      </c>
      <c r="AG264" s="465">
        <f>AG258*地域経済性分析・初期条件!$I$27</f>
        <v>0</v>
      </c>
      <c r="AH264" s="465">
        <f>AH258*地域経済性分析・初期条件!$I$27</f>
        <v>0</v>
      </c>
      <c r="AI264" s="535">
        <f t="shared" si="252"/>
        <v>0</v>
      </c>
      <c r="AJ264" s="535">
        <f t="shared" si="256"/>
        <v>0</v>
      </c>
      <c r="AK264" s="497">
        <f t="shared" si="257"/>
        <v>0</v>
      </c>
    </row>
    <row r="265" spans="1:37" ht="11.5" x14ac:dyDescent="0.25">
      <c r="A265" s="533" t="str">
        <f>A257&amp;B265</f>
        <v>0都道府県税収（一次）</v>
      </c>
      <c r="B265" s="439" t="s">
        <v>331</v>
      </c>
      <c r="C265" s="451" t="s">
        <v>37</v>
      </c>
      <c r="D265" s="493">
        <f>D258*地域経済性分析・初期条件!$J$27</f>
        <v>0</v>
      </c>
      <c r="E265" s="493">
        <f>E258*地域経済性分析・初期条件!$J$27</f>
        <v>0</v>
      </c>
      <c r="F265" s="465">
        <f>F258*地域経済性分析・初期条件!$J$27</f>
        <v>0</v>
      </c>
      <c r="G265" s="465">
        <f>G258*地域経済性分析・初期条件!$J$27</f>
        <v>0</v>
      </c>
      <c r="H265" s="465">
        <f>H258*地域経済性分析・初期条件!$J$27</f>
        <v>0</v>
      </c>
      <c r="I265" s="465">
        <f>I258*地域経済性分析・初期条件!$J$27</f>
        <v>0</v>
      </c>
      <c r="J265" s="465">
        <f>J258*地域経済性分析・初期条件!$J$27</f>
        <v>0</v>
      </c>
      <c r="K265" s="465">
        <f>K258*地域経済性分析・初期条件!$J$27</f>
        <v>0</v>
      </c>
      <c r="L265" s="465">
        <f>L258*地域経済性分析・初期条件!$J$27</f>
        <v>0</v>
      </c>
      <c r="M265" s="465">
        <f>M258*地域経済性分析・初期条件!$J$27</f>
        <v>0</v>
      </c>
      <c r="N265" s="465">
        <f>N258*地域経済性分析・初期条件!$J$27</f>
        <v>0</v>
      </c>
      <c r="O265" s="465">
        <f>O258*地域経済性分析・初期条件!$J$27</f>
        <v>0</v>
      </c>
      <c r="P265" s="465">
        <f>P258*地域経済性分析・初期条件!$J$27</f>
        <v>0</v>
      </c>
      <c r="Q265" s="465">
        <f>Q258*地域経済性分析・初期条件!$J$27</f>
        <v>0</v>
      </c>
      <c r="R265" s="465">
        <f>R258*地域経済性分析・初期条件!$J$27</f>
        <v>0</v>
      </c>
      <c r="S265" s="465">
        <f>S258*地域経済性分析・初期条件!$J$27</f>
        <v>0</v>
      </c>
      <c r="T265" s="465">
        <f>T258*地域経済性分析・初期条件!$J$27</f>
        <v>0</v>
      </c>
      <c r="U265" s="465">
        <f>U258*地域経済性分析・初期条件!$J$27</f>
        <v>0</v>
      </c>
      <c r="V265" s="465">
        <f>V258*地域経済性分析・初期条件!$J$27</f>
        <v>0</v>
      </c>
      <c r="W265" s="465">
        <f>W258*地域経済性分析・初期条件!$J$27</f>
        <v>0</v>
      </c>
      <c r="X265" s="465">
        <f>X258*地域経済性分析・初期条件!$J$27</f>
        <v>0</v>
      </c>
      <c r="Y265" s="465">
        <f>Y258*地域経済性分析・初期条件!$J$27</f>
        <v>0</v>
      </c>
      <c r="Z265" s="465">
        <f>Z258*地域経済性分析・初期条件!$J$27</f>
        <v>0</v>
      </c>
      <c r="AA265" s="465">
        <f>AA258*地域経済性分析・初期条件!$J$27</f>
        <v>0</v>
      </c>
      <c r="AB265" s="465">
        <f>AB258*地域経済性分析・初期条件!$J$27</f>
        <v>0</v>
      </c>
      <c r="AC265" s="465">
        <f>AC258*地域経済性分析・初期条件!$J$27</f>
        <v>0</v>
      </c>
      <c r="AD265" s="465">
        <f>AD258*地域経済性分析・初期条件!$J$27</f>
        <v>0</v>
      </c>
      <c r="AE265" s="465">
        <f>AE258*地域経済性分析・初期条件!$J$27</f>
        <v>0</v>
      </c>
      <c r="AF265" s="465">
        <f>AF258*地域経済性分析・初期条件!$J$27</f>
        <v>0</v>
      </c>
      <c r="AG265" s="465">
        <f>AG258*地域経済性分析・初期条件!$J$27</f>
        <v>0</v>
      </c>
      <c r="AH265" s="465">
        <f>AH258*地域経済性分析・初期条件!$J$27</f>
        <v>0</v>
      </c>
      <c r="AI265" s="535">
        <f t="shared" si="252"/>
        <v>0</v>
      </c>
      <c r="AJ265" s="535">
        <f t="shared" si="256"/>
        <v>0</v>
      </c>
      <c r="AK265" s="497">
        <f t="shared" si="257"/>
        <v>0</v>
      </c>
    </row>
    <row r="266" spans="1:37" ht="11.5" x14ac:dyDescent="0.25">
      <c r="A266" s="533" t="str">
        <f>A257&amp;B266</f>
        <v>0市町村税収（一次）</v>
      </c>
      <c r="B266" s="439" t="s">
        <v>332</v>
      </c>
      <c r="C266" s="452" t="s">
        <v>37</v>
      </c>
      <c r="D266" s="493">
        <f>D258*地域経済性分析・初期条件!$K$27</f>
        <v>0</v>
      </c>
      <c r="E266" s="465">
        <f>E258*地域経済性分析・初期条件!$K$27</f>
        <v>0</v>
      </c>
      <c r="F266" s="465">
        <f>F258*地域経済性分析・初期条件!$K$27</f>
        <v>0</v>
      </c>
      <c r="G266" s="465">
        <f>G258*地域経済性分析・初期条件!$K$27</f>
        <v>0</v>
      </c>
      <c r="H266" s="465">
        <f>H258*地域経済性分析・初期条件!$K$27</f>
        <v>0</v>
      </c>
      <c r="I266" s="465">
        <f>I258*地域経済性分析・初期条件!$K$27</f>
        <v>0</v>
      </c>
      <c r="J266" s="465">
        <f>J258*地域経済性分析・初期条件!$K$27</f>
        <v>0</v>
      </c>
      <c r="K266" s="465">
        <f>K258*地域経済性分析・初期条件!$K$27</f>
        <v>0</v>
      </c>
      <c r="L266" s="465">
        <f>L258*地域経済性分析・初期条件!$K$27</f>
        <v>0</v>
      </c>
      <c r="M266" s="465">
        <f>M258*地域経済性分析・初期条件!$K$27</f>
        <v>0</v>
      </c>
      <c r="N266" s="465">
        <f>N258*地域経済性分析・初期条件!$K$27</f>
        <v>0</v>
      </c>
      <c r="O266" s="465">
        <f>O258*地域経済性分析・初期条件!$K$27</f>
        <v>0</v>
      </c>
      <c r="P266" s="465">
        <f>P258*地域経済性分析・初期条件!$K$27</f>
        <v>0</v>
      </c>
      <c r="Q266" s="465">
        <f>Q258*地域経済性分析・初期条件!$K$27</f>
        <v>0</v>
      </c>
      <c r="R266" s="465">
        <f>R258*地域経済性分析・初期条件!$K$27</f>
        <v>0</v>
      </c>
      <c r="S266" s="465">
        <f>S258*地域経済性分析・初期条件!$K$27</f>
        <v>0</v>
      </c>
      <c r="T266" s="465">
        <f>T258*地域経済性分析・初期条件!$K$27</f>
        <v>0</v>
      </c>
      <c r="U266" s="465">
        <f>U258*地域経済性分析・初期条件!$K$27</f>
        <v>0</v>
      </c>
      <c r="V266" s="465">
        <f>V258*地域経済性分析・初期条件!$K$27</f>
        <v>0</v>
      </c>
      <c r="W266" s="465">
        <f>W258*地域経済性分析・初期条件!$K$27</f>
        <v>0</v>
      </c>
      <c r="X266" s="465">
        <f>X258*地域経済性分析・初期条件!$K$27</f>
        <v>0</v>
      </c>
      <c r="Y266" s="465">
        <f>Y258*地域経済性分析・初期条件!$K$27</f>
        <v>0</v>
      </c>
      <c r="Z266" s="465">
        <f>Z258*地域経済性分析・初期条件!$K$27</f>
        <v>0</v>
      </c>
      <c r="AA266" s="465">
        <f>AA258*地域経済性分析・初期条件!$K$27</f>
        <v>0</v>
      </c>
      <c r="AB266" s="465">
        <f>AB258*地域経済性分析・初期条件!$K$27</f>
        <v>0</v>
      </c>
      <c r="AC266" s="465">
        <f>AC258*地域経済性分析・初期条件!$K$27</f>
        <v>0</v>
      </c>
      <c r="AD266" s="465">
        <f>AD258*地域経済性分析・初期条件!$K$27</f>
        <v>0</v>
      </c>
      <c r="AE266" s="465">
        <f>AE258*地域経済性分析・初期条件!$K$27</f>
        <v>0</v>
      </c>
      <c r="AF266" s="465">
        <f>AF258*地域経済性分析・初期条件!$K$27</f>
        <v>0</v>
      </c>
      <c r="AG266" s="465">
        <f>AG258*地域経済性分析・初期条件!$K$27</f>
        <v>0</v>
      </c>
      <c r="AH266" s="465">
        <f>AH258*地域経済性分析・初期条件!$K$27</f>
        <v>0</v>
      </c>
      <c r="AI266" s="535">
        <f t="shared" si="252"/>
        <v>0</v>
      </c>
      <c r="AJ266" s="535">
        <f t="shared" si="256"/>
        <v>0</v>
      </c>
      <c r="AK266" s="497">
        <f t="shared" si="257"/>
        <v>0</v>
      </c>
    </row>
    <row r="267" spans="1:37" ht="11.5" x14ac:dyDescent="0.25">
      <c r="A267" s="533" t="str">
        <f>A257&amp;B267</f>
        <v>0従業員の可処分所得（二次以降）</v>
      </c>
      <c r="B267" s="439" t="s">
        <v>334</v>
      </c>
      <c r="C267" s="452" t="s">
        <v>37</v>
      </c>
      <c r="D267" s="493">
        <f>D258*地域経済性分析・初期条件!$L$27</f>
        <v>0</v>
      </c>
      <c r="E267" s="465">
        <f>E258*地域経済性分析・初期条件!$L$27</f>
        <v>0</v>
      </c>
      <c r="F267" s="465">
        <f>F258*地域経済性分析・初期条件!$L$27</f>
        <v>0</v>
      </c>
      <c r="G267" s="465">
        <f>G258*地域経済性分析・初期条件!$L$27</f>
        <v>0</v>
      </c>
      <c r="H267" s="465">
        <f>H258*地域経済性分析・初期条件!$L$27</f>
        <v>0</v>
      </c>
      <c r="I267" s="465">
        <f>I258*地域経済性分析・初期条件!$L$27</f>
        <v>0</v>
      </c>
      <c r="J267" s="465">
        <f>J258*地域経済性分析・初期条件!$L$27</f>
        <v>0</v>
      </c>
      <c r="K267" s="465">
        <f>K258*地域経済性分析・初期条件!$L$27</f>
        <v>0</v>
      </c>
      <c r="L267" s="465">
        <f>L258*地域経済性分析・初期条件!$L$27</f>
        <v>0</v>
      </c>
      <c r="M267" s="465">
        <f>M258*地域経済性分析・初期条件!$L$27</f>
        <v>0</v>
      </c>
      <c r="N267" s="465">
        <f>N258*地域経済性分析・初期条件!$L$27</f>
        <v>0</v>
      </c>
      <c r="O267" s="465">
        <f>O258*地域経済性分析・初期条件!$L$27</f>
        <v>0</v>
      </c>
      <c r="P267" s="465">
        <f>P258*地域経済性分析・初期条件!$L$27</f>
        <v>0</v>
      </c>
      <c r="Q267" s="465">
        <f>Q258*地域経済性分析・初期条件!$L$27</f>
        <v>0</v>
      </c>
      <c r="R267" s="465">
        <f>R258*地域経済性分析・初期条件!$L$27</f>
        <v>0</v>
      </c>
      <c r="S267" s="465">
        <f>S258*地域経済性分析・初期条件!$L$27</f>
        <v>0</v>
      </c>
      <c r="T267" s="465">
        <f>T258*地域経済性分析・初期条件!$L$27</f>
        <v>0</v>
      </c>
      <c r="U267" s="465">
        <f>U258*地域経済性分析・初期条件!$L$27</f>
        <v>0</v>
      </c>
      <c r="V267" s="465">
        <f>V258*地域経済性分析・初期条件!$L$27</f>
        <v>0</v>
      </c>
      <c r="W267" s="465">
        <f>W258*地域経済性分析・初期条件!$L$27</f>
        <v>0</v>
      </c>
      <c r="X267" s="465">
        <f>X258*地域経済性分析・初期条件!$L$27</f>
        <v>0</v>
      </c>
      <c r="Y267" s="465">
        <f>Y258*地域経済性分析・初期条件!$L$27</f>
        <v>0</v>
      </c>
      <c r="Z267" s="465">
        <f>Z258*地域経済性分析・初期条件!$L$27</f>
        <v>0</v>
      </c>
      <c r="AA267" s="465">
        <f>AA258*地域経済性分析・初期条件!$L$27</f>
        <v>0</v>
      </c>
      <c r="AB267" s="465">
        <f>AB258*地域経済性分析・初期条件!$L$27</f>
        <v>0</v>
      </c>
      <c r="AC267" s="465">
        <f>AC258*地域経済性分析・初期条件!$L$27</f>
        <v>0</v>
      </c>
      <c r="AD267" s="465">
        <f>AD258*地域経済性分析・初期条件!$L$27</f>
        <v>0</v>
      </c>
      <c r="AE267" s="465">
        <f>AE258*地域経済性分析・初期条件!$L$27</f>
        <v>0</v>
      </c>
      <c r="AF267" s="465">
        <f>AF258*地域経済性分析・初期条件!$L$27</f>
        <v>0</v>
      </c>
      <c r="AG267" s="465">
        <f>AG258*地域経済性分析・初期条件!$L$27</f>
        <v>0</v>
      </c>
      <c r="AH267" s="465">
        <f>AH258*地域経済性分析・初期条件!$L$27</f>
        <v>0</v>
      </c>
      <c r="AI267" s="535">
        <f t="shared" si="252"/>
        <v>0</v>
      </c>
      <c r="AJ267" s="535">
        <f t="shared" si="256"/>
        <v>0</v>
      </c>
      <c r="AK267" s="497">
        <f t="shared" si="257"/>
        <v>0</v>
      </c>
    </row>
    <row r="268" spans="1:37" ht="11.5" x14ac:dyDescent="0.25">
      <c r="A268" s="533" t="str">
        <f>A257&amp;B268</f>
        <v>0企業の税引後利益（二次以降）</v>
      </c>
      <c r="B268" s="439" t="s">
        <v>335</v>
      </c>
      <c r="C268" s="452" t="s">
        <v>37</v>
      </c>
      <c r="D268" s="493">
        <f>D258*地域経済性分析・初期条件!$M$27</f>
        <v>0</v>
      </c>
      <c r="E268" s="465">
        <f>E258*地域経済性分析・初期条件!$M$27</f>
        <v>0</v>
      </c>
      <c r="F268" s="465">
        <f>F258*地域経済性分析・初期条件!$M$27</f>
        <v>0</v>
      </c>
      <c r="G268" s="465">
        <f>G258*地域経済性分析・初期条件!$M$27</f>
        <v>0</v>
      </c>
      <c r="H268" s="465">
        <f>H258*地域経済性分析・初期条件!$M$27</f>
        <v>0</v>
      </c>
      <c r="I268" s="465">
        <f>I258*地域経済性分析・初期条件!$M$27</f>
        <v>0</v>
      </c>
      <c r="J268" s="465">
        <f>J258*地域経済性分析・初期条件!$M$27</f>
        <v>0</v>
      </c>
      <c r="K268" s="465">
        <f>K258*地域経済性分析・初期条件!$M$27</f>
        <v>0</v>
      </c>
      <c r="L268" s="465">
        <f>L258*地域経済性分析・初期条件!$M$27</f>
        <v>0</v>
      </c>
      <c r="M268" s="465">
        <f>M258*地域経済性分析・初期条件!$M$27</f>
        <v>0</v>
      </c>
      <c r="N268" s="465">
        <f>N258*地域経済性分析・初期条件!$M$27</f>
        <v>0</v>
      </c>
      <c r="O268" s="465">
        <f>O258*地域経済性分析・初期条件!$M$27</f>
        <v>0</v>
      </c>
      <c r="P268" s="465">
        <f>P258*地域経済性分析・初期条件!$M$27</f>
        <v>0</v>
      </c>
      <c r="Q268" s="465">
        <f>Q258*地域経済性分析・初期条件!$M$27</f>
        <v>0</v>
      </c>
      <c r="R268" s="465">
        <f>R258*地域経済性分析・初期条件!$M$27</f>
        <v>0</v>
      </c>
      <c r="S268" s="465">
        <f>S258*地域経済性分析・初期条件!$M$27</f>
        <v>0</v>
      </c>
      <c r="T268" s="465">
        <f>T258*地域経済性分析・初期条件!$M$27</f>
        <v>0</v>
      </c>
      <c r="U268" s="465">
        <f>U258*地域経済性分析・初期条件!$M$27</f>
        <v>0</v>
      </c>
      <c r="V268" s="465">
        <f>V258*地域経済性分析・初期条件!$M$27</f>
        <v>0</v>
      </c>
      <c r="W268" s="465">
        <f>W258*地域経済性分析・初期条件!$M$27</f>
        <v>0</v>
      </c>
      <c r="X268" s="465">
        <f>X258*地域経済性分析・初期条件!$M$27</f>
        <v>0</v>
      </c>
      <c r="Y268" s="465">
        <f>Y258*地域経済性分析・初期条件!$M$27</f>
        <v>0</v>
      </c>
      <c r="Z268" s="465">
        <f>Z258*地域経済性分析・初期条件!$M$27</f>
        <v>0</v>
      </c>
      <c r="AA268" s="465">
        <f>AA258*地域経済性分析・初期条件!$M$27</f>
        <v>0</v>
      </c>
      <c r="AB268" s="465">
        <f>AB258*地域経済性分析・初期条件!$M$27</f>
        <v>0</v>
      </c>
      <c r="AC268" s="465">
        <f>AC258*地域経済性分析・初期条件!$M$27</f>
        <v>0</v>
      </c>
      <c r="AD268" s="465">
        <f>AD258*地域経済性分析・初期条件!$M$27</f>
        <v>0</v>
      </c>
      <c r="AE268" s="465">
        <f>AE258*地域経済性分析・初期条件!$M$27</f>
        <v>0</v>
      </c>
      <c r="AF268" s="465">
        <f>AF258*地域経済性分析・初期条件!$M$27</f>
        <v>0</v>
      </c>
      <c r="AG268" s="465">
        <f>AG258*地域経済性分析・初期条件!$M$27</f>
        <v>0</v>
      </c>
      <c r="AH268" s="465">
        <f>AH258*地域経済性分析・初期条件!$M$27</f>
        <v>0</v>
      </c>
      <c r="AI268" s="535">
        <f t="shared" si="252"/>
        <v>0</v>
      </c>
      <c r="AJ268" s="535">
        <f t="shared" si="256"/>
        <v>0</v>
      </c>
      <c r="AK268" s="497">
        <f t="shared" si="257"/>
        <v>0</v>
      </c>
    </row>
    <row r="269" spans="1:37" ht="11.5" x14ac:dyDescent="0.25">
      <c r="A269" s="533" t="str">
        <f>A257&amp;B269</f>
        <v>0都道府県税収（二次以降）</v>
      </c>
      <c r="B269" s="439" t="s">
        <v>336</v>
      </c>
      <c r="C269" s="452" t="s">
        <v>37</v>
      </c>
      <c r="D269" s="493">
        <f>D258*地域経済性分析・初期条件!$N$27</f>
        <v>0</v>
      </c>
      <c r="E269" s="465">
        <f>E258*地域経済性分析・初期条件!$N$27</f>
        <v>0</v>
      </c>
      <c r="F269" s="465">
        <f>F258*地域経済性分析・初期条件!$N$27</f>
        <v>0</v>
      </c>
      <c r="G269" s="465">
        <f>G258*地域経済性分析・初期条件!$N$27</f>
        <v>0</v>
      </c>
      <c r="H269" s="465">
        <f>H258*地域経済性分析・初期条件!$N$27</f>
        <v>0</v>
      </c>
      <c r="I269" s="465">
        <f>I258*地域経済性分析・初期条件!$N$27</f>
        <v>0</v>
      </c>
      <c r="J269" s="465">
        <f>J258*地域経済性分析・初期条件!$N$27</f>
        <v>0</v>
      </c>
      <c r="K269" s="465">
        <f>K258*地域経済性分析・初期条件!$N$27</f>
        <v>0</v>
      </c>
      <c r="L269" s="465">
        <f>L258*地域経済性分析・初期条件!$N$27</f>
        <v>0</v>
      </c>
      <c r="M269" s="465">
        <f>M258*地域経済性分析・初期条件!$N$27</f>
        <v>0</v>
      </c>
      <c r="N269" s="465">
        <f>N258*地域経済性分析・初期条件!$N$27</f>
        <v>0</v>
      </c>
      <c r="O269" s="465">
        <f>O258*地域経済性分析・初期条件!$N$27</f>
        <v>0</v>
      </c>
      <c r="P269" s="465">
        <f>P258*地域経済性分析・初期条件!$N$27</f>
        <v>0</v>
      </c>
      <c r="Q269" s="465">
        <f>Q258*地域経済性分析・初期条件!$N$27</f>
        <v>0</v>
      </c>
      <c r="R269" s="465">
        <f>R258*地域経済性分析・初期条件!$N$27</f>
        <v>0</v>
      </c>
      <c r="S269" s="465">
        <f>S258*地域経済性分析・初期条件!$N$27</f>
        <v>0</v>
      </c>
      <c r="T269" s="465">
        <f>T258*地域経済性分析・初期条件!$N$27</f>
        <v>0</v>
      </c>
      <c r="U269" s="465">
        <f>U258*地域経済性分析・初期条件!$N$27</f>
        <v>0</v>
      </c>
      <c r="V269" s="465">
        <f>V258*地域経済性分析・初期条件!$N$27</f>
        <v>0</v>
      </c>
      <c r="W269" s="465">
        <f>W258*地域経済性分析・初期条件!$N$27</f>
        <v>0</v>
      </c>
      <c r="X269" s="465">
        <f>X258*地域経済性分析・初期条件!$N$27</f>
        <v>0</v>
      </c>
      <c r="Y269" s="465">
        <f>Y258*地域経済性分析・初期条件!$N$27</f>
        <v>0</v>
      </c>
      <c r="Z269" s="465">
        <f>Z258*地域経済性分析・初期条件!$N$27</f>
        <v>0</v>
      </c>
      <c r="AA269" s="465">
        <f>AA258*地域経済性分析・初期条件!$N$27</f>
        <v>0</v>
      </c>
      <c r="AB269" s="465">
        <f>AB258*地域経済性分析・初期条件!$N$27</f>
        <v>0</v>
      </c>
      <c r="AC269" s="465">
        <f>AC258*地域経済性分析・初期条件!$N$27</f>
        <v>0</v>
      </c>
      <c r="AD269" s="465">
        <f>AD258*地域経済性分析・初期条件!$N$27</f>
        <v>0</v>
      </c>
      <c r="AE269" s="465">
        <f>AE258*地域経済性分析・初期条件!$N$27</f>
        <v>0</v>
      </c>
      <c r="AF269" s="465">
        <f>AF258*地域経済性分析・初期条件!$N$27</f>
        <v>0</v>
      </c>
      <c r="AG269" s="465">
        <f>AG258*地域経済性分析・初期条件!$N$27</f>
        <v>0</v>
      </c>
      <c r="AH269" s="465">
        <f>AH258*地域経済性分析・初期条件!$N$27</f>
        <v>0</v>
      </c>
      <c r="AI269" s="535">
        <f t="shared" si="252"/>
        <v>0</v>
      </c>
      <c r="AJ269" s="535">
        <f t="shared" si="256"/>
        <v>0</v>
      </c>
      <c r="AK269" s="497">
        <f t="shared" si="257"/>
        <v>0</v>
      </c>
    </row>
    <row r="270" spans="1:37" ht="12" thickBot="1" x14ac:dyDescent="0.3">
      <c r="A270" s="689" t="str">
        <f>A257&amp;B270</f>
        <v>0市町村税収（二次以降）</v>
      </c>
      <c r="B270" s="690" t="s">
        <v>337</v>
      </c>
      <c r="C270" s="691" t="s">
        <v>37</v>
      </c>
      <c r="D270" s="692">
        <f>D258*地域経済性分析・初期条件!$O$27</f>
        <v>0</v>
      </c>
      <c r="E270" s="693">
        <f>E258*地域経済性分析・初期条件!$O$27</f>
        <v>0</v>
      </c>
      <c r="F270" s="693">
        <f>F258*地域経済性分析・初期条件!$O$27</f>
        <v>0</v>
      </c>
      <c r="G270" s="693">
        <f>G258*地域経済性分析・初期条件!$O$27</f>
        <v>0</v>
      </c>
      <c r="H270" s="693">
        <f>H258*地域経済性分析・初期条件!$O$27</f>
        <v>0</v>
      </c>
      <c r="I270" s="693">
        <f>I258*地域経済性分析・初期条件!$O$27</f>
        <v>0</v>
      </c>
      <c r="J270" s="693">
        <f>J258*地域経済性分析・初期条件!$O$27</f>
        <v>0</v>
      </c>
      <c r="K270" s="693">
        <f>K258*地域経済性分析・初期条件!$O$27</f>
        <v>0</v>
      </c>
      <c r="L270" s="693">
        <f>L258*地域経済性分析・初期条件!$O$27</f>
        <v>0</v>
      </c>
      <c r="M270" s="693">
        <f>M258*地域経済性分析・初期条件!$O$27</f>
        <v>0</v>
      </c>
      <c r="N270" s="693">
        <f>N258*地域経済性分析・初期条件!$O$27</f>
        <v>0</v>
      </c>
      <c r="O270" s="693">
        <f>O258*地域経済性分析・初期条件!$O$27</f>
        <v>0</v>
      </c>
      <c r="P270" s="693">
        <f>P258*地域経済性分析・初期条件!$O$27</f>
        <v>0</v>
      </c>
      <c r="Q270" s="693">
        <f>Q258*地域経済性分析・初期条件!$O$27</f>
        <v>0</v>
      </c>
      <c r="R270" s="693">
        <f>R258*地域経済性分析・初期条件!$O$27</f>
        <v>0</v>
      </c>
      <c r="S270" s="693">
        <f>S258*地域経済性分析・初期条件!$O$27</f>
        <v>0</v>
      </c>
      <c r="T270" s="693">
        <f>T258*地域経済性分析・初期条件!$O$27</f>
        <v>0</v>
      </c>
      <c r="U270" s="693">
        <f>U258*地域経済性分析・初期条件!$O$27</f>
        <v>0</v>
      </c>
      <c r="V270" s="693">
        <f>V258*地域経済性分析・初期条件!$O$27</f>
        <v>0</v>
      </c>
      <c r="W270" s="693">
        <f>W258*地域経済性分析・初期条件!$O$27</f>
        <v>0</v>
      </c>
      <c r="X270" s="693">
        <f>X258*地域経済性分析・初期条件!$O$27</f>
        <v>0</v>
      </c>
      <c r="Y270" s="693">
        <f>Y258*地域経済性分析・初期条件!$O$27</f>
        <v>0</v>
      </c>
      <c r="Z270" s="693">
        <f>Z258*地域経済性分析・初期条件!$O$27</f>
        <v>0</v>
      </c>
      <c r="AA270" s="693">
        <f>AA258*地域経済性分析・初期条件!$O$27</f>
        <v>0</v>
      </c>
      <c r="AB270" s="693">
        <f>AB258*地域経済性分析・初期条件!$O$27</f>
        <v>0</v>
      </c>
      <c r="AC270" s="693">
        <f>AC258*地域経済性分析・初期条件!$O$27</f>
        <v>0</v>
      </c>
      <c r="AD270" s="693">
        <f>AD258*地域経済性分析・初期条件!$O$27</f>
        <v>0</v>
      </c>
      <c r="AE270" s="693">
        <f>AE258*地域経済性分析・初期条件!$O$27</f>
        <v>0</v>
      </c>
      <c r="AF270" s="693">
        <f>AF258*地域経済性分析・初期条件!$O$27</f>
        <v>0</v>
      </c>
      <c r="AG270" s="693">
        <f>AG258*地域経済性分析・初期条件!$O$27</f>
        <v>0</v>
      </c>
      <c r="AH270" s="693">
        <f>AH258*地域経済性分析・初期条件!$O$27</f>
        <v>0</v>
      </c>
      <c r="AI270" s="694">
        <f t="shared" si="252"/>
        <v>0</v>
      </c>
      <c r="AJ270" s="694">
        <f t="shared" si="256"/>
        <v>0</v>
      </c>
      <c r="AK270" s="695">
        <f t="shared" si="257"/>
        <v>0</v>
      </c>
    </row>
    <row r="271" spans="1:37" ht="12" thickTop="1" x14ac:dyDescent="0.25">
      <c r="A271" s="1409" t="s">
        <v>1089</v>
      </c>
      <c r="B271" s="439"/>
      <c r="C271" s="452" t="s">
        <v>1090</v>
      </c>
      <c r="D271" s="493">
        <f>SUM(D235:D242,D249:D256,,D263:D270)</f>
        <v>0</v>
      </c>
      <c r="E271" s="493">
        <f t="shared" ref="E271" si="258">SUM(E235:E242,E249:E256,,E263:E270)</f>
        <v>12663559.684209622</v>
      </c>
      <c r="F271" s="493">
        <f t="shared" ref="F271" si="259">SUM(F235:F242,F249:F256,,F263:F270)</f>
        <v>12663559.684209622</v>
      </c>
      <c r="G271" s="493">
        <f t="shared" ref="G271" si="260">SUM(G235:G242,G249:G256,,G263:G270)</f>
        <v>12663559.684209622</v>
      </c>
      <c r="H271" s="493">
        <f t="shared" ref="H271" si="261">SUM(H235:H242,H249:H256,,H263:H270)</f>
        <v>12663559.684209622</v>
      </c>
      <c r="I271" s="493">
        <f t="shared" ref="I271" si="262">SUM(I235:I242,I249:I256,,I263:I270)</f>
        <v>12663559.684209622</v>
      </c>
      <c r="J271" s="493">
        <f t="shared" ref="J271" si="263">SUM(J235:J242,J249:J256,,J263:J270)</f>
        <v>12663559.684209622</v>
      </c>
      <c r="K271" s="493">
        <f t="shared" ref="K271" si="264">SUM(K235:K242,K249:K256,,K263:K270)</f>
        <v>12663559.684209622</v>
      </c>
      <c r="L271" s="493">
        <f t="shared" ref="L271" si="265">SUM(L235:L242,L249:L256,,L263:L270)</f>
        <v>12663559.684209622</v>
      </c>
      <c r="M271" s="493">
        <f t="shared" ref="M271" si="266">SUM(M235:M242,M249:M256,,M263:M270)</f>
        <v>12663559.684209622</v>
      </c>
      <c r="N271" s="493">
        <f t="shared" ref="N271" si="267">SUM(N235:N242,N249:N256,,N263:N270)</f>
        <v>12663559.684209622</v>
      </c>
      <c r="O271" s="493">
        <f t="shared" ref="O271" si="268">SUM(O235:O242,O249:O256,,O263:O270)</f>
        <v>12663559.684209622</v>
      </c>
      <c r="P271" s="493">
        <f t="shared" ref="P271" si="269">SUM(P235:P242,P249:P256,,P263:P270)</f>
        <v>12663559.684209622</v>
      </c>
      <c r="Q271" s="493">
        <f t="shared" ref="Q271" si="270">SUM(Q235:Q242,Q249:Q256,,Q263:Q270)</f>
        <v>12663559.684209622</v>
      </c>
      <c r="R271" s="493">
        <f t="shared" ref="R271" si="271">SUM(R235:R242,R249:R256,,R263:R270)</f>
        <v>12663559.684209622</v>
      </c>
      <c r="S271" s="493">
        <f t="shared" ref="S271" si="272">SUM(S235:S242,S249:S256,,S263:S270)</f>
        <v>12663559.684209622</v>
      </c>
      <c r="T271" s="493">
        <f t="shared" ref="T271" si="273">SUM(T235:T242,T249:T256,,T263:T270)</f>
        <v>12663559.684209622</v>
      </c>
      <c r="U271" s="493">
        <f t="shared" ref="U271" si="274">SUM(U235:U242,U249:U256,,U263:U270)</f>
        <v>12663559.684209622</v>
      </c>
      <c r="V271" s="493">
        <f t="shared" ref="V271" si="275">SUM(V235:V242,V249:V256,,V263:V270)</f>
        <v>12663559.684209622</v>
      </c>
      <c r="W271" s="493">
        <f t="shared" ref="W271" si="276">SUM(W235:W242,W249:W256,,W263:W270)</f>
        <v>12663559.684209622</v>
      </c>
      <c r="X271" s="493">
        <f t="shared" ref="X271" si="277">SUM(X235:X242,X249:X256,,X263:X270)</f>
        <v>12663559.684209622</v>
      </c>
      <c r="Y271" s="493">
        <f t="shared" ref="Y271" si="278">SUM(Y235:Y242,Y249:Y256,,Y263:Y270)</f>
        <v>12663559.684209622</v>
      </c>
      <c r="Z271" s="493">
        <f t="shared" ref="Z271" si="279">SUM(Z235:Z242,Z249:Z256,,Z263:Z270)</f>
        <v>12663559.684209622</v>
      </c>
      <c r="AA271" s="493">
        <f t="shared" ref="AA271" si="280">SUM(AA235:AA242,AA249:AA256,,AA263:AA270)</f>
        <v>12663559.684209622</v>
      </c>
      <c r="AB271" s="493">
        <f t="shared" ref="AB271" si="281">SUM(AB235:AB242,AB249:AB256,,AB263:AB270)</f>
        <v>12663559.684209622</v>
      </c>
      <c r="AC271" s="493">
        <f t="shared" ref="AC271" si="282">SUM(AC235:AC242,AC249:AC256,,AC263:AC270)</f>
        <v>12663559.684209622</v>
      </c>
      <c r="AD271" s="493">
        <f t="shared" ref="AD271" si="283">SUM(AD235:AD242,AD249:AD256,,AD263:AD270)</f>
        <v>12663559.684209622</v>
      </c>
      <c r="AE271" s="493">
        <f t="shared" ref="AE271" si="284">SUM(AE235:AE242,AE249:AE256,,AE263:AE270)</f>
        <v>12663559.684209622</v>
      </c>
      <c r="AF271" s="493">
        <f t="shared" ref="AF271" si="285">SUM(AF235:AF242,AF249:AF256,,AF263:AF270)</f>
        <v>12663559.684209622</v>
      </c>
      <c r="AG271" s="493">
        <f t="shared" ref="AG271" si="286">SUM(AG235:AG242,AG249:AG256,,AG263:AG270)</f>
        <v>12663559.684209622</v>
      </c>
      <c r="AH271" s="493">
        <f t="shared" ref="AH271" si="287">SUM(AH235:AH242,AH249:AH256,,AH263:AH270)</f>
        <v>12663559.684209622</v>
      </c>
      <c r="AI271" s="535">
        <f t="shared" ref="AI271" si="288">SUM(AI235:AI242,AI249:AI256,,AI263:AI270)</f>
        <v>126635596.84209622</v>
      </c>
      <c r="AJ271" s="535">
        <f t="shared" ref="AJ271" si="289">SUM(AJ235:AJ242,AJ249:AJ256,,AJ263:AJ270)</f>
        <v>253271193.68419242</v>
      </c>
      <c r="AK271" s="497">
        <f t="shared" ref="AK271" si="290">SUM(AK235:AK242,AK249:AK256,,AK263:AK270)</f>
        <v>379906790.52628845</v>
      </c>
    </row>
    <row r="272" spans="1:37" ht="11.5" x14ac:dyDescent="0.25">
      <c r="A272" s="1410" t="s">
        <v>1091</v>
      </c>
      <c r="B272" s="1403"/>
      <c r="C272" s="1404" t="s">
        <v>37</v>
      </c>
      <c r="D272" s="1397">
        <f>D228*1.1-D271</f>
        <v>0</v>
      </c>
      <c r="E272" s="1397">
        <f>E228*1.1-E271</f>
        <v>53557863.085950576</v>
      </c>
      <c r="F272" s="1397">
        <f t="shared" ref="F272" si="291">F228*1.1-F271</f>
        <v>53557863.085950576</v>
      </c>
      <c r="G272" s="1397">
        <f t="shared" ref="G272" si="292">G228*1.1-G271</f>
        <v>53557863.085950576</v>
      </c>
      <c r="H272" s="1397">
        <f t="shared" ref="H272" si="293">H228*1.1-H271</f>
        <v>53557863.085950576</v>
      </c>
      <c r="I272" s="1397">
        <f t="shared" ref="I272" si="294">I228*1.1-I271</f>
        <v>53557863.085950576</v>
      </c>
      <c r="J272" s="1397">
        <f t="shared" ref="J272" si="295">J228*1.1-J271</f>
        <v>53557863.085950576</v>
      </c>
      <c r="K272" s="1397">
        <f t="shared" ref="K272" si="296">K228*1.1-K271</f>
        <v>53557863.085950576</v>
      </c>
      <c r="L272" s="1397">
        <f t="shared" ref="L272" si="297">L228*1.1-L271</f>
        <v>53557863.085950576</v>
      </c>
      <c r="M272" s="1397">
        <f t="shared" ref="M272" si="298">M228*1.1-M271</f>
        <v>53557863.085950576</v>
      </c>
      <c r="N272" s="1397">
        <f t="shared" ref="N272" si="299">N228*1.1-N271</f>
        <v>53557863.085950576</v>
      </c>
      <c r="O272" s="1397">
        <f t="shared" ref="O272" si="300">O228*1.1-O271</f>
        <v>53557863.085950576</v>
      </c>
      <c r="P272" s="1397">
        <f t="shared" ref="P272" si="301">P228*1.1-P271</f>
        <v>53557863.085950576</v>
      </c>
      <c r="Q272" s="1397">
        <f t="shared" ref="Q272" si="302">Q228*1.1-Q271</f>
        <v>53557863.085950576</v>
      </c>
      <c r="R272" s="1397">
        <f t="shared" ref="R272" si="303">R228*1.1-R271</f>
        <v>53557863.085950576</v>
      </c>
      <c r="S272" s="1397">
        <f t="shared" ref="S272" si="304">S228*1.1-S271</f>
        <v>53557863.085950576</v>
      </c>
      <c r="T272" s="1397">
        <f t="shared" ref="T272" si="305">T228*1.1-T271</f>
        <v>53557863.085950576</v>
      </c>
      <c r="U272" s="1397">
        <f t="shared" ref="U272" si="306">U228*1.1-U271</f>
        <v>53557863.085950576</v>
      </c>
      <c r="V272" s="1397">
        <f t="shared" ref="V272" si="307">V228*1.1-V271</f>
        <v>53557863.085950576</v>
      </c>
      <c r="W272" s="1397">
        <f t="shared" ref="W272" si="308">W228*1.1-W271</f>
        <v>53557863.085950576</v>
      </c>
      <c r="X272" s="1397">
        <f t="shared" ref="X272" si="309">X228*1.1-X271</f>
        <v>53557863.085950576</v>
      </c>
      <c r="Y272" s="1397">
        <f t="shared" ref="Y272" si="310">Y228*1.1-Y271</f>
        <v>53557863.085950576</v>
      </c>
      <c r="Z272" s="1397">
        <f t="shared" ref="Z272" si="311">Z228*1.1-Z271</f>
        <v>53557863.085950576</v>
      </c>
      <c r="AA272" s="1397">
        <f t="shared" ref="AA272" si="312">AA228*1.1-AA271</f>
        <v>53557863.085950576</v>
      </c>
      <c r="AB272" s="1397">
        <f t="shared" ref="AB272" si="313">AB228*1.1-AB271</f>
        <v>53557863.085950576</v>
      </c>
      <c r="AC272" s="1397">
        <f t="shared" ref="AC272" si="314">AC228*1.1-AC271</f>
        <v>53557863.085950576</v>
      </c>
      <c r="AD272" s="1397">
        <f t="shared" ref="AD272" si="315">AD228*1.1-AD271</f>
        <v>53557863.085950576</v>
      </c>
      <c r="AE272" s="1397">
        <f t="shared" ref="AE272" si="316">AE228*1.1-AE271</f>
        <v>53557863.085950576</v>
      </c>
      <c r="AF272" s="1397">
        <f t="shared" ref="AF272" si="317">AF228*1.1-AF271</f>
        <v>53557863.085950576</v>
      </c>
      <c r="AG272" s="1397">
        <f t="shared" ref="AG272" si="318">AG228*1.1-AG271</f>
        <v>53557863.085950576</v>
      </c>
      <c r="AH272" s="1397">
        <f t="shared" ref="AH272" si="319">AH228*1.1-AH271</f>
        <v>53557863.085950576</v>
      </c>
      <c r="AI272" s="1405">
        <f t="shared" ref="AI272:AK272" si="320">AI228-AI271</f>
        <v>475377337.43208742</v>
      </c>
      <c r="AJ272" s="1405">
        <f t="shared" si="320"/>
        <v>950754674.86417508</v>
      </c>
      <c r="AK272" s="1406">
        <f t="shared" si="320"/>
        <v>1426132012.2962637</v>
      </c>
    </row>
    <row r="273" spans="1:37" ht="11.5" x14ac:dyDescent="0.25">
      <c r="A273" s="439" t="s">
        <v>199</v>
      </c>
      <c r="B273" s="416"/>
      <c r="C273" s="451" t="s">
        <v>37</v>
      </c>
      <c r="D273" s="493"/>
      <c r="E273" s="493">
        <f t="shared" ref="E273:AH273" si="321">E35</f>
        <v>72241552.11290203</v>
      </c>
      <c r="F273" s="493">
        <f t="shared" si="321"/>
        <v>72241552.11290203</v>
      </c>
      <c r="G273" s="493">
        <f t="shared" si="321"/>
        <v>72241552.11290203</v>
      </c>
      <c r="H273" s="493">
        <f t="shared" si="321"/>
        <v>72241552.11290203</v>
      </c>
      <c r="I273" s="493">
        <f t="shared" si="321"/>
        <v>72241552.11290203</v>
      </c>
      <c r="J273" s="493">
        <f t="shared" si="321"/>
        <v>72241552.11290203</v>
      </c>
      <c r="K273" s="493">
        <f t="shared" si="321"/>
        <v>72241552.11290203</v>
      </c>
      <c r="L273" s="493">
        <f t="shared" si="321"/>
        <v>72241552.11290203</v>
      </c>
      <c r="M273" s="493">
        <f t="shared" si="321"/>
        <v>72241552.11290203</v>
      </c>
      <c r="N273" s="493">
        <f t="shared" si="321"/>
        <v>72241552.11290203</v>
      </c>
      <c r="O273" s="493">
        <f t="shared" si="321"/>
        <v>72241552.11290203</v>
      </c>
      <c r="P273" s="493">
        <f t="shared" si="321"/>
        <v>72241552.11290203</v>
      </c>
      <c r="Q273" s="493">
        <f t="shared" si="321"/>
        <v>72241552.11290203</v>
      </c>
      <c r="R273" s="493">
        <f t="shared" si="321"/>
        <v>72241552.11290203</v>
      </c>
      <c r="S273" s="493">
        <f t="shared" si="321"/>
        <v>72241552.11290203</v>
      </c>
      <c r="T273" s="493">
        <f t="shared" si="321"/>
        <v>72241552.11290203</v>
      </c>
      <c r="U273" s="493">
        <f t="shared" si="321"/>
        <v>72241552.11290203</v>
      </c>
      <c r="V273" s="493">
        <f t="shared" si="321"/>
        <v>72241552.11290203</v>
      </c>
      <c r="W273" s="493">
        <f t="shared" si="321"/>
        <v>72241552.11290203</v>
      </c>
      <c r="X273" s="493">
        <f t="shared" si="321"/>
        <v>72241552.11290203</v>
      </c>
      <c r="Y273" s="493">
        <f t="shared" si="321"/>
        <v>72241552.11290203</v>
      </c>
      <c r="Z273" s="493">
        <f t="shared" si="321"/>
        <v>72241552.11290203</v>
      </c>
      <c r="AA273" s="493">
        <f t="shared" si="321"/>
        <v>72241552.11290203</v>
      </c>
      <c r="AB273" s="493">
        <f t="shared" si="321"/>
        <v>72241552.11290203</v>
      </c>
      <c r="AC273" s="493">
        <f t="shared" si="321"/>
        <v>72241552.11290203</v>
      </c>
      <c r="AD273" s="493">
        <f t="shared" si="321"/>
        <v>72241552.11290203</v>
      </c>
      <c r="AE273" s="493">
        <f t="shared" si="321"/>
        <v>72241552.11290203</v>
      </c>
      <c r="AF273" s="493">
        <f t="shared" si="321"/>
        <v>72241552.11290203</v>
      </c>
      <c r="AG273" s="493">
        <f t="shared" si="321"/>
        <v>72241552.11290203</v>
      </c>
      <c r="AH273" s="493">
        <f t="shared" si="321"/>
        <v>72241552.11290203</v>
      </c>
      <c r="AI273" s="535">
        <f t="shared" ref="AI273:AI284" si="322">SUM(D273:N273)</f>
        <v>722415521.12902033</v>
      </c>
      <c r="AJ273" s="535">
        <f t="shared" ref="AJ273:AJ279" si="323">SUM(D273:X273)</f>
        <v>1444831042.2580402</v>
      </c>
      <c r="AK273" s="497">
        <f t="shared" ref="AK273:AK279" si="324">SUM(D273:AH273)</f>
        <v>2167246563.3870597</v>
      </c>
    </row>
    <row r="274" spans="1:37" ht="11.5" x14ac:dyDescent="0.25">
      <c r="A274" s="416" t="s">
        <v>256</v>
      </c>
      <c r="B274" s="416"/>
      <c r="C274" s="451" t="s">
        <v>37</v>
      </c>
      <c r="D274" s="493"/>
      <c r="E274" s="493">
        <f>E273*波及効果シート!$D$81</f>
        <v>57793241.690321624</v>
      </c>
      <c r="F274" s="493">
        <f>F273*波及効果シート!$D$81</f>
        <v>57793241.690321624</v>
      </c>
      <c r="G274" s="493">
        <f>G273*波及効果シート!$D$81</f>
        <v>57793241.690321624</v>
      </c>
      <c r="H274" s="493">
        <f>H273*波及効果シート!$D$81</f>
        <v>57793241.690321624</v>
      </c>
      <c r="I274" s="493">
        <f>I273*波及効果シート!$D$81</f>
        <v>57793241.690321624</v>
      </c>
      <c r="J274" s="493">
        <f>J273*波及効果シート!$D$81</f>
        <v>57793241.690321624</v>
      </c>
      <c r="K274" s="493">
        <f>K273*波及効果シート!$D$81</f>
        <v>57793241.690321624</v>
      </c>
      <c r="L274" s="493">
        <f>L273*波及効果シート!$D$81</f>
        <v>57793241.690321624</v>
      </c>
      <c r="M274" s="493">
        <f>M273*波及効果シート!$D$81</f>
        <v>57793241.690321624</v>
      </c>
      <c r="N274" s="493">
        <f>N273*波及効果シート!$D$81</f>
        <v>57793241.690321624</v>
      </c>
      <c r="O274" s="493">
        <f>O273*波及効果シート!$D$81</f>
        <v>57793241.690321624</v>
      </c>
      <c r="P274" s="493">
        <f>P273*波及効果シート!$D$81</f>
        <v>57793241.690321624</v>
      </c>
      <c r="Q274" s="493">
        <f>Q273*波及効果シート!$D$81</f>
        <v>57793241.690321624</v>
      </c>
      <c r="R274" s="493">
        <f>R273*波及効果シート!$D$81</f>
        <v>57793241.690321624</v>
      </c>
      <c r="S274" s="493">
        <f>S273*波及効果シート!$D$81</f>
        <v>57793241.690321624</v>
      </c>
      <c r="T274" s="493">
        <f>T273*波及効果シート!$D$81</f>
        <v>57793241.690321624</v>
      </c>
      <c r="U274" s="493">
        <f>U273*波及効果シート!$D$81</f>
        <v>57793241.690321624</v>
      </c>
      <c r="V274" s="493">
        <f>V273*波及効果シート!$D$81</f>
        <v>57793241.690321624</v>
      </c>
      <c r="W274" s="493">
        <f>W273*波及効果シート!$D$81</f>
        <v>57793241.690321624</v>
      </c>
      <c r="X274" s="493">
        <f>X273*波及効果シート!$D$81</f>
        <v>57793241.690321624</v>
      </c>
      <c r="Y274" s="493">
        <f>Y273*波及効果シート!$D$81</f>
        <v>57793241.690321624</v>
      </c>
      <c r="Z274" s="493">
        <f>Z273*波及効果シート!$D$81</f>
        <v>57793241.690321624</v>
      </c>
      <c r="AA274" s="493">
        <f>AA273*波及効果シート!$D$81</f>
        <v>57793241.690321624</v>
      </c>
      <c r="AB274" s="493">
        <f>AB273*波及効果シート!$D$81</f>
        <v>57793241.690321624</v>
      </c>
      <c r="AC274" s="493">
        <f>AC273*波及効果シート!$D$81</f>
        <v>57793241.690321624</v>
      </c>
      <c r="AD274" s="493">
        <f>AD273*波及効果シート!$D$81</f>
        <v>57793241.690321624</v>
      </c>
      <c r="AE274" s="493">
        <f>AE273*波及効果シート!$D$81</f>
        <v>57793241.690321624</v>
      </c>
      <c r="AF274" s="493">
        <f>AF273*波及効果シート!$D$81</f>
        <v>57793241.690321624</v>
      </c>
      <c r="AG274" s="493">
        <f>AG273*波及効果シート!$D$81</f>
        <v>57793241.690321624</v>
      </c>
      <c r="AH274" s="493">
        <f>AH273*波及効果シート!$D$81</f>
        <v>57793241.690321624</v>
      </c>
      <c r="AI274" s="535">
        <f t="shared" si="322"/>
        <v>577932416.90321624</v>
      </c>
      <c r="AJ274" s="535">
        <f t="shared" si="323"/>
        <v>1155864833.806433</v>
      </c>
      <c r="AK274" s="497">
        <f t="shared" si="324"/>
        <v>1733797250.7096498</v>
      </c>
    </row>
    <row r="275" spans="1:37" ht="11.5" x14ac:dyDescent="0.25">
      <c r="A275" s="491"/>
      <c r="B275" s="439" t="s">
        <v>259</v>
      </c>
      <c r="C275" s="451" t="s">
        <v>239</v>
      </c>
      <c r="D275" s="493"/>
      <c r="E275" s="493">
        <f>E274-E277-E278-E276</f>
        <v>39458617.778984919</v>
      </c>
      <c r="F275" s="493">
        <f t="shared" ref="F275:AH275" si="325">F274-F277-F278-F276</f>
        <v>39458617.778984919</v>
      </c>
      <c r="G275" s="493">
        <f t="shared" si="325"/>
        <v>39458617.778984919</v>
      </c>
      <c r="H275" s="493">
        <f t="shared" si="325"/>
        <v>39458617.778984919</v>
      </c>
      <c r="I275" s="493">
        <f t="shared" si="325"/>
        <v>39458617.778984919</v>
      </c>
      <c r="J275" s="493">
        <f t="shared" si="325"/>
        <v>39458617.778984919</v>
      </c>
      <c r="K275" s="493">
        <f t="shared" si="325"/>
        <v>39458617.778984919</v>
      </c>
      <c r="L275" s="493">
        <f t="shared" si="325"/>
        <v>39458617.778984919</v>
      </c>
      <c r="M275" s="493">
        <f t="shared" si="325"/>
        <v>39458617.778984919</v>
      </c>
      <c r="N275" s="493">
        <f t="shared" si="325"/>
        <v>39458617.778984919</v>
      </c>
      <c r="O275" s="493">
        <f t="shared" si="325"/>
        <v>39458617.778984919</v>
      </c>
      <c r="P275" s="493">
        <f t="shared" si="325"/>
        <v>39458617.778984919</v>
      </c>
      <c r="Q275" s="493">
        <f t="shared" si="325"/>
        <v>39458617.778984919</v>
      </c>
      <c r="R275" s="493">
        <f t="shared" si="325"/>
        <v>39458617.778984919</v>
      </c>
      <c r="S275" s="493">
        <f t="shared" si="325"/>
        <v>39458617.778984919</v>
      </c>
      <c r="T275" s="493">
        <f t="shared" si="325"/>
        <v>39458617.778984919</v>
      </c>
      <c r="U275" s="493">
        <f t="shared" si="325"/>
        <v>39458617.778984919</v>
      </c>
      <c r="V275" s="493">
        <f t="shared" si="325"/>
        <v>39458617.778984919</v>
      </c>
      <c r="W275" s="493">
        <f t="shared" si="325"/>
        <v>39458617.778984919</v>
      </c>
      <c r="X275" s="493">
        <f t="shared" si="325"/>
        <v>39458617.778984919</v>
      </c>
      <c r="Y275" s="493">
        <f t="shared" si="325"/>
        <v>39458617.778984919</v>
      </c>
      <c r="Z275" s="493">
        <f t="shared" si="325"/>
        <v>39458617.778984919</v>
      </c>
      <c r="AA275" s="493">
        <f t="shared" si="325"/>
        <v>39458617.778984919</v>
      </c>
      <c r="AB275" s="493">
        <f t="shared" si="325"/>
        <v>39458617.778984919</v>
      </c>
      <c r="AC275" s="493">
        <f t="shared" si="325"/>
        <v>39458617.778984919</v>
      </c>
      <c r="AD275" s="493">
        <f t="shared" si="325"/>
        <v>39458617.778984919</v>
      </c>
      <c r="AE275" s="493">
        <f t="shared" si="325"/>
        <v>39458617.778984919</v>
      </c>
      <c r="AF275" s="493">
        <f t="shared" si="325"/>
        <v>39458617.778984919</v>
      </c>
      <c r="AG275" s="493">
        <f t="shared" si="325"/>
        <v>39458617.778984919</v>
      </c>
      <c r="AH275" s="493">
        <f t="shared" si="325"/>
        <v>39458617.778984919</v>
      </c>
      <c r="AI275" s="535">
        <f t="shared" si="322"/>
        <v>394586177.7898491</v>
      </c>
      <c r="AJ275" s="535">
        <f t="shared" si="323"/>
        <v>789172355.5796982</v>
      </c>
      <c r="AK275" s="497">
        <f t="shared" si="324"/>
        <v>1183758533.3695476</v>
      </c>
    </row>
    <row r="276" spans="1:37" ht="11.5" x14ac:dyDescent="0.25">
      <c r="A276" s="533"/>
      <c r="B276" s="439" t="s">
        <v>1127</v>
      </c>
      <c r="C276" s="452" t="s">
        <v>333</v>
      </c>
      <c r="D276" s="493"/>
      <c r="E276" s="493">
        <f>E274*波及効果シート!$D$53</f>
        <v>11558648.338064326</v>
      </c>
      <c r="F276" s="493">
        <f>F274*波及効果シート!$D$53</f>
        <v>11558648.338064326</v>
      </c>
      <c r="G276" s="493">
        <f>G274*波及効果シート!$D$53</f>
        <v>11558648.338064326</v>
      </c>
      <c r="H276" s="493">
        <f>H274*波及効果シート!$D$53</f>
        <v>11558648.338064326</v>
      </c>
      <c r="I276" s="493">
        <f>I274*波及効果シート!$D$53</f>
        <v>11558648.338064326</v>
      </c>
      <c r="J276" s="493">
        <f>J274*波及効果シート!$D$53</f>
        <v>11558648.338064326</v>
      </c>
      <c r="K276" s="493">
        <f>K274*波及効果シート!$D$53</f>
        <v>11558648.338064326</v>
      </c>
      <c r="L276" s="493">
        <f>L274*波及効果シート!$D$53</f>
        <v>11558648.338064326</v>
      </c>
      <c r="M276" s="493">
        <f>M274*波及効果シート!$D$53</f>
        <v>11558648.338064326</v>
      </c>
      <c r="N276" s="493">
        <f>N274*波及効果シート!$D$53</f>
        <v>11558648.338064326</v>
      </c>
      <c r="O276" s="493">
        <f>O274*波及効果シート!$D$53</f>
        <v>11558648.338064326</v>
      </c>
      <c r="P276" s="493">
        <f>P274*波及効果シート!$D$53</f>
        <v>11558648.338064326</v>
      </c>
      <c r="Q276" s="493">
        <f>Q274*波及効果シート!$D$53</f>
        <v>11558648.338064326</v>
      </c>
      <c r="R276" s="493">
        <f>R274*波及効果シート!$D$53</f>
        <v>11558648.338064326</v>
      </c>
      <c r="S276" s="493">
        <f>S274*波及効果シート!$D$53</f>
        <v>11558648.338064326</v>
      </c>
      <c r="T276" s="493">
        <f>T274*波及効果シート!$D$53</f>
        <v>11558648.338064326</v>
      </c>
      <c r="U276" s="493">
        <f>U274*波及効果シート!$D$53</f>
        <v>11558648.338064326</v>
      </c>
      <c r="V276" s="493">
        <f>V274*波及効果シート!$D$53</f>
        <v>11558648.338064326</v>
      </c>
      <c r="W276" s="493">
        <f>W274*波及効果シート!$D$53</f>
        <v>11558648.338064326</v>
      </c>
      <c r="X276" s="493">
        <f>X274*波及効果シート!$D$53</f>
        <v>11558648.338064326</v>
      </c>
      <c r="Y276" s="493">
        <f>Y274*波及効果シート!$D$53</f>
        <v>11558648.338064326</v>
      </c>
      <c r="Z276" s="493">
        <f>Z274*波及効果シート!$D$53</f>
        <v>11558648.338064326</v>
      </c>
      <c r="AA276" s="493">
        <f>AA274*波及効果シート!$D$53</f>
        <v>11558648.338064326</v>
      </c>
      <c r="AB276" s="493">
        <f>AB274*波及効果シート!$D$53</f>
        <v>11558648.338064326</v>
      </c>
      <c r="AC276" s="493">
        <f>AC274*波及効果シート!$D$53</f>
        <v>11558648.338064326</v>
      </c>
      <c r="AD276" s="493">
        <f>AD274*波及効果シート!$D$53</f>
        <v>11558648.338064326</v>
      </c>
      <c r="AE276" s="493">
        <f>AE274*波及効果シート!$D$53</f>
        <v>11558648.338064326</v>
      </c>
      <c r="AF276" s="493">
        <f>AF274*波及効果シート!$D$53</f>
        <v>11558648.338064326</v>
      </c>
      <c r="AG276" s="493">
        <f>AG274*波及効果シート!$D$53</f>
        <v>11558648.338064326</v>
      </c>
      <c r="AH276" s="493">
        <f>AH274*波及効果シート!$D$53</f>
        <v>11558648.338064326</v>
      </c>
      <c r="AI276" s="535">
        <f>SUM(D276:N276)</f>
        <v>115586483.38064326</v>
      </c>
      <c r="AJ276" s="535">
        <f t="shared" si="323"/>
        <v>231172966.76128641</v>
      </c>
      <c r="AK276" s="497">
        <f t="shared" si="324"/>
        <v>346759450.14192957</v>
      </c>
    </row>
    <row r="277" spans="1:37" ht="11.5" x14ac:dyDescent="0.25">
      <c r="A277" s="491"/>
      <c r="B277" s="439" t="s">
        <v>254</v>
      </c>
      <c r="C277" s="451" t="s">
        <v>239</v>
      </c>
      <c r="D277" s="493"/>
      <c r="E277" s="493">
        <f>E274*(波及効果シート!$D$56+波及効果シート!$D$57)</f>
        <v>2860784.0978420526</v>
      </c>
      <c r="F277" s="493">
        <f>F274*(波及効果シート!$D$56+波及効果シート!$D$57)</f>
        <v>2860784.0978420526</v>
      </c>
      <c r="G277" s="493">
        <f>G274*(波及効果シート!$D$56+波及効果シート!$D$57)</f>
        <v>2860784.0978420526</v>
      </c>
      <c r="H277" s="493">
        <f>H274*(波及効果シート!$D$56+波及効果シート!$D$57)</f>
        <v>2860784.0978420526</v>
      </c>
      <c r="I277" s="493">
        <f>I274*(波及効果シート!$D$56+波及効果シート!$D$57)</f>
        <v>2860784.0978420526</v>
      </c>
      <c r="J277" s="493">
        <f>J274*(波及効果シート!$D$56+波及効果シート!$D$57)</f>
        <v>2860784.0978420526</v>
      </c>
      <c r="K277" s="493">
        <f>K274*(波及効果シート!$D$56+波及効果シート!$D$57)</f>
        <v>2860784.0978420526</v>
      </c>
      <c r="L277" s="493">
        <f>L274*(波及効果シート!$D$56+波及効果シート!$D$57)</f>
        <v>2860784.0978420526</v>
      </c>
      <c r="M277" s="493">
        <f>M274*(波及効果シート!$D$56+波及効果シート!$D$57)</f>
        <v>2860784.0978420526</v>
      </c>
      <c r="N277" s="493">
        <f>N274*(波及効果シート!$D$56+波及効果シート!$D$57)</f>
        <v>2860784.0978420526</v>
      </c>
      <c r="O277" s="493">
        <f>O274*(波及効果シート!$D$56+波及効果シート!$D$57)</f>
        <v>2860784.0978420526</v>
      </c>
      <c r="P277" s="493">
        <f>P274*(波及効果シート!$D$56+波及効果シート!$D$57)</f>
        <v>2860784.0978420526</v>
      </c>
      <c r="Q277" s="493">
        <f>Q274*(波及効果シート!$D$56+波及効果シート!$D$57)</f>
        <v>2860784.0978420526</v>
      </c>
      <c r="R277" s="493">
        <f>R274*(波及効果シート!$D$56+波及効果シート!$D$57)</f>
        <v>2860784.0978420526</v>
      </c>
      <c r="S277" s="493">
        <f>S274*(波及効果シート!$D$56+波及効果シート!$D$57)</f>
        <v>2860784.0978420526</v>
      </c>
      <c r="T277" s="493">
        <f>T274*(波及効果シート!$D$56+波及効果シート!$D$57)</f>
        <v>2860784.0978420526</v>
      </c>
      <c r="U277" s="493">
        <f>U274*(波及効果シート!$D$56+波及効果シート!$D$57)</f>
        <v>2860784.0978420526</v>
      </c>
      <c r="V277" s="493">
        <f>V274*(波及効果シート!$D$56+波及効果シート!$D$57)</f>
        <v>2860784.0978420526</v>
      </c>
      <c r="W277" s="493">
        <f>W274*(波及効果シート!$D$56+波及効果シート!$D$57)</f>
        <v>2860784.0978420526</v>
      </c>
      <c r="X277" s="493">
        <f>X274*(波及効果シート!$D$56+波及効果シート!$D$57)</f>
        <v>2860784.0978420526</v>
      </c>
      <c r="Y277" s="493">
        <f>Y274*(波及効果シート!$D$56+波及効果シート!$D$57)</f>
        <v>2860784.0978420526</v>
      </c>
      <c r="Z277" s="493">
        <f>Z274*(波及効果シート!$D$56+波及効果シート!$D$57)</f>
        <v>2860784.0978420526</v>
      </c>
      <c r="AA277" s="493">
        <f>AA274*(波及効果シート!$D$56+波及効果シート!$D$57)</f>
        <v>2860784.0978420526</v>
      </c>
      <c r="AB277" s="493">
        <f>AB274*(波及効果シート!$D$56+波及効果シート!$D$57)</f>
        <v>2860784.0978420526</v>
      </c>
      <c r="AC277" s="493">
        <f>AC274*(波及効果シート!$D$56+波及効果シート!$D$57)</f>
        <v>2860784.0978420526</v>
      </c>
      <c r="AD277" s="493">
        <f>AD274*(波及効果シート!$D$56+波及効果シート!$D$57)</f>
        <v>2860784.0978420526</v>
      </c>
      <c r="AE277" s="493">
        <f>AE274*(波及効果シート!$D$56+波及効果シート!$D$57)</f>
        <v>2860784.0978420526</v>
      </c>
      <c r="AF277" s="493">
        <f>AF274*(波及効果シート!$D$56+波及効果シート!$D$57)</f>
        <v>2860784.0978420526</v>
      </c>
      <c r="AG277" s="493">
        <f>AG274*(波及効果シート!$D$56+波及効果シート!$D$57)</f>
        <v>2860784.0978420526</v>
      </c>
      <c r="AH277" s="493">
        <f>AH274*(波及効果シート!$D$56+波及効果シート!$D$57)</f>
        <v>2860784.0978420526</v>
      </c>
      <c r="AI277" s="535">
        <f t="shared" si="322"/>
        <v>28607840.978420526</v>
      </c>
      <c r="AJ277" s="535">
        <f t="shared" si="323"/>
        <v>57215681.956841052</v>
      </c>
      <c r="AK277" s="497">
        <f t="shared" si="324"/>
        <v>85823522.935261577</v>
      </c>
    </row>
    <row r="278" spans="1:37" ht="11.5" x14ac:dyDescent="0.25">
      <c r="A278" s="491"/>
      <c r="B278" s="439" t="s">
        <v>255</v>
      </c>
      <c r="C278" s="452" t="s">
        <v>239</v>
      </c>
      <c r="D278" s="493"/>
      <c r="E278" s="493">
        <f>E274*(波及効果シート!$D$57+波及効果シート!$D$59)</f>
        <v>3915191.4754303242</v>
      </c>
      <c r="F278" s="493">
        <f>F274*(波及効果シート!$D$57+波及効果シート!$D$59)</f>
        <v>3915191.4754303242</v>
      </c>
      <c r="G278" s="493">
        <f>G274*(波及効果シート!$D$57+波及効果シート!$D$59)</f>
        <v>3915191.4754303242</v>
      </c>
      <c r="H278" s="493">
        <f>H274*(波及効果シート!$D$57+波及効果シート!$D$59)</f>
        <v>3915191.4754303242</v>
      </c>
      <c r="I278" s="493">
        <f>I274*(波及効果シート!$D$57+波及効果シート!$D$59)</f>
        <v>3915191.4754303242</v>
      </c>
      <c r="J278" s="493">
        <f>J274*(波及効果シート!$D$57+波及効果シート!$D$59)</f>
        <v>3915191.4754303242</v>
      </c>
      <c r="K278" s="493">
        <f>K274*(波及効果シート!$D$57+波及効果シート!$D$59)</f>
        <v>3915191.4754303242</v>
      </c>
      <c r="L278" s="493">
        <f>L274*(波及効果シート!$D$57+波及効果シート!$D$59)</f>
        <v>3915191.4754303242</v>
      </c>
      <c r="M278" s="493">
        <f>M274*(波及効果シート!$D$57+波及効果シート!$D$59)</f>
        <v>3915191.4754303242</v>
      </c>
      <c r="N278" s="493">
        <f>N274*(波及効果シート!$D$57+波及効果シート!$D$59)</f>
        <v>3915191.4754303242</v>
      </c>
      <c r="O278" s="493">
        <f>O274*(波及効果シート!$D$57+波及効果シート!$D$59)</f>
        <v>3915191.4754303242</v>
      </c>
      <c r="P278" s="493">
        <f>P274*(波及効果シート!$D$57+波及効果シート!$D$59)</f>
        <v>3915191.4754303242</v>
      </c>
      <c r="Q278" s="493">
        <f>Q274*(波及効果シート!$D$57+波及効果シート!$D$59)</f>
        <v>3915191.4754303242</v>
      </c>
      <c r="R278" s="493">
        <f>R274*(波及効果シート!$D$57+波及効果シート!$D$59)</f>
        <v>3915191.4754303242</v>
      </c>
      <c r="S278" s="493">
        <f>S274*(波及効果シート!$D$57+波及効果シート!$D$59)</f>
        <v>3915191.4754303242</v>
      </c>
      <c r="T278" s="493">
        <f>T274*(波及効果シート!$D$57+波及効果シート!$D$59)</f>
        <v>3915191.4754303242</v>
      </c>
      <c r="U278" s="493">
        <f>U274*(波及効果シート!$D$57+波及効果シート!$D$59)</f>
        <v>3915191.4754303242</v>
      </c>
      <c r="V278" s="493">
        <f>V274*(波及効果シート!$D$57+波及効果シート!$D$59)</f>
        <v>3915191.4754303242</v>
      </c>
      <c r="W278" s="493">
        <f>W274*(波及効果シート!$D$57+波及効果シート!$D$59)</f>
        <v>3915191.4754303242</v>
      </c>
      <c r="X278" s="493">
        <f>X274*(波及効果シート!$D$57+波及効果シート!$D$59)</f>
        <v>3915191.4754303242</v>
      </c>
      <c r="Y278" s="493">
        <f>Y274*(波及効果シート!$D$57+波及効果シート!$D$59)</f>
        <v>3915191.4754303242</v>
      </c>
      <c r="Z278" s="493">
        <f>Z274*(波及効果シート!$D$57+波及効果シート!$D$59)</f>
        <v>3915191.4754303242</v>
      </c>
      <c r="AA278" s="493">
        <f>AA274*(波及効果シート!$D$57+波及効果シート!$D$59)</f>
        <v>3915191.4754303242</v>
      </c>
      <c r="AB278" s="493">
        <f>AB274*(波及効果シート!$D$57+波及効果シート!$D$59)</f>
        <v>3915191.4754303242</v>
      </c>
      <c r="AC278" s="493">
        <f>AC274*(波及効果シート!$D$57+波及効果シート!$D$59)</f>
        <v>3915191.4754303242</v>
      </c>
      <c r="AD278" s="493">
        <f>AD274*(波及効果シート!$D$57+波及効果シート!$D$59)</f>
        <v>3915191.4754303242</v>
      </c>
      <c r="AE278" s="493">
        <f>AE274*(波及効果シート!$D$57+波及効果シート!$D$59)</f>
        <v>3915191.4754303242</v>
      </c>
      <c r="AF278" s="493">
        <f>AF274*(波及効果シート!$D$57+波及効果シート!$D$59)</f>
        <v>3915191.4754303242</v>
      </c>
      <c r="AG278" s="493">
        <f>AG274*(波及効果シート!$D$57+波及効果シート!$D$59)</f>
        <v>3915191.4754303242</v>
      </c>
      <c r="AH278" s="493">
        <f>AH274*(波及効果シート!$D$57+波及効果シート!$D$59)</f>
        <v>3915191.4754303242</v>
      </c>
      <c r="AI278" s="535">
        <f t="shared" si="322"/>
        <v>39151914.754303239</v>
      </c>
      <c r="AJ278" s="535">
        <f t="shared" si="323"/>
        <v>78303829.508606479</v>
      </c>
      <c r="AK278" s="497">
        <f t="shared" si="324"/>
        <v>117455744.26290973</v>
      </c>
    </row>
    <row r="279" spans="1:37" ht="11.5" x14ac:dyDescent="0.25">
      <c r="A279" s="439" t="s">
        <v>257</v>
      </c>
      <c r="B279" s="416"/>
      <c r="C279" s="451" t="s">
        <v>239</v>
      </c>
      <c r="D279" s="493"/>
      <c r="E279" s="493">
        <f>E273*波及効果シート!$D$82</f>
        <v>7224155.211290203</v>
      </c>
      <c r="F279" s="493">
        <f>F273*波及効果シート!$D$82</f>
        <v>7224155.211290203</v>
      </c>
      <c r="G279" s="493">
        <f>G273*波及効果シート!$D$82</f>
        <v>7224155.211290203</v>
      </c>
      <c r="H279" s="493">
        <f>H273*波及効果シート!$D$82</f>
        <v>7224155.211290203</v>
      </c>
      <c r="I279" s="493">
        <f>I273*波及効果シート!$D$82</f>
        <v>7224155.211290203</v>
      </c>
      <c r="J279" s="493">
        <f>J273*波及効果シート!$D$82</f>
        <v>7224155.211290203</v>
      </c>
      <c r="K279" s="493">
        <f>K273*波及効果シート!$D$82</f>
        <v>7224155.211290203</v>
      </c>
      <c r="L279" s="493">
        <f>L273*波及効果シート!$D$82</f>
        <v>7224155.211290203</v>
      </c>
      <c r="M279" s="493">
        <f>M273*波及効果シート!$D$82</f>
        <v>7224155.211290203</v>
      </c>
      <c r="N279" s="493">
        <f>N273*波及効果シート!$D$82</f>
        <v>7224155.211290203</v>
      </c>
      <c r="O279" s="493">
        <f>O273*波及効果シート!$D$82</f>
        <v>7224155.211290203</v>
      </c>
      <c r="P279" s="493">
        <f>P273*波及効果シート!$D$82</f>
        <v>7224155.211290203</v>
      </c>
      <c r="Q279" s="493">
        <f>Q273*波及効果シート!$D$82</f>
        <v>7224155.211290203</v>
      </c>
      <c r="R279" s="493">
        <f>R273*波及効果シート!$D$82</f>
        <v>7224155.211290203</v>
      </c>
      <c r="S279" s="493">
        <f>S273*波及効果シート!$D$82</f>
        <v>7224155.211290203</v>
      </c>
      <c r="T279" s="493">
        <f>T273*波及効果シート!$D$82</f>
        <v>7224155.211290203</v>
      </c>
      <c r="U279" s="493">
        <f>U273*波及効果シート!$D$82</f>
        <v>7224155.211290203</v>
      </c>
      <c r="V279" s="493">
        <f>V273*波及効果シート!$D$82</f>
        <v>7224155.211290203</v>
      </c>
      <c r="W279" s="493">
        <f>W273*波及効果シート!$D$82</f>
        <v>7224155.211290203</v>
      </c>
      <c r="X279" s="493">
        <f>X273*波及効果シート!$D$82</f>
        <v>7224155.211290203</v>
      </c>
      <c r="Y279" s="493">
        <f>Y273*波及効果シート!$D$82</f>
        <v>7224155.211290203</v>
      </c>
      <c r="Z279" s="493">
        <f>Z273*波及効果シート!$D$82</f>
        <v>7224155.211290203</v>
      </c>
      <c r="AA279" s="493">
        <f>AA273*波及効果シート!$D$82</f>
        <v>7224155.211290203</v>
      </c>
      <c r="AB279" s="493">
        <f>AB273*波及効果シート!$D$82</f>
        <v>7224155.211290203</v>
      </c>
      <c r="AC279" s="493">
        <f>AC273*波及効果シート!$D$82</f>
        <v>7224155.211290203</v>
      </c>
      <c r="AD279" s="493">
        <f>AD273*波及効果シート!$D$82</f>
        <v>7224155.211290203</v>
      </c>
      <c r="AE279" s="493">
        <f>AE273*波及効果シート!$D$82</f>
        <v>7224155.211290203</v>
      </c>
      <c r="AF279" s="493">
        <f>AF273*波及効果シート!$D$82</f>
        <v>7224155.211290203</v>
      </c>
      <c r="AG279" s="493">
        <f>AG273*波及効果シート!$D$82</f>
        <v>7224155.211290203</v>
      </c>
      <c r="AH279" s="493">
        <f>AH273*波及効果シート!$D$82</f>
        <v>7224155.211290203</v>
      </c>
      <c r="AI279" s="535">
        <f t="shared" si="322"/>
        <v>72241552.11290203</v>
      </c>
      <c r="AJ279" s="535">
        <f t="shared" si="323"/>
        <v>144483104.22580412</v>
      </c>
      <c r="AK279" s="497">
        <f t="shared" si="324"/>
        <v>216724656.33870623</v>
      </c>
    </row>
    <row r="280" spans="1:37" ht="11.5" x14ac:dyDescent="0.25">
      <c r="A280" s="491"/>
      <c r="B280" s="439" t="s">
        <v>259</v>
      </c>
      <c r="C280" s="451" t="s">
        <v>37</v>
      </c>
      <c r="D280" s="493"/>
      <c r="E280" s="493">
        <f t="shared" ref="E280" si="326">E279-E282-E283-E281</f>
        <v>4932327.2223731149</v>
      </c>
      <c r="F280" s="493">
        <f t="shared" ref="F280:AH280" si="327">F279-F282-F283-F281</f>
        <v>4932327.2223731149</v>
      </c>
      <c r="G280" s="493">
        <f t="shared" si="327"/>
        <v>4932327.2223731149</v>
      </c>
      <c r="H280" s="493">
        <f t="shared" si="327"/>
        <v>4932327.2223731149</v>
      </c>
      <c r="I280" s="493">
        <f t="shared" si="327"/>
        <v>4932327.2223731149</v>
      </c>
      <c r="J280" s="493">
        <f t="shared" si="327"/>
        <v>4932327.2223731149</v>
      </c>
      <c r="K280" s="493">
        <f t="shared" si="327"/>
        <v>4932327.2223731149</v>
      </c>
      <c r="L280" s="493">
        <f t="shared" si="327"/>
        <v>4932327.2223731149</v>
      </c>
      <c r="M280" s="493">
        <f t="shared" si="327"/>
        <v>4932327.2223731149</v>
      </c>
      <c r="N280" s="493">
        <f t="shared" si="327"/>
        <v>4932327.2223731149</v>
      </c>
      <c r="O280" s="493">
        <f t="shared" si="327"/>
        <v>4932327.2223731149</v>
      </c>
      <c r="P280" s="493">
        <f t="shared" si="327"/>
        <v>4932327.2223731149</v>
      </c>
      <c r="Q280" s="493">
        <f t="shared" si="327"/>
        <v>4932327.2223731149</v>
      </c>
      <c r="R280" s="493">
        <f t="shared" si="327"/>
        <v>4932327.2223731149</v>
      </c>
      <c r="S280" s="493">
        <f t="shared" si="327"/>
        <v>4932327.2223731149</v>
      </c>
      <c r="T280" s="493">
        <f t="shared" si="327"/>
        <v>4932327.2223731149</v>
      </c>
      <c r="U280" s="493">
        <f t="shared" si="327"/>
        <v>4932327.2223731149</v>
      </c>
      <c r="V280" s="493">
        <f t="shared" si="327"/>
        <v>4932327.2223731149</v>
      </c>
      <c r="W280" s="493">
        <f t="shared" si="327"/>
        <v>4932327.2223731149</v>
      </c>
      <c r="X280" s="493">
        <f t="shared" si="327"/>
        <v>4932327.2223731149</v>
      </c>
      <c r="Y280" s="493">
        <f t="shared" si="327"/>
        <v>4932327.2223731149</v>
      </c>
      <c r="Z280" s="493">
        <f t="shared" si="327"/>
        <v>4932327.2223731149</v>
      </c>
      <c r="AA280" s="493">
        <f t="shared" si="327"/>
        <v>4932327.2223731149</v>
      </c>
      <c r="AB280" s="493">
        <f t="shared" si="327"/>
        <v>4932327.2223731149</v>
      </c>
      <c r="AC280" s="493">
        <f t="shared" si="327"/>
        <v>4932327.2223731149</v>
      </c>
      <c r="AD280" s="493">
        <f t="shared" si="327"/>
        <v>4932327.2223731149</v>
      </c>
      <c r="AE280" s="493">
        <f t="shared" si="327"/>
        <v>4932327.2223731149</v>
      </c>
      <c r="AF280" s="493">
        <f t="shared" si="327"/>
        <v>4932327.2223731149</v>
      </c>
      <c r="AG280" s="493">
        <f t="shared" si="327"/>
        <v>4932327.2223731149</v>
      </c>
      <c r="AH280" s="493">
        <f t="shared" si="327"/>
        <v>4932327.2223731149</v>
      </c>
      <c r="AI280" s="535">
        <f>SUM(D280:N280)</f>
        <v>49323272.223731138</v>
      </c>
      <c r="AJ280" s="535">
        <f>SUM(D280:X280)</f>
        <v>98646544.447462276</v>
      </c>
      <c r="AK280" s="497">
        <f>SUM(D280:AH280)</f>
        <v>147969816.67119345</v>
      </c>
    </row>
    <row r="281" spans="1:37" ht="11.5" x14ac:dyDescent="0.25">
      <c r="A281" s="533"/>
      <c r="B281" s="439" t="s">
        <v>1127</v>
      </c>
      <c r="C281" s="452" t="s">
        <v>333</v>
      </c>
      <c r="D281" s="493"/>
      <c r="E281" s="493">
        <f>E279*波及効果シート!$D$53</f>
        <v>1444831.0422580407</v>
      </c>
      <c r="F281" s="493">
        <f>F279*波及効果シート!$D$53</f>
        <v>1444831.0422580407</v>
      </c>
      <c r="G281" s="493">
        <f>G279*波及効果シート!$D$53</f>
        <v>1444831.0422580407</v>
      </c>
      <c r="H281" s="493">
        <f>H279*波及効果シート!$D$53</f>
        <v>1444831.0422580407</v>
      </c>
      <c r="I281" s="493">
        <f>I279*波及効果シート!$D$53</f>
        <v>1444831.0422580407</v>
      </c>
      <c r="J281" s="493">
        <f>J279*波及効果シート!$D$53</f>
        <v>1444831.0422580407</v>
      </c>
      <c r="K281" s="493">
        <f>K279*波及効果シート!$D$53</f>
        <v>1444831.0422580407</v>
      </c>
      <c r="L281" s="493">
        <f>L279*波及効果シート!$D$53</f>
        <v>1444831.0422580407</v>
      </c>
      <c r="M281" s="493">
        <f>M279*波及効果シート!$D$53</f>
        <v>1444831.0422580407</v>
      </c>
      <c r="N281" s="493">
        <f>N279*波及効果シート!$D$53</f>
        <v>1444831.0422580407</v>
      </c>
      <c r="O281" s="493">
        <f>O279*波及効果シート!$D$53</f>
        <v>1444831.0422580407</v>
      </c>
      <c r="P281" s="493">
        <f>P279*波及効果シート!$D$53</f>
        <v>1444831.0422580407</v>
      </c>
      <c r="Q281" s="493">
        <f>Q279*波及効果シート!$D$53</f>
        <v>1444831.0422580407</v>
      </c>
      <c r="R281" s="493">
        <f>R279*波及効果シート!$D$53</f>
        <v>1444831.0422580407</v>
      </c>
      <c r="S281" s="493">
        <f>S279*波及効果シート!$D$53</f>
        <v>1444831.0422580407</v>
      </c>
      <c r="T281" s="493">
        <f>T279*波及効果シート!$D$53</f>
        <v>1444831.0422580407</v>
      </c>
      <c r="U281" s="493">
        <f>U279*波及効果シート!$D$53</f>
        <v>1444831.0422580407</v>
      </c>
      <c r="V281" s="493">
        <f>V279*波及効果シート!$D$53</f>
        <v>1444831.0422580407</v>
      </c>
      <c r="W281" s="493">
        <f>W279*波及効果シート!$D$53</f>
        <v>1444831.0422580407</v>
      </c>
      <c r="X281" s="493">
        <f>X279*波及効果シート!$D$53</f>
        <v>1444831.0422580407</v>
      </c>
      <c r="Y281" s="493">
        <f>Y279*波及効果シート!$D$53</f>
        <v>1444831.0422580407</v>
      </c>
      <c r="Z281" s="493">
        <f>Z279*波及効果シート!$D$53</f>
        <v>1444831.0422580407</v>
      </c>
      <c r="AA281" s="493">
        <f>AA279*波及効果シート!$D$53</f>
        <v>1444831.0422580407</v>
      </c>
      <c r="AB281" s="493">
        <f>AB279*波及効果シート!$D$53</f>
        <v>1444831.0422580407</v>
      </c>
      <c r="AC281" s="493">
        <f>AC279*波及効果シート!$D$53</f>
        <v>1444831.0422580407</v>
      </c>
      <c r="AD281" s="493">
        <f>AD279*波及効果シート!$D$53</f>
        <v>1444831.0422580407</v>
      </c>
      <c r="AE281" s="493">
        <f>AE279*波及効果シート!$D$53</f>
        <v>1444831.0422580407</v>
      </c>
      <c r="AF281" s="493">
        <f>AF279*波及効果シート!$D$53</f>
        <v>1444831.0422580407</v>
      </c>
      <c r="AG281" s="493">
        <f>AG279*波及効果シート!$D$53</f>
        <v>1444831.0422580407</v>
      </c>
      <c r="AH281" s="493">
        <f>AH279*波及効果シート!$D$53</f>
        <v>1444831.0422580407</v>
      </c>
      <c r="AI281" s="535">
        <f>SUM(D281:N281)</f>
        <v>14448310.422580408</v>
      </c>
      <c r="AJ281" s="535">
        <f t="shared" ref="AJ281:AJ284" si="328">SUM(D281:X281)</f>
        <v>28896620.845160801</v>
      </c>
      <c r="AK281" s="497">
        <f t="shared" ref="AK281:AK284" si="329">SUM(D281:AH281)</f>
        <v>43344931.267741196</v>
      </c>
    </row>
    <row r="282" spans="1:37" ht="11.5" x14ac:dyDescent="0.25">
      <c r="A282" s="491"/>
      <c r="B282" s="439" t="s">
        <v>254</v>
      </c>
      <c r="C282" s="451" t="s">
        <v>239</v>
      </c>
      <c r="D282" s="493"/>
      <c r="E282" s="493">
        <f>E279*(波及効果シート!$D$56+波及効果シート!$D$57)</f>
        <v>357598.01223025657</v>
      </c>
      <c r="F282" s="493">
        <f>F279*(波及効果シート!$D$56+波及効果シート!$D$57)</f>
        <v>357598.01223025657</v>
      </c>
      <c r="G282" s="493">
        <f>G279*(波及効果シート!$D$56+波及効果シート!$D$57)</f>
        <v>357598.01223025657</v>
      </c>
      <c r="H282" s="493">
        <f>H279*(波及効果シート!$D$56+波及効果シート!$D$57)</f>
        <v>357598.01223025657</v>
      </c>
      <c r="I282" s="493">
        <f>I279*(波及効果シート!$D$56+波及効果シート!$D$57)</f>
        <v>357598.01223025657</v>
      </c>
      <c r="J282" s="493">
        <f>J279*(波及効果シート!$D$56+波及効果シート!$D$57)</f>
        <v>357598.01223025657</v>
      </c>
      <c r="K282" s="493">
        <f>K279*(波及効果シート!$D$56+波及効果シート!$D$57)</f>
        <v>357598.01223025657</v>
      </c>
      <c r="L282" s="493">
        <f>L279*(波及効果シート!$D$56+波及効果シート!$D$57)</f>
        <v>357598.01223025657</v>
      </c>
      <c r="M282" s="493">
        <f>M279*(波及効果シート!$D$56+波及効果シート!$D$57)</f>
        <v>357598.01223025657</v>
      </c>
      <c r="N282" s="493">
        <f>N279*(波及効果シート!$D$56+波及効果シート!$D$57)</f>
        <v>357598.01223025657</v>
      </c>
      <c r="O282" s="493">
        <f>O279*(波及効果シート!$D$56+波及効果シート!$D$57)</f>
        <v>357598.01223025657</v>
      </c>
      <c r="P282" s="493">
        <f>P279*(波及効果シート!$D$56+波及効果シート!$D$57)</f>
        <v>357598.01223025657</v>
      </c>
      <c r="Q282" s="493">
        <f>Q279*(波及効果シート!$D$56+波及効果シート!$D$57)</f>
        <v>357598.01223025657</v>
      </c>
      <c r="R282" s="493">
        <f>R279*(波及効果シート!$D$56+波及効果シート!$D$57)</f>
        <v>357598.01223025657</v>
      </c>
      <c r="S282" s="493">
        <f>S279*(波及効果シート!$D$56+波及効果シート!$D$57)</f>
        <v>357598.01223025657</v>
      </c>
      <c r="T282" s="493">
        <f>T279*(波及効果シート!$D$56+波及効果シート!$D$57)</f>
        <v>357598.01223025657</v>
      </c>
      <c r="U282" s="493">
        <f>U279*(波及効果シート!$D$56+波及効果シート!$D$57)</f>
        <v>357598.01223025657</v>
      </c>
      <c r="V282" s="493">
        <f>V279*(波及効果シート!$D$56+波及効果シート!$D$57)</f>
        <v>357598.01223025657</v>
      </c>
      <c r="W282" s="493">
        <f>W279*(波及効果シート!$D$56+波及効果シート!$D$57)</f>
        <v>357598.01223025657</v>
      </c>
      <c r="X282" s="493">
        <f>X279*(波及効果シート!$D$56+波及効果シート!$D$57)</f>
        <v>357598.01223025657</v>
      </c>
      <c r="Y282" s="493">
        <f>Y279*(波及効果シート!$D$56+波及効果シート!$D$57)</f>
        <v>357598.01223025657</v>
      </c>
      <c r="Z282" s="493">
        <f>Z279*(波及効果シート!$D$56+波及効果シート!$D$57)</f>
        <v>357598.01223025657</v>
      </c>
      <c r="AA282" s="493">
        <f>AA279*(波及効果シート!$D$56+波及効果シート!$D$57)</f>
        <v>357598.01223025657</v>
      </c>
      <c r="AB282" s="493">
        <f>AB279*(波及効果シート!$D$56+波及効果シート!$D$57)</f>
        <v>357598.01223025657</v>
      </c>
      <c r="AC282" s="493">
        <f>AC279*(波及効果シート!$D$56+波及効果シート!$D$57)</f>
        <v>357598.01223025657</v>
      </c>
      <c r="AD282" s="493">
        <f>AD279*(波及効果シート!$D$56+波及効果シート!$D$57)</f>
        <v>357598.01223025657</v>
      </c>
      <c r="AE282" s="493">
        <f>AE279*(波及効果シート!$D$56+波及効果シート!$D$57)</f>
        <v>357598.01223025657</v>
      </c>
      <c r="AF282" s="493">
        <f>AF279*(波及効果シート!$D$56+波及効果シート!$D$57)</f>
        <v>357598.01223025657</v>
      </c>
      <c r="AG282" s="493">
        <f>AG279*(波及効果シート!$D$56+波及効果シート!$D$57)</f>
        <v>357598.01223025657</v>
      </c>
      <c r="AH282" s="493">
        <f>AH279*(波及効果シート!$D$56+波及効果シート!$D$57)</f>
        <v>357598.01223025657</v>
      </c>
      <c r="AI282" s="535">
        <f t="shared" si="322"/>
        <v>3575980.1223025657</v>
      </c>
      <c r="AJ282" s="535">
        <f t="shared" si="328"/>
        <v>7151960.2446051314</v>
      </c>
      <c r="AK282" s="497">
        <f t="shared" si="329"/>
        <v>10727940.366907697</v>
      </c>
    </row>
    <row r="283" spans="1:37" ht="11.5" x14ac:dyDescent="0.25">
      <c r="A283" s="491"/>
      <c r="B283" s="439" t="s">
        <v>255</v>
      </c>
      <c r="C283" s="452" t="s">
        <v>239</v>
      </c>
      <c r="D283" s="493"/>
      <c r="E283" s="493">
        <f>E279*(波及効果シート!$D$57+波及効果シート!$D$59)</f>
        <v>489398.93442879053</v>
      </c>
      <c r="F283" s="493">
        <f>F279*(波及効果シート!$D$57+波及効果シート!$D$59)</f>
        <v>489398.93442879053</v>
      </c>
      <c r="G283" s="493">
        <f>G279*(波及効果シート!$D$57+波及効果シート!$D$59)</f>
        <v>489398.93442879053</v>
      </c>
      <c r="H283" s="493">
        <f>H279*(波及効果シート!$D$57+波及効果シート!$D$59)</f>
        <v>489398.93442879053</v>
      </c>
      <c r="I283" s="493">
        <f>I279*(波及効果シート!$D$57+波及効果シート!$D$59)</f>
        <v>489398.93442879053</v>
      </c>
      <c r="J283" s="493">
        <f>J279*(波及効果シート!$D$57+波及効果シート!$D$59)</f>
        <v>489398.93442879053</v>
      </c>
      <c r="K283" s="493">
        <f>K279*(波及効果シート!$D$57+波及効果シート!$D$59)</f>
        <v>489398.93442879053</v>
      </c>
      <c r="L283" s="493">
        <f>L279*(波及効果シート!$D$57+波及効果シート!$D$59)</f>
        <v>489398.93442879053</v>
      </c>
      <c r="M283" s="493">
        <f>M279*(波及効果シート!$D$57+波及効果シート!$D$59)</f>
        <v>489398.93442879053</v>
      </c>
      <c r="N283" s="493">
        <f>N279*(波及効果シート!$D$57+波及効果シート!$D$59)</f>
        <v>489398.93442879053</v>
      </c>
      <c r="O283" s="493">
        <f>O279*(波及効果シート!$D$57+波及効果シート!$D$59)</f>
        <v>489398.93442879053</v>
      </c>
      <c r="P283" s="493">
        <f>P279*(波及効果シート!$D$57+波及効果シート!$D$59)</f>
        <v>489398.93442879053</v>
      </c>
      <c r="Q283" s="493">
        <f>Q279*(波及効果シート!$D$57+波及効果シート!$D$59)</f>
        <v>489398.93442879053</v>
      </c>
      <c r="R283" s="493">
        <f>R279*(波及効果シート!$D$57+波及効果シート!$D$59)</f>
        <v>489398.93442879053</v>
      </c>
      <c r="S283" s="493">
        <f>S279*(波及効果シート!$D$57+波及効果シート!$D$59)</f>
        <v>489398.93442879053</v>
      </c>
      <c r="T283" s="493">
        <f>T279*(波及効果シート!$D$57+波及効果シート!$D$59)</f>
        <v>489398.93442879053</v>
      </c>
      <c r="U283" s="493">
        <f>U279*(波及効果シート!$D$57+波及効果シート!$D$59)</f>
        <v>489398.93442879053</v>
      </c>
      <c r="V283" s="493">
        <f>V279*(波及効果シート!$D$57+波及効果シート!$D$59)</f>
        <v>489398.93442879053</v>
      </c>
      <c r="W283" s="493">
        <f>W279*(波及効果シート!$D$57+波及効果シート!$D$59)</f>
        <v>489398.93442879053</v>
      </c>
      <c r="X283" s="493">
        <f>X279*(波及効果シート!$D$57+波及効果シート!$D$59)</f>
        <v>489398.93442879053</v>
      </c>
      <c r="Y283" s="493">
        <f>Y279*(波及効果シート!$D$57+波及効果シート!$D$59)</f>
        <v>489398.93442879053</v>
      </c>
      <c r="Z283" s="493">
        <f>Z279*(波及効果シート!$D$57+波及効果シート!$D$59)</f>
        <v>489398.93442879053</v>
      </c>
      <c r="AA283" s="493">
        <f>AA279*(波及効果シート!$D$57+波及効果シート!$D$59)</f>
        <v>489398.93442879053</v>
      </c>
      <c r="AB283" s="493">
        <f>AB279*(波及効果シート!$D$57+波及効果シート!$D$59)</f>
        <v>489398.93442879053</v>
      </c>
      <c r="AC283" s="493">
        <f>AC279*(波及効果シート!$D$57+波及効果シート!$D$59)</f>
        <v>489398.93442879053</v>
      </c>
      <c r="AD283" s="493">
        <f>AD279*(波及効果シート!$D$57+波及効果シート!$D$59)</f>
        <v>489398.93442879053</v>
      </c>
      <c r="AE283" s="493">
        <f>AE279*(波及効果シート!$D$57+波及効果シート!$D$59)</f>
        <v>489398.93442879053</v>
      </c>
      <c r="AF283" s="493">
        <f>AF279*(波及効果シート!$D$57+波及効果シート!$D$59)</f>
        <v>489398.93442879053</v>
      </c>
      <c r="AG283" s="493">
        <f>AG279*(波及効果シート!$D$57+波及効果シート!$D$59)</f>
        <v>489398.93442879053</v>
      </c>
      <c r="AH283" s="493">
        <f>AH279*(波及効果シート!$D$57+波及効果シート!$D$59)</f>
        <v>489398.93442879053</v>
      </c>
      <c r="AI283" s="535">
        <f t="shared" si="322"/>
        <v>4893989.3442879049</v>
      </c>
      <c r="AJ283" s="535">
        <f t="shared" si="328"/>
        <v>9787978.6885758098</v>
      </c>
      <c r="AK283" s="497">
        <f t="shared" si="329"/>
        <v>14681968.032863716</v>
      </c>
    </row>
    <row r="284" spans="1:37" ht="11.5" x14ac:dyDescent="0.25">
      <c r="A284" s="489" t="s">
        <v>258</v>
      </c>
      <c r="B284" s="489"/>
      <c r="C284" s="361" t="s">
        <v>239</v>
      </c>
      <c r="D284" s="495"/>
      <c r="E284" s="495">
        <f>E273*波及効果シート!$D$83</f>
        <v>7224155.211290203</v>
      </c>
      <c r="F284" s="495">
        <f>F273*波及効果シート!$D$83</f>
        <v>7224155.211290203</v>
      </c>
      <c r="G284" s="495">
        <f>G273*波及効果シート!$D$83</f>
        <v>7224155.211290203</v>
      </c>
      <c r="H284" s="495">
        <f>H273*波及効果シート!$D$83</f>
        <v>7224155.211290203</v>
      </c>
      <c r="I284" s="495">
        <f>I273*波及効果シート!$D$83</f>
        <v>7224155.211290203</v>
      </c>
      <c r="J284" s="495">
        <f>J273*波及効果シート!$D$83</f>
        <v>7224155.211290203</v>
      </c>
      <c r="K284" s="495">
        <f>K273*波及効果シート!$D$83</f>
        <v>7224155.211290203</v>
      </c>
      <c r="L284" s="495">
        <f>L273*波及効果シート!$D$83</f>
        <v>7224155.211290203</v>
      </c>
      <c r="M284" s="495">
        <f>M273*波及効果シート!$D$83</f>
        <v>7224155.211290203</v>
      </c>
      <c r="N284" s="495">
        <f>N273*波及効果シート!$D$83</f>
        <v>7224155.211290203</v>
      </c>
      <c r="O284" s="495">
        <f>O273*波及効果シート!$D$83</f>
        <v>7224155.211290203</v>
      </c>
      <c r="P284" s="495">
        <f>P273*波及効果シート!$D$83</f>
        <v>7224155.211290203</v>
      </c>
      <c r="Q284" s="495">
        <f>Q273*波及効果シート!$D$83</f>
        <v>7224155.211290203</v>
      </c>
      <c r="R284" s="495">
        <f>R273*波及効果シート!$D$83</f>
        <v>7224155.211290203</v>
      </c>
      <c r="S284" s="495">
        <f>S273*波及効果シート!$D$83</f>
        <v>7224155.211290203</v>
      </c>
      <c r="T284" s="495">
        <f>T273*波及効果シート!$D$83</f>
        <v>7224155.211290203</v>
      </c>
      <c r="U284" s="495">
        <f>U273*波及効果シート!$D$83</f>
        <v>7224155.211290203</v>
      </c>
      <c r="V284" s="495">
        <f>V273*波及効果シート!$D$83</f>
        <v>7224155.211290203</v>
      </c>
      <c r="W284" s="495">
        <f>W273*波及効果シート!$D$83</f>
        <v>7224155.211290203</v>
      </c>
      <c r="X284" s="495">
        <f>X273*波及効果シート!$D$83</f>
        <v>7224155.211290203</v>
      </c>
      <c r="Y284" s="495">
        <f>Y273*波及効果シート!$D$83</f>
        <v>7224155.211290203</v>
      </c>
      <c r="Z284" s="495">
        <f>Z273*波及効果シート!$D$83</f>
        <v>7224155.211290203</v>
      </c>
      <c r="AA284" s="495">
        <f>AA273*波及効果シート!$D$83</f>
        <v>7224155.211290203</v>
      </c>
      <c r="AB284" s="495">
        <f>AB273*波及効果シート!$D$83</f>
        <v>7224155.211290203</v>
      </c>
      <c r="AC284" s="495">
        <f>AC273*波及効果シート!$D$83</f>
        <v>7224155.211290203</v>
      </c>
      <c r="AD284" s="495">
        <f>AD273*波及効果シート!$D$83</f>
        <v>7224155.211290203</v>
      </c>
      <c r="AE284" s="495">
        <f>AE273*波及効果シート!$D$83</f>
        <v>7224155.211290203</v>
      </c>
      <c r="AF284" s="495">
        <f>AF273*波及効果シート!$D$83</f>
        <v>7224155.211290203</v>
      </c>
      <c r="AG284" s="495">
        <f>AG273*波及効果シート!$D$83</f>
        <v>7224155.211290203</v>
      </c>
      <c r="AH284" s="495">
        <f>AH273*波及効果シート!$D$83</f>
        <v>7224155.211290203</v>
      </c>
      <c r="AI284" s="537">
        <f t="shared" si="322"/>
        <v>72241552.11290203</v>
      </c>
      <c r="AJ284" s="537">
        <f t="shared" si="328"/>
        <v>144483104.22580412</v>
      </c>
      <c r="AK284" s="538">
        <f t="shared" si="329"/>
        <v>216724656.33870623</v>
      </c>
    </row>
    <row r="285" spans="1:37" ht="11.5" x14ac:dyDescent="0.25">
      <c r="A285" s="1409" t="s">
        <v>1128</v>
      </c>
      <c r="B285" s="439"/>
      <c r="C285" s="452" t="s">
        <v>1090</v>
      </c>
      <c r="D285" s="493">
        <f t="shared" ref="D285:AK285" si="330">SUM(D275,D277:D278,D280,D282:D283)</f>
        <v>0</v>
      </c>
      <c r="E285" s="493">
        <f>SUM(E275,E277:E278,E280,E282:E283)</f>
        <v>52013917.521289453</v>
      </c>
      <c r="F285" s="493">
        <f t="shared" si="330"/>
        <v>52013917.521289453</v>
      </c>
      <c r="G285" s="493">
        <f t="shared" si="330"/>
        <v>52013917.521289453</v>
      </c>
      <c r="H285" s="493">
        <f t="shared" si="330"/>
        <v>52013917.521289453</v>
      </c>
      <c r="I285" s="493">
        <f t="shared" si="330"/>
        <v>52013917.521289453</v>
      </c>
      <c r="J285" s="493">
        <f t="shared" si="330"/>
        <v>52013917.521289453</v>
      </c>
      <c r="K285" s="493">
        <f t="shared" si="330"/>
        <v>52013917.521289453</v>
      </c>
      <c r="L285" s="493">
        <f t="shared" si="330"/>
        <v>52013917.521289453</v>
      </c>
      <c r="M285" s="493">
        <f t="shared" si="330"/>
        <v>52013917.521289453</v>
      </c>
      <c r="N285" s="493">
        <f t="shared" si="330"/>
        <v>52013917.521289453</v>
      </c>
      <c r="O285" s="493">
        <f t="shared" si="330"/>
        <v>52013917.521289453</v>
      </c>
      <c r="P285" s="493">
        <f t="shared" si="330"/>
        <v>52013917.521289453</v>
      </c>
      <c r="Q285" s="493">
        <f t="shared" si="330"/>
        <v>52013917.521289453</v>
      </c>
      <c r="R285" s="493">
        <f t="shared" si="330"/>
        <v>52013917.521289453</v>
      </c>
      <c r="S285" s="493">
        <f t="shared" si="330"/>
        <v>52013917.521289453</v>
      </c>
      <c r="T285" s="493">
        <f t="shared" si="330"/>
        <v>52013917.521289453</v>
      </c>
      <c r="U285" s="493">
        <f t="shared" si="330"/>
        <v>52013917.521289453</v>
      </c>
      <c r="V285" s="493">
        <f t="shared" si="330"/>
        <v>52013917.521289453</v>
      </c>
      <c r="W285" s="493">
        <f t="shared" si="330"/>
        <v>52013917.521289453</v>
      </c>
      <c r="X285" s="493">
        <f t="shared" si="330"/>
        <v>52013917.521289453</v>
      </c>
      <c r="Y285" s="493">
        <f t="shared" si="330"/>
        <v>52013917.521289453</v>
      </c>
      <c r="Z285" s="493">
        <f t="shared" si="330"/>
        <v>52013917.521289453</v>
      </c>
      <c r="AA285" s="493">
        <f t="shared" si="330"/>
        <v>52013917.521289453</v>
      </c>
      <c r="AB285" s="493">
        <f t="shared" si="330"/>
        <v>52013917.521289453</v>
      </c>
      <c r="AC285" s="493">
        <f t="shared" si="330"/>
        <v>52013917.521289453</v>
      </c>
      <c r="AD285" s="493">
        <f t="shared" si="330"/>
        <v>52013917.521289453</v>
      </c>
      <c r="AE285" s="493">
        <f t="shared" si="330"/>
        <v>52013917.521289453</v>
      </c>
      <c r="AF285" s="493">
        <f t="shared" si="330"/>
        <v>52013917.521289453</v>
      </c>
      <c r="AG285" s="493">
        <f t="shared" si="330"/>
        <v>52013917.521289453</v>
      </c>
      <c r="AH285" s="493">
        <f t="shared" si="330"/>
        <v>52013917.521289453</v>
      </c>
      <c r="AI285" s="535">
        <f t="shared" si="330"/>
        <v>520139175.21289456</v>
      </c>
      <c r="AJ285" s="535">
        <f t="shared" si="330"/>
        <v>1040278350.4257891</v>
      </c>
      <c r="AK285" s="497">
        <f t="shared" si="330"/>
        <v>1560417525.6386833</v>
      </c>
    </row>
    <row r="286" spans="1:37" ht="11.5" x14ac:dyDescent="0.25">
      <c r="A286" s="1410" t="s">
        <v>1129</v>
      </c>
      <c r="B286" s="1403"/>
      <c r="C286" s="1404" t="s">
        <v>37</v>
      </c>
      <c r="D286" s="1397">
        <f t="shared" ref="D286:AK286" si="331">SUM(D284,D281,D276)</f>
        <v>0</v>
      </c>
      <c r="E286" s="1397">
        <f>SUM(E284,E281,E276)</f>
        <v>20227634.59161257</v>
      </c>
      <c r="F286" s="1397">
        <f t="shared" si="331"/>
        <v>20227634.59161257</v>
      </c>
      <c r="G286" s="1397">
        <f t="shared" si="331"/>
        <v>20227634.59161257</v>
      </c>
      <c r="H286" s="1397">
        <f t="shared" si="331"/>
        <v>20227634.59161257</v>
      </c>
      <c r="I286" s="1397">
        <f t="shared" si="331"/>
        <v>20227634.59161257</v>
      </c>
      <c r="J286" s="1397">
        <f t="shared" si="331"/>
        <v>20227634.59161257</v>
      </c>
      <c r="K286" s="1397">
        <f t="shared" si="331"/>
        <v>20227634.59161257</v>
      </c>
      <c r="L286" s="1397">
        <f t="shared" si="331"/>
        <v>20227634.59161257</v>
      </c>
      <c r="M286" s="1397">
        <f t="shared" si="331"/>
        <v>20227634.59161257</v>
      </c>
      <c r="N286" s="1397">
        <f t="shared" si="331"/>
        <v>20227634.59161257</v>
      </c>
      <c r="O286" s="1397">
        <f t="shared" si="331"/>
        <v>20227634.59161257</v>
      </c>
      <c r="P286" s="1397">
        <f t="shared" si="331"/>
        <v>20227634.59161257</v>
      </c>
      <c r="Q286" s="1397">
        <f t="shared" si="331"/>
        <v>20227634.59161257</v>
      </c>
      <c r="R286" s="1397">
        <f t="shared" si="331"/>
        <v>20227634.59161257</v>
      </c>
      <c r="S286" s="1397">
        <f t="shared" si="331"/>
        <v>20227634.59161257</v>
      </c>
      <c r="T286" s="1397">
        <f t="shared" si="331"/>
        <v>20227634.59161257</v>
      </c>
      <c r="U286" s="1397">
        <f t="shared" si="331"/>
        <v>20227634.59161257</v>
      </c>
      <c r="V286" s="1397">
        <f t="shared" si="331"/>
        <v>20227634.59161257</v>
      </c>
      <c r="W286" s="1397">
        <f t="shared" si="331"/>
        <v>20227634.59161257</v>
      </c>
      <c r="X286" s="1397">
        <f t="shared" si="331"/>
        <v>20227634.59161257</v>
      </c>
      <c r="Y286" s="1397">
        <f t="shared" si="331"/>
        <v>20227634.59161257</v>
      </c>
      <c r="Z286" s="1397">
        <f t="shared" si="331"/>
        <v>20227634.59161257</v>
      </c>
      <c r="AA286" s="1397">
        <f t="shared" si="331"/>
        <v>20227634.59161257</v>
      </c>
      <c r="AB286" s="1397">
        <f t="shared" si="331"/>
        <v>20227634.59161257</v>
      </c>
      <c r="AC286" s="1397">
        <f t="shared" si="331"/>
        <v>20227634.59161257</v>
      </c>
      <c r="AD286" s="1397">
        <f t="shared" si="331"/>
        <v>20227634.59161257</v>
      </c>
      <c r="AE286" s="1397">
        <f t="shared" si="331"/>
        <v>20227634.59161257</v>
      </c>
      <c r="AF286" s="1397">
        <f t="shared" si="331"/>
        <v>20227634.59161257</v>
      </c>
      <c r="AG286" s="1397">
        <f t="shared" si="331"/>
        <v>20227634.59161257</v>
      </c>
      <c r="AH286" s="1397">
        <f t="shared" si="331"/>
        <v>20227634.59161257</v>
      </c>
      <c r="AI286" s="1405">
        <f t="shared" si="331"/>
        <v>202276345.91612571</v>
      </c>
      <c r="AJ286" s="1405">
        <f t="shared" si="331"/>
        <v>404552691.83225131</v>
      </c>
      <c r="AK286" s="1406">
        <f t="shared" si="331"/>
        <v>606829037.74837697</v>
      </c>
    </row>
    <row r="287" spans="1:37" ht="11.5" x14ac:dyDescent="0.25">
      <c r="A287" s="439" t="str">
        <f>B36</f>
        <v>メンテナンス費</v>
      </c>
      <c r="B287" s="416"/>
      <c r="C287" s="451" t="s">
        <v>37</v>
      </c>
      <c r="D287" s="493"/>
      <c r="E287" s="493">
        <f t="shared" ref="E287:AH287" si="332">E36</f>
        <v>258880890.86578479</v>
      </c>
      <c r="F287" s="493">
        <f t="shared" si="332"/>
        <v>258880890.86578479</v>
      </c>
      <c r="G287" s="493">
        <f t="shared" si="332"/>
        <v>258880890.86578479</v>
      </c>
      <c r="H287" s="493">
        <f t="shared" si="332"/>
        <v>258880890.86578479</v>
      </c>
      <c r="I287" s="493">
        <f t="shared" si="332"/>
        <v>258880890.86578479</v>
      </c>
      <c r="J287" s="493">
        <f t="shared" si="332"/>
        <v>258880890.86578479</v>
      </c>
      <c r="K287" s="493">
        <f t="shared" si="332"/>
        <v>258880890.86578479</v>
      </c>
      <c r="L287" s="493">
        <f t="shared" si="332"/>
        <v>258880890.86578479</v>
      </c>
      <c r="M287" s="493">
        <f t="shared" si="332"/>
        <v>258880890.86578479</v>
      </c>
      <c r="N287" s="493">
        <f t="shared" si="332"/>
        <v>258880890.86578479</v>
      </c>
      <c r="O287" s="493">
        <f t="shared" si="332"/>
        <v>258880890.86578479</v>
      </c>
      <c r="P287" s="493">
        <f t="shared" si="332"/>
        <v>258880890.86578479</v>
      </c>
      <c r="Q287" s="493">
        <f t="shared" si="332"/>
        <v>258880890.86578479</v>
      </c>
      <c r="R287" s="493">
        <f t="shared" si="332"/>
        <v>258880890.86578479</v>
      </c>
      <c r="S287" s="493">
        <f t="shared" si="332"/>
        <v>258880890.86578479</v>
      </c>
      <c r="T287" s="493">
        <f t="shared" si="332"/>
        <v>258880890.86578479</v>
      </c>
      <c r="U287" s="493">
        <f t="shared" si="332"/>
        <v>258880890.86578479</v>
      </c>
      <c r="V287" s="493">
        <f t="shared" si="332"/>
        <v>258880890.86578479</v>
      </c>
      <c r="W287" s="493">
        <f t="shared" si="332"/>
        <v>258880890.86578479</v>
      </c>
      <c r="X287" s="493">
        <f t="shared" si="332"/>
        <v>258880890.86578479</v>
      </c>
      <c r="Y287" s="493">
        <f t="shared" si="332"/>
        <v>258880890.86578479</v>
      </c>
      <c r="Z287" s="493">
        <f t="shared" si="332"/>
        <v>258880890.86578479</v>
      </c>
      <c r="AA287" s="493">
        <f t="shared" si="332"/>
        <v>258880890.86578479</v>
      </c>
      <c r="AB287" s="493">
        <f t="shared" si="332"/>
        <v>258880890.86578479</v>
      </c>
      <c r="AC287" s="493">
        <f t="shared" si="332"/>
        <v>258880890.86578479</v>
      </c>
      <c r="AD287" s="493">
        <f t="shared" si="332"/>
        <v>258880890.86578479</v>
      </c>
      <c r="AE287" s="493">
        <f t="shared" si="332"/>
        <v>258880890.86578479</v>
      </c>
      <c r="AF287" s="493">
        <f t="shared" si="332"/>
        <v>258880890.86578479</v>
      </c>
      <c r="AG287" s="493">
        <f t="shared" si="332"/>
        <v>258880890.86578479</v>
      </c>
      <c r="AH287" s="493">
        <f t="shared" si="332"/>
        <v>258880890.86578479</v>
      </c>
      <c r="AI287" s="535">
        <f>SUM(D287:N287)</f>
        <v>2588808908.6578479</v>
      </c>
      <c r="AJ287" s="535">
        <f>SUM(D287:X287)</f>
        <v>5177617817.3156948</v>
      </c>
      <c r="AK287" s="497">
        <f>SUM(D287:AH287)</f>
        <v>7766426725.9735413</v>
      </c>
    </row>
    <row r="288" spans="1:37" ht="11.5" x14ac:dyDescent="0.25">
      <c r="A288" s="488" t="str">
        <f>地域経済性分析・初期条件!$G$33</f>
        <v>その他のサービス業</v>
      </c>
      <c r="C288" s="452"/>
      <c r="D288" s="493"/>
      <c r="E288" s="465"/>
      <c r="F288" s="466"/>
      <c r="G288" s="465"/>
      <c r="H288" s="465"/>
      <c r="I288" s="465"/>
      <c r="J288" s="465"/>
      <c r="K288" s="465"/>
      <c r="L288" s="465"/>
      <c r="M288" s="465"/>
      <c r="N288" s="465"/>
      <c r="O288" s="465"/>
      <c r="P288" s="465"/>
      <c r="Q288" s="465"/>
      <c r="R288" s="465"/>
      <c r="S288" s="465"/>
      <c r="T288" s="465"/>
      <c r="U288" s="465"/>
      <c r="V288" s="465"/>
      <c r="W288" s="465"/>
      <c r="X288" s="465"/>
      <c r="Y288" s="465"/>
      <c r="Z288" s="465"/>
      <c r="AA288" s="465"/>
      <c r="AB288" s="465"/>
      <c r="AC288" s="465"/>
      <c r="AD288" s="465"/>
      <c r="AE288" s="465"/>
      <c r="AF288" s="465"/>
      <c r="AG288" s="465"/>
      <c r="AH288" s="465"/>
      <c r="AI288" s="535"/>
      <c r="AJ288" s="535"/>
      <c r="AK288" s="497"/>
    </row>
    <row r="289" spans="1:37" ht="11.5" x14ac:dyDescent="0.25">
      <c r="A289" s="533" t="str">
        <f>A288&amp;B289</f>
        <v>その他のサービス業売上（税別）</v>
      </c>
      <c r="B289" s="439" t="s">
        <v>1092</v>
      </c>
      <c r="C289" s="451" t="s">
        <v>37</v>
      </c>
      <c r="D289" s="493">
        <f>D287*地域経済性分析・初期条件!$F$33</f>
        <v>0</v>
      </c>
      <c r="E289" s="493">
        <f>E287*地域経済性分析・初期条件!$F$33</f>
        <v>129440445.4328924</v>
      </c>
      <c r="F289" s="493">
        <f>F287*地域経済性分析・初期条件!$F$33</f>
        <v>129440445.4328924</v>
      </c>
      <c r="G289" s="493">
        <f>G287*地域経済性分析・初期条件!$F$33</f>
        <v>129440445.4328924</v>
      </c>
      <c r="H289" s="493">
        <f>H287*地域経済性分析・初期条件!$F$33</f>
        <v>129440445.4328924</v>
      </c>
      <c r="I289" s="493">
        <f>I287*地域経済性分析・初期条件!$F$33</f>
        <v>129440445.4328924</v>
      </c>
      <c r="J289" s="493">
        <f>J287*地域経済性分析・初期条件!$F$33</f>
        <v>129440445.4328924</v>
      </c>
      <c r="K289" s="493">
        <f>K287*地域経済性分析・初期条件!$F$33</f>
        <v>129440445.4328924</v>
      </c>
      <c r="L289" s="493">
        <f>L287*地域経済性分析・初期条件!$F$33</f>
        <v>129440445.4328924</v>
      </c>
      <c r="M289" s="493">
        <f>M287*地域経済性分析・初期条件!$F$33</f>
        <v>129440445.4328924</v>
      </c>
      <c r="N289" s="493">
        <f>N287*地域経済性分析・初期条件!$F$33</f>
        <v>129440445.4328924</v>
      </c>
      <c r="O289" s="493">
        <f>O287*地域経済性分析・初期条件!$F$33</f>
        <v>129440445.4328924</v>
      </c>
      <c r="P289" s="493">
        <f>P287*地域経済性分析・初期条件!$F$33</f>
        <v>129440445.4328924</v>
      </c>
      <c r="Q289" s="493">
        <f>Q287*地域経済性分析・初期条件!$F$33</f>
        <v>129440445.4328924</v>
      </c>
      <c r="R289" s="493">
        <f>R287*地域経済性分析・初期条件!$F$33</f>
        <v>129440445.4328924</v>
      </c>
      <c r="S289" s="493">
        <f>S287*地域経済性分析・初期条件!$F$33</f>
        <v>129440445.4328924</v>
      </c>
      <c r="T289" s="493">
        <f>T287*地域経済性分析・初期条件!$F$33</f>
        <v>129440445.4328924</v>
      </c>
      <c r="U289" s="493">
        <f>U287*地域経済性分析・初期条件!$F$33</f>
        <v>129440445.4328924</v>
      </c>
      <c r="V289" s="493">
        <f>V287*地域経済性分析・初期条件!$F$33</f>
        <v>129440445.4328924</v>
      </c>
      <c r="W289" s="493">
        <f>W287*地域経済性分析・初期条件!$F$33</f>
        <v>129440445.4328924</v>
      </c>
      <c r="X289" s="493">
        <f>X287*地域経済性分析・初期条件!$F$33</f>
        <v>129440445.4328924</v>
      </c>
      <c r="Y289" s="493">
        <f>Y287*地域経済性分析・初期条件!$F$33</f>
        <v>129440445.4328924</v>
      </c>
      <c r="Z289" s="493">
        <f>Z287*地域経済性分析・初期条件!$F$33</f>
        <v>129440445.4328924</v>
      </c>
      <c r="AA289" s="493">
        <f>AA287*地域経済性分析・初期条件!$F$33</f>
        <v>129440445.4328924</v>
      </c>
      <c r="AB289" s="493">
        <f>AB287*地域経済性分析・初期条件!$F$33</f>
        <v>129440445.4328924</v>
      </c>
      <c r="AC289" s="493">
        <f>AC287*地域経済性分析・初期条件!$F$33</f>
        <v>129440445.4328924</v>
      </c>
      <c r="AD289" s="493">
        <f>AD287*地域経済性分析・初期条件!$F$33</f>
        <v>129440445.4328924</v>
      </c>
      <c r="AE289" s="493">
        <f>AE287*地域経済性分析・初期条件!$F$33</f>
        <v>129440445.4328924</v>
      </c>
      <c r="AF289" s="493">
        <f>AF287*地域経済性分析・初期条件!$F$33</f>
        <v>129440445.4328924</v>
      </c>
      <c r="AG289" s="493">
        <f>AG287*地域経済性分析・初期条件!$F$33</f>
        <v>129440445.4328924</v>
      </c>
      <c r="AH289" s="493">
        <f>AH287*地域経済性分析・初期条件!$F$33</f>
        <v>129440445.4328924</v>
      </c>
      <c r="AI289" s="535">
        <f t="shared" ref="AI289:AI297" si="333">SUM(D289:N289)</f>
        <v>1294404454.3289239</v>
      </c>
      <c r="AJ289" s="535">
        <f t="shared" ref="AJ289:AJ297" si="334">SUM(D289:X289)</f>
        <v>2588808908.6578474</v>
      </c>
      <c r="AK289" s="497">
        <f t="shared" ref="AK289:AK297" si="335">SUM(D289:AH289)</f>
        <v>3883213362.9867706</v>
      </c>
    </row>
    <row r="290" spans="1:37" ht="11.5" x14ac:dyDescent="0.25">
      <c r="A290" s="533"/>
      <c r="B290" s="439" t="s">
        <v>1136</v>
      </c>
      <c r="C290" s="451" t="s">
        <v>37</v>
      </c>
      <c r="D290" s="493">
        <f>D289*波及効果シート!$D$72</f>
        <v>0</v>
      </c>
      <c r="E290" s="493">
        <f>E289*波及効果シート!$D$72</f>
        <v>1423844.8997618163</v>
      </c>
      <c r="F290" s="493">
        <f>F289*波及効果シート!$D$72</f>
        <v>1423844.8997618163</v>
      </c>
      <c r="G290" s="493">
        <f>G289*波及効果シート!$D$72</f>
        <v>1423844.8997618163</v>
      </c>
      <c r="H290" s="493">
        <f>H289*波及効果シート!$D$72</f>
        <v>1423844.8997618163</v>
      </c>
      <c r="I290" s="493">
        <f>I289*波及効果シート!$D$72</f>
        <v>1423844.8997618163</v>
      </c>
      <c r="J290" s="493">
        <f>J289*波及効果シート!$D$72</f>
        <v>1423844.8997618163</v>
      </c>
      <c r="K290" s="493">
        <f>K289*波及効果シート!$D$72</f>
        <v>1423844.8997618163</v>
      </c>
      <c r="L290" s="493">
        <f>L289*波及効果シート!$D$72</f>
        <v>1423844.8997618163</v>
      </c>
      <c r="M290" s="493">
        <f>M289*波及効果シート!$D$72</f>
        <v>1423844.8997618163</v>
      </c>
      <c r="N290" s="493">
        <f>N289*波及効果シート!$D$72</f>
        <v>1423844.8997618163</v>
      </c>
      <c r="O290" s="493">
        <f>O289*波及効果シート!$D$72</f>
        <v>1423844.8997618163</v>
      </c>
      <c r="P290" s="493">
        <f>P289*波及効果シート!$D$72</f>
        <v>1423844.8997618163</v>
      </c>
      <c r="Q290" s="493">
        <f>Q289*波及効果シート!$D$72</f>
        <v>1423844.8997618163</v>
      </c>
      <c r="R290" s="493">
        <f>R289*波及効果シート!$D$72</f>
        <v>1423844.8997618163</v>
      </c>
      <c r="S290" s="493">
        <f>S289*波及効果シート!$D$72</f>
        <v>1423844.8997618163</v>
      </c>
      <c r="T290" s="493">
        <f>T289*波及効果シート!$D$72</f>
        <v>1423844.8997618163</v>
      </c>
      <c r="U290" s="493">
        <f>U289*波及効果シート!$D$72</f>
        <v>1423844.8997618163</v>
      </c>
      <c r="V290" s="493">
        <f>V289*波及効果シート!$D$72</f>
        <v>1423844.8997618163</v>
      </c>
      <c r="W290" s="493">
        <f>W289*波及効果シート!$D$72</f>
        <v>1423844.8997618163</v>
      </c>
      <c r="X290" s="493">
        <f>X289*波及効果シート!$D$72</f>
        <v>1423844.8997618163</v>
      </c>
      <c r="Y290" s="493">
        <f>Y289*波及効果シート!$D$72</f>
        <v>1423844.8997618163</v>
      </c>
      <c r="Z290" s="493">
        <f>Z289*波及効果シート!$D$72</f>
        <v>1423844.8997618163</v>
      </c>
      <c r="AA290" s="493">
        <f>AA289*波及効果シート!$D$72</f>
        <v>1423844.8997618163</v>
      </c>
      <c r="AB290" s="493">
        <f>AB289*波及効果シート!$D$72</f>
        <v>1423844.8997618163</v>
      </c>
      <c r="AC290" s="493">
        <f>AC289*波及効果シート!$D$72</f>
        <v>1423844.8997618163</v>
      </c>
      <c r="AD290" s="493">
        <f>AD289*波及効果シート!$D$72</f>
        <v>1423844.8997618163</v>
      </c>
      <c r="AE290" s="493">
        <f>AE289*波及効果シート!$D$72</f>
        <v>1423844.8997618163</v>
      </c>
      <c r="AF290" s="493">
        <f>AF289*波及効果シート!$D$72</f>
        <v>1423844.8997618163</v>
      </c>
      <c r="AG290" s="493">
        <f>AG289*波及効果シート!$D$72</f>
        <v>1423844.8997618163</v>
      </c>
      <c r="AH290" s="493">
        <f>AH289*波及効果シート!$D$72</f>
        <v>1423844.8997618163</v>
      </c>
      <c r="AI290" s="535">
        <f t="shared" ref="AI290:AI291" si="336">SUM(D290:N290)</f>
        <v>14238448.997618163</v>
      </c>
      <c r="AJ290" s="535">
        <f t="shared" ref="AJ290:AJ291" si="337">SUM(D290:X290)</f>
        <v>28476897.995236311</v>
      </c>
      <c r="AK290" s="497">
        <f t="shared" ref="AK290:AK291" si="338">SUM(D290:AH290)</f>
        <v>42715346.992854483</v>
      </c>
    </row>
    <row r="291" spans="1:37" ht="11.5" x14ac:dyDescent="0.25">
      <c r="A291" s="533"/>
      <c r="B291" s="439" t="s">
        <v>1137</v>
      </c>
      <c r="C291" s="452" t="s">
        <v>37</v>
      </c>
      <c r="D291" s="493">
        <f>D289*波及効果シート!$D$74</f>
        <v>0</v>
      </c>
      <c r="E291" s="493">
        <f>E289*波及効果シート!$D$74</f>
        <v>1423844.8997618163</v>
      </c>
      <c r="F291" s="493">
        <f>F289*波及効果シート!$D$74</f>
        <v>1423844.8997618163</v>
      </c>
      <c r="G291" s="493">
        <f>G289*波及効果シート!$D$74</f>
        <v>1423844.8997618163</v>
      </c>
      <c r="H291" s="493">
        <f>H289*波及効果シート!$D$74</f>
        <v>1423844.8997618163</v>
      </c>
      <c r="I291" s="493">
        <f>I289*波及効果シート!$D$74</f>
        <v>1423844.8997618163</v>
      </c>
      <c r="J291" s="493">
        <f>J289*波及効果シート!$D$74</f>
        <v>1423844.8997618163</v>
      </c>
      <c r="K291" s="493">
        <f>K289*波及効果シート!$D$74</f>
        <v>1423844.8997618163</v>
      </c>
      <c r="L291" s="493">
        <f>L289*波及効果シート!$D$74</f>
        <v>1423844.8997618163</v>
      </c>
      <c r="M291" s="493">
        <f>M289*波及効果シート!$D$74</f>
        <v>1423844.8997618163</v>
      </c>
      <c r="N291" s="493">
        <f>N289*波及効果シート!$D$74</f>
        <v>1423844.8997618163</v>
      </c>
      <c r="O291" s="493">
        <f>O289*波及効果シート!$D$74</f>
        <v>1423844.8997618163</v>
      </c>
      <c r="P291" s="493">
        <f>P289*波及効果シート!$D$74</f>
        <v>1423844.8997618163</v>
      </c>
      <c r="Q291" s="493">
        <f>Q289*波及効果シート!$D$74</f>
        <v>1423844.8997618163</v>
      </c>
      <c r="R291" s="493">
        <f>R289*波及効果シート!$D$74</f>
        <v>1423844.8997618163</v>
      </c>
      <c r="S291" s="493">
        <f>S289*波及効果シート!$D$74</f>
        <v>1423844.8997618163</v>
      </c>
      <c r="T291" s="493">
        <f>T289*波及効果シート!$D$74</f>
        <v>1423844.8997618163</v>
      </c>
      <c r="U291" s="493">
        <f>U289*波及効果シート!$D$74</f>
        <v>1423844.8997618163</v>
      </c>
      <c r="V291" s="493">
        <f>V289*波及効果シート!$D$74</f>
        <v>1423844.8997618163</v>
      </c>
      <c r="W291" s="493">
        <f>W289*波及効果シート!$D$74</f>
        <v>1423844.8997618163</v>
      </c>
      <c r="X291" s="493">
        <f>X289*波及効果シート!$D$74</f>
        <v>1423844.8997618163</v>
      </c>
      <c r="Y291" s="493">
        <f>Y289*波及効果シート!$D$74</f>
        <v>1423844.8997618163</v>
      </c>
      <c r="Z291" s="493">
        <f>Z289*波及効果シート!$D$74</f>
        <v>1423844.8997618163</v>
      </c>
      <c r="AA291" s="493">
        <f>AA289*波及効果シート!$D$74</f>
        <v>1423844.8997618163</v>
      </c>
      <c r="AB291" s="493">
        <f>AB289*波及効果シート!$D$74</f>
        <v>1423844.8997618163</v>
      </c>
      <c r="AC291" s="493">
        <f>AC289*波及効果シート!$D$74</f>
        <v>1423844.8997618163</v>
      </c>
      <c r="AD291" s="493">
        <f>AD289*波及効果シート!$D$74</f>
        <v>1423844.8997618163</v>
      </c>
      <c r="AE291" s="493">
        <f>AE289*波及効果シート!$D$74</f>
        <v>1423844.8997618163</v>
      </c>
      <c r="AF291" s="493">
        <f>AF289*波及効果シート!$D$74</f>
        <v>1423844.8997618163</v>
      </c>
      <c r="AG291" s="493">
        <f>AG289*波及効果シート!$D$74</f>
        <v>1423844.8997618163</v>
      </c>
      <c r="AH291" s="493">
        <f>AH289*波及効果シート!$D$74</f>
        <v>1423844.8997618163</v>
      </c>
      <c r="AI291" s="535">
        <f t="shared" si="336"/>
        <v>14238448.997618163</v>
      </c>
      <c r="AJ291" s="535">
        <f t="shared" si="337"/>
        <v>28476897.995236311</v>
      </c>
      <c r="AK291" s="497">
        <f t="shared" si="338"/>
        <v>42715346.992854483</v>
      </c>
    </row>
    <row r="292" spans="1:37" ht="11.5" x14ac:dyDescent="0.25">
      <c r="A292" s="533" t="str">
        <f>A288&amp;B292</f>
        <v>その他のサービス業所得税（国税）</v>
      </c>
      <c r="B292" s="439" t="s">
        <v>351</v>
      </c>
      <c r="C292" s="452" t="s">
        <v>333</v>
      </c>
      <c r="D292" s="493">
        <f>D289*地域経済性分析・初期条件!$P$33</f>
        <v>0</v>
      </c>
      <c r="E292" s="493">
        <f>E289*地域経済性分析・初期条件!$P$33</f>
        <v>25888089.086578481</v>
      </c>
      <c r="F292" s="493">
        <f>F289*地域経済性分析・初期条件!$P$33</f>
        <v>25888089.086578481</v>
      </c>
      <c r="G292" s="493">
        <f>G289*地域経済性分析・初期条件!$P$33</f>
        <v>25888089.086578481</v>
      </c>
      <c r="H292" s="493">
        <f>H289*地域経済性分析・初期条件!$P$33</f>
        <v>25888089.086578481</v>
      </c>
      <c r="I292" s="493">
        <f>I289*地域経済性分析・初期条件!$P$33</f>
        <v>25888089.086578481</v>
      </c>
      <c r="J292" s="493">
        <f>J289*地域経済性分析・初期条件!$P$33</f>
        <v>25888089.086578481</v>
      </c>
      <c r="K292" s="493">
        <f>K289*地域経済性分析・初期条件!$P$33</f>
        <v>25888089.086578481</v>
      </c>
      <c r="L292" s="493">
        <f>L289*地域経済性分析・初期条件!$P$33</f>
        <v>25888089.086578481</v>
      </c>
      <c r="M292" s="493">
        <f>M289*地域経済性分析・初期条件!$P$33</f>
        <v>25888089.086578481</v>
      </c>
      <c r="N292" s="493">
        <f>N289*地域経済性分析・初期条件!$P$33</f>
        <v>25888089.086578481</v>
      </c>
      <c r="O292" s="493">
        <f>O289*地域経済性分析・初期条件!$P$33</f>
        <v>25888089.086578481</v>
      </c>
      <c r="P292" s="493">
        <f>P289*地域経済性分析・初期条件!$P$33</f>
        <v>25888089.086578481</v>
      </c>
      <c r="Q292" s="493">
        <f>Q289*地域経済性分析・初期条件!$P$33</f>
        <v>25888089.086578481</v>
      </c>
      <c r="R292" s="493">
        <f>R289*地域経済性分析・初期条件!$P$33</f>
        <v>25888089.086578481</v>
      </c>
      <c r="S292" s="493">
        <f>S289*地域経済性分析・初期条件!$P$33</f>
        <v>25888089.086578481</v>
      </c>
      <c r="T292" s="493">
        <f>T289*地域経済性分析・初期条件!$P$33</f>
        <v>25888089.086578481</v>
      </c>
      <c r="U292" s="493">
        <f>U289*地域経済性分析・初期条件!$P$33</f>
        <v>25888089.086578481</v>
      </c>
      <c r="V292" s="493">
        <f>V289*地域経済性分析・初期条件!$P$33</f>
        <v>25888089.086578481</v>
      </c>
      <c r="W292" s="493">
        <f>W289*地域経済性分析・初期条件!$P$33</f>
        <v>25888089.086578481</v>
      </c>
      <c r="X292" s="493">
        <f>X289*地域経済性分析・初期条件!$P$33</f>
        <v>25888089.086578481</v>
      </c>
      <c r="Y292" s="493">
        <f>Y289*地域経済性分析・初期条件!$P$33</f>
        <v>25888089.086578481</v>
      </c>
      <c r="Z292" s="493">
        <f>Z289*地域経済性分析・初期条件!$P$33</f>
        <v>25888089.086578481</v>
      </c>
      <c r="AA292" s="493">
        <f>AA289*地域経済性分析・初期条件!$P$33</f>
        <v>25888089.086578481</v>
      </c>
      <c r="AB292" s="493">
        <f>AB289*地域経済性分析・初期条件!$P$33</f>
        <v>25888089.086578481</v>
      </c>
      <c r="AC292" s="493">
        <f>AC289*地域経済性分析・初期条件!$P$33</f>
        <v>25888089.086578481</v>
      </c>
      <c r="AD292" s="493">
        <f>AD289*地域経済性分析・初期条件!$P$33</f>
        <v>25888089.086578481</v>
      </c>
      <c r="AE292" s="493">
        <f>AE289*地域経済性分析・初期条件!$P$33</f>
        <v>25888089.086578481</v>
      </c>
      <c r="AF292" s="493">
        <f>AF289*地域経済性分析・初期条件!$P$33</f>
        <v>25888089.086578481</v>
      </c>
      <c r="AG292" s="493">
        <f>AG289*地域経済性分析・初期条件!$P$33</f>
        <v>25888089.086578481</v>
      </c>
      <c r="AH292" s="493">
        <f>AH289*地域経済性分析・初期条件!$P$33</f>
        <v>25888089.086578481</v>
      </c>
      <c r="AI292" s="535">
        <f t="shared" si="333"/>
        <v>258880890.86578485</v>
      </c>
      <c r="AJ292" s="535">
        <f t="shared" si="334"/>
        <v>517761781.73156971</v>
      </c>
      <c r="AK292" s="497">
        <f t="shared" si="335"/>
        <v>776642672.59735453</v>
      </c>
    </row>
    <row r="293" spans="1:37" ht="11.5" x14ac:dyDescent="0.25">
      <c r="A293" s="533" t="str">
        <f>A288&amp;B293</f>
        <v>その他のサービス業法人税（国税）</v>
      </c>
      <c r="B293" s="439" t="s">
        <v>350</v>
      </c>
      <c r="C293" s="452" t="s">
        <v>333</v>
      </c>
      <c r="D293" s="493">
        <f>D289*地域経済性分析・初期条件!$Q$33</f>
        <v>0</v>
      </c>
      <c r="E293" s="493">
        <f>E289*地域経済性分析・初期条件!$Q$33</f>
        <v>19416066.814933859</v>
      </c>
      <c r="F293" s="493">
        <f>F289*地域経済性分析・初期条件!$Q$33</f>
        <v>19416066.814933859</v>
      </c>
      <c r="G293" s="493">
        <f>G289*地域経済性分析・初期条件!$Q$33</f>
        <v>19416066.814933859</v>
      </c>
      <c r="H293" s="493">
        <f>H289*地域経済性分析・初期条件!$Q$33</f>
        <v>19416066.814933859</v>
      </c>
      <c r="I293" s="493">
        <f>I289*地域経済性分析・初期条件!$Q$33</f>
        <v>19416066.814933859</v>
      </c>
      <c r="J293" s="493">
        <f>J289*地域経済性分析・初期条件!$Q$33</f>
        <v>19416066.814933859</v>
      </c>
      <c r="K293" s="493">
        <f>K289*地域経済性分析・初期条件!$Q$33</f>
        <v>19416066.814933859</v>
      </c>
      <c r="L293" s="493">
        <f>L289*地域経済性分析・初期条件!$Q$33</f>
        <v>19416066.814933859</v>
      </c>
      <c r="M293" s="493">
        <f>M289*地域経済性分析・初期条件!$Q$33</f>
        <v>19416066.814933859</v>
      </c>
      <c r="N293" s="493">
        <f>N289*地域経済性分析・初期条件!$Q$33</f>
        <v>19416066.814933859</v>
      </c>
      <c r="O293" s="493">
        <f>O289*地域経済性分析・初期条件!$Q$33</f>
        <v>19416066.814933859</v>
      </c>
      <c r="P293" s="493">
        <f>P289*地域経済性分析・初期条件!$Q$33</f>
        <v>19416066.814933859</v>
      </c>
      <c r="Q293" s="493">
        <f>Q289*地域経済性分析・初期条件!$Q$33</f>
        <v>19416066.814933859</v>
      </c>
      <c r="R293" s="493">
        <f>R289*地域経済性分析・初期条件!$Q$33</f>
        <v>19416066.814933859</v>
      </c>
      <c r="S293" s="493">
        <f>S289*地域経済性分析・初期条件!$Q$33</f>
        <v>19416066.814933859</v>
      </c>
      <c r="T293" s="493">
        <f>T289*地域経済性分析・初期条件!$Q$33</f>
        <v>19416066.814933859</v>
      </c>
      <c r="U293" s="493">
        <f>U289*地域経済性分析・初期条件!$Q$33</f>
        <v>19416066.814933859</v>
      </c>
      <c r="V293" s="493">
        <f>V289*地域経済性分析・初期条件!$Q$33</f>
        <v>19416066.814933859</v>
      </c>
      <c r="W293" s="493">
        <f>W289*地域経済性分析・初期条件!$Q$33</f>
        <v>19416066.814933859</v>
      </c>
      <c r="X293" s="493">
        <f>X289*地域経済性分析・初期条件!$Q$33</f>
        <v>19416066.814933859</v>
      </c>
      <c r="Y293" s="493">
        <f>Y289*地域経済性分析・初期条件!$Q$33</f>
        <v>19416066.814933859</v>
      </c>
      <c r="Z293" s="493">
        <f>Z289*地域経済性分析・初期条件!$Q$33</f>
        <v>19416066.814933859</v>
      </c>
      <c r="AA293" s="493">
        <f>AA289*地域経済性分析・初期条件!$Q$33</f>
        <v>19416066.814933859</v>
      </c>
      <c r="AB293" s="493">
        <f>AB289*地域経済性分析・初期条件!$Q$33</f>
        <v>19416066.814933859</v>
      </c>
      <c r="AC293" s="493">
        <f>AC289*地域経済性分析・初期条件!$Q$33</f>
        <v>19416066.814933859</v>
      </c>
      <c r="AD293" s="493">
        <f>AD289*地域経済性分析・初期条件!$Q$33</f>
        <v>19416066.814933859</v>
      </c>
      <c r="AE293" s="493">
        <f>AE289*地域経済性分析・初期条件!$Q$33</f>
        <v>19416066.814933859</v>
      </c>
      <c r="AF293" s="493">
        <f>AF289*地域経済性分析・初期条件!$Q$33</f>
        <v>19416066.814933859</v>
      </c>
      <c r="AG293" s="493">
        <f>AG289*地域経済性分析・初期条件!$Q$33</f>
        <v>19416066.814933859</v>
      </c>
      <c r="AH293" s="493">
        <f>AH289*地域経済性分析・初期条件!$Q$33</f>
        <v>19416066.814933859</v>
      </c>
      <c r="AI293" s="535">
        <f t="shared" si="333"/>
        <v>194160668.14933863</v>
      </c>
      <c r="AJ293" s="535">
        <f t="shared" si="334"/>
        <v>388321336.29867709</v>
      </c>
      <c r="AK293" s="497">
        <f t="shared" si="335"/>
        <v>582482004.44801557</v>
      </c>
    </row>
    <row r="294" spans="1:37" ht="11.5" x14ac:dyDescent="0.25">
      <c r="A294" s="533" t="str">
        <f>A288&amp;B294</f>
        <v>その他のサービス業従業員の可処分所得（一次）</v>
      </c>
      <c r="B294" s="439" t="s">
        <v>329</v>
      </c>
      <c r="C294" s="451" t="s">
        <v>37</v>
      </c>
      <c r="D294" s="493">
        <f>D289*地域経済性分析・初期条件!$H$33</f>
        <v>0</v>
      </c>
      <c r="E294" s="493">
        <f>E289*地域経済性分析・初期条件!$H$33</f>
        <v>26103028.626656037</v>
      </c>
      <c r="F294" s="493">
        <f>F289*地域経済性分析・初期条件!$H$33</f>
        <v>26103028.626656037</v>
      </c>
      <c r="G294" s="493">
        <f>G289*地域経済性分析・初期条件!$H$33</f>
        <v>26103028.626656037</v>
      </c>
      <c r="H294" s="493">
        <f>H289*地域経済性分析・初期条件!$H$33</f>
        <v>26103028.626656037</v>
      </c>
      <c r="I294" s="493">
        <f>I289*地域経済性分析・初期条件!$H$33</f>
        <v>26103028.626656037</v>
      </c>
      <c r="J294" s="493">
        <f>J289*地域経済性分析・初期条件!$H$33</f>
        <v>26103028.626656037</v>
      </c>
      <c r="K294" s="493">
        <f>K289*地域経済性分析・初期条件!$H$33</f>
        <v>26103028.626656037</v>
      </c>
      <c r="L294" s="493">
        <f>L289*地域経済性分析・初期条件!$H$33</f>
        <v>26103028.626656037</v>
      </c>
      <c r="M294" s="493">
        <f>M289*地域経済性分析・初期条件!$H$33</f>
        <v>26103028.626656037</v>
      </c>
      <c r="N294" s="493">
        <f>N289*地域経済性分析・初期条件!$H$33</f>
        <v>26103028.626656037</v>
      </c>
      <c r="O294" s="493">
        <f>O289*地域経済性分析・初期条件!$H$33</f>
        <v>26103028.626656037</v>
      </c>
      <c r="P294" s="493">
        <f>P289*地域経済性分析・初期条件!$H$33</f>
        <v>26103028.626656037</v>
      </c>
      <c r="Q294" s="493">
        <f>Q289*地域経済性分析・初期条件!$H$33</f>
        <v>26103028.626656037</v>
      </c>
      <c r="R294" s="493">
        <f>R289*地域経済性分析・初期条件!$H$33</f>
        <v>26103028.626656037</v>
      </c>
      <c r="S294" s="493">
        <f>S289*地域経済性分析・初期条件!$H$33</f>
        <v>26103028.626656037</v>
      </c>
      <c r="T294" s="493">
        <f>T289*地域経済性分析・初期条件!$H$33</f>
        <v>26103028.626656037</v>
      </c>
      <c r="U294" s="493">
        <f>U289*地域経済性分析・初期条件!$H$33</f>
        <v>26103028.626656037</v>
      </c>
      <c r="V294" s="493">
        <f>V289*地域経済性分析・初期条件!$H$33</f>
        <v>26103028.626656037</v>
      </c>
      <c r="W294" s="493">
        <f>W289*地域経済性分析・初期条件!$H$33</f>
        <v>26103028.626656037</v>
      </c>
      <c r="X294" s="493">
        <f>X289*地域経済性分析・初期条件!$H$33</f>
        <v>26103028.626656037</v>
      </c>
      <c r="Y294" s="493">
        <f>Y289*地域経済性分析・初期条件!$H$33</f>
        <v>26103028.626656037</v>
      </c>
      <c r="Z294" s="493">
        <f>Z289*地域経済性分析・初期条件!$H$33</f>
        <v>26103028.626656037</v>
      </c>
      <c r="AA294" s="493">
        <f>AA289*地域経済性分析・初期条件!$H$33</f>
        <v>26103028.626656037</v>
      </c>
      <c r="AB294" s="493">
        <f>AB289*地域経済性分析・初期条件!$H$33</f>
        <v>26103028.626656037</v>
      </c>
      <c r="AC294" s="493">
        <f>AC289*地域経済性分析・初期条件!$H$33</f>
        <v>26103028.626656037</v>
      </c>
      <c r="AD294" s="493">
        <f>AD289*地域経済性分析・初期条件!$H$33</f>
        <v>26103028.626656037</v>
      </c>
      <c r="AE294" s="493">
        <f>AE289*地域経済性分析・初期条件!$H$33</f>
        <v>26103028.626656037</v>
      </c>
      <c r="AF294" s="493">
        <f>AF289*地域経済性分析・初期条件!$H$33</f>
        <v>26103028.626656037</v>
      </c>
      <c r="AG294" s="493">
        <f>AG289*地域経済性分析・初期条件!$H$33</f>
        <v>26103028.626656037</v>
      </c>
      <c r="AH294" s="493">
        <f>AH289*地域経済性分析・初期条件!$H$33</f>
        <v>26103028.626656037</v>
      </c>
      <c r="AI294" s="535">
        <f t="shared" si="333"/>
        <v>261030286.26656032</v>
      </c>
      <c r="AJ294" s="535">
        <f t="shared" si="334"/>
        <v>522060572.53312087</v>
      </c>
      <c r="AK294" s="497">
        <f t="shared" si="335"/>
        <v>783090858.79968143</v>
      </c>
    </row>
    <row r="295" spans="1:37" ht="11.5" x14ac:dyDescent="0.25">
      <c r="A295" s="533" t="str">
        <f>A288&amp;B295</f>
        <v>その他のサービス業企業の税引後利益（一次）</v>
      </c>
      <c r="B295" s="439" t="s">
        <v>330</v>
      </c>
      <c r="C295" s="451" t="s">
        <v>37</v>
      </c>
      <c r="D295" s="493">
        <f>D289*地域経済性分析・初期条件!$I$33</f>
        <v>0</v>
      </c>
      <c r="E295" s="493">
        <f>E289*地域経済性分析・初期条件!$I$33</f>
        <v>5970555.4442304149</v>
      </c>
      <c r="F295" s="493">
        <f>F289*地域経済性分析・初期条件!$I$33</f>
        <v>5970555.4442304149</v>
      </c>
      <c r="G295" s="493">
        <f>G289*地域経済性分析・初期条件!$I$33</f>
        <v>5970555.4442304149</v>
      </c>
      <c r="H295" s="493">
        <f>H289*地域経済性分析・初期条件!$I$33</f>
        <v>5970555.4442304149</v>
      </c>
      <c r="I295" s="493">
        <f>I289*地域経済性分析・初期条件!$I$33</f>
        <v>5970555.4442304149</v>
      </c>
      <c r="J295" s="493">
        <f>J289*地域経済性分析・初期条件!$I$33</f>
        <v>5970555.4442304149</v>
      </c>
      <c r="K295" s="493">
        <f>K289*地域経済性分析・初期条件!$I$33</f>
        <v>5970555.4442304149</v>
      </c>
      <c r="L295" s="493">
        <f>L289*地域経済性分析・初期条件!$I$33</f>
        <v>5970555.4442304149</v>
      </c>
      <c r="M295" s="493">
        <f>M289*地域経済性分析・初期条件!$I$33</f>
        <v>5970555.4442304149</v>
      </c>
      <c r="N295" s="493">
        <f>N289*地域経済性分析・初期条件!$I$33</f>
        <v>5970555.4442304149</v>
      </c>
      <c r="O295" s="493">
        <f>O289*地域経済性分析・初期条件!$I$33</f>
        <v>5970555.4442304149</v>
      </c>
      <c r="P295" s="493">
        <f>P289*地域経済性分析・初期条件!$I$33</f>
        <v>5970555.4442304149</v>
      </c>
      <c r="Q295" s="493">
        <f>Q289*地域経済性分析・初期条件!$I$33</f>
        <v>5970555.4442304149</v>
      </c>
      <c r="R295" s="493">
        <f>R289*地域経済性分析・初期条件!$I$33</f>
        <v>5970555.4442304149</v>
      </c>
      <c r="S295" s="493">
        <f>S289*地域経済性分析・初期条件!$I$33</f>
        <v>5970555.4442304149</v>
      </c>
      <c r="T295" s="493">
        <f>T289*地域経済性分析・初期条件!$I$33</f>
        <v>5970555.4442304149</v>
      </c>
      <c r="U295" s="493">
        <f>U289*地域経済性分析・初期条件!$I$33</f>
        <v>5970555.4442304149</v>
      </c>
      <c r="V295" s="493">
        <f>V289*地域経済性分析・初期条件!$I$33</f>
        <v>5970555.4442304149</v>
      </c>
      <c r="W295" s="493">
        <f>W289*地域経済性分析・初期条件!$I$33</f>
        <v>5970555.4442304149</v>
      </c>
      <c r="X295" s="493">
        <f>X289*地域経済性分析・初期条件!$I$33</f>
        <v>5970555.4442304149</v>
      </c>
      <c r="Y295" s="493">
        <f>Y289*地域経済性分析・初期条件!$I$33</f>
        <v>5970555.4442304149</v>
      </c>
      <c r="Z295" s="493">
        <f>Z289*地域経済性分析・初期条件!$I$33</f>
        <v>5970555.4442304149</v>
      </c>
      <c r="AA295" s="493">
        <f>AA289*地域経済性分析・初期条件!$I$33</f>
        <v>5970555.4442304149</v>
      </c>
      <c r="AB295" s="493">
        <f>AB289*地域経済性分析・初期条件!$I$33</f>
        <v>5970555.4442304149</v>
      </c>
      <c r="AC295" s="493">
        <f>AC289*地域経済性分析・初期条件!$I$33</f>
        <v>5970555.4442304149</v>
      </c>
      <c r="AD295" s="493">
        <f>AD289*地域経済性分析・初期条件!$I$33</f>
        <v>5970555.4442304149</v>
      </c>
      <c r="AE295" s="493">
        <f>AE289*地域経済性分析・初期条件!$I$33</f>
        <v>5970555.4442304149</v>
      </c>
      <c r="AF295" s="493">
        <f>AF289*地域経済性分析・初期条件!$I$33</f>
        <v>5970555.4442304149</v>
      </c>
      <c r="AG295" s="493">
        <f>AG289*地域経済性分析・初期条件!$I$33</f>
        <v>5970555.4442304149</v>
      </c>
      <c r="AH295" s="493">
        <f>AH289*地域経済性分析・初期条件!$I$33</f>
        <v>5970555.4442304149</v>
      </c>
      <c r="AI295" s="535">
        <f t="shared" si="333"/>
        <v>59705554.442304149</v>
      </c>
      <c r="AJ295" s="535">
        <f t="shared" si="334"/>
        <v>119411108.88460824</v>
      </c>
      <c r="AK295" s="497">
        <f t="shared" si="335"/>
        <v>179116663.32691231</v>
      </c>
    </row>
    <row r="296" spans="1:37" ht="11.5" x14ac:dyDescent="0.25">
      <c r="A296" s="533" t="str">
        <f>A288&amp;B296</f>
        <v>その他のサービス業都道府県税収（一次）</v>
      </c>
      <c r="B296" s="439" t="s">
        <v>331</v>
      </c>
      <c r="C296" s="451" t="s">
        <v>37</v>
      </c>
      <c r="D296" s="493">
        <f>D289*地域経済性分析・初期条件!$J$33</f>
        <v>0</v>
      </c>
      <c r="E296" s="493">
        <f>E289*地域経済性分析・初期条件!$J$33</f>
        <v>3082206.7325134622</v>
      </c>
      <c r="F296" s="493">
        <f>F289*地域経済性分析・初期条件!$J$33</f>
        <v>3082206.7325134622</v>
      </c>
      <c r="G296" s="493">
        <f>G289*地域経済性分析・初期条件!$J$33</f>
        <v>3082206.7325134622</v>
      </c>
      <c r="H296" s="493">
        <f>H289*地域経済性分析・初期条件!$J$33</f>
        <v>3082206.7325134622</v>
      </c>
      <c r="I296" s="493">
        <f>I289*地域経済性分析・初期条件!$J$33</f>
        <v>3082206.7325134622</v>
      </c>
      <c r="J296" s="493">
        <f>J289*地域経済性分析・初期条件!$J$33</f>
        <v>3082206.7325134622</v>
      </c>
      <c r="K296" s="493">
        <f>K289*地域経済性分析・初期条件!$J$33</f>
        <v>3082206.7325134622</v>
      </c>
      <c r="L296" s="493">
        <f>L289*地域経済性分析・初期条件!$J$33</f>
        <v>3082206.7325134622</v>
      </c>
      <c r="M296" s="493">
        <f>M289*地域経済性分析・初期条件!$J$33</f>
        <v>3082206.7325134622</v>
      </c>
      <c r="N296" s="493">
        <f>N289*地域経済性分析・初期条件!$J$33</f>
        <v>3082206.7325134622</v>
      </c>
      <c r="O296" s="493">
        <f>O289*地域経済性分析・初期条件!$J$33</f>
        <v>3082206.7325134622</v>
      </c>
      <c r="P296" s="493">
        <f>P289*地域経済性分析・初期条件!$J$33</f>
        <v>3082206.7325134622</v>
      </c>
      <c r="Q296" s="493">
        <f>Q289*地域経済性分析・初期条件!$J$33</f>
        <v>3082206.7325134622</v>
      </c>
      <c r="R296" s="493">
        <f>R289*地域経済性分析・初期条件!$J$33</f>
        <v>3082206.7325134622</v>
      </c>
      <c r="S296" s="493">
        <f>S289*地域経済性分析・初期条件!$J$33</f>
        <v>3082206.7325134622</v>
      </c>
      <c r="T296" s="493">
        <f>T289*地域経済性分析・初期条件!$J$33</f>
        <v>3082206.7325134622</v>
      </c>
      <c r="U296" s="493">
        <f>U289*地域経済性分析・初期条件!$J$33</f>
        <v>3082206.7325134622</v>
      </c>
      <c r="V296" s="493">
        <f>V289*地域経済性分析・初期条件!$J$33</f>
        <v>3082206.7325134622</v>
      </c>
      <c r="W296" s="493">
        <f>W289*地域経済性分析・初期条件!$J$33</f>
        <v>3082206.7325134622</v>
      </c>
      <c r="X296" s="493">
        <f>X289*地域経済性分析・初期条件!$J$33</f>
        <v>3082206.7325134622</v>
      </c>
      <c r="Y296" s="493">
        <f>Y289*地域経済性分析・初期条件!$J$33</f>
        <v>3082206.7325134622</v>
      </c>
      <c r="Z296" s="493">
        <f>Z289*地域経済性分析・初期条件!$J$33</f>
        <v>3082206.7325134622</v>
      </c>
      <c r="AA296" s="493">
        <f>AA289*地域経済性分析・初期条件!$J$33</f>
        <v>3082206.7325134622</v>
      </c>
      <c r="AB296" s="493">
        <f>AB289*地域経済性分析・初期条件!$J$33</f>
        <v>3082206.7325134622</v>
      </c>
      <c r="AC296" s="493">
        <f>AC289*地域経済性分析・初期条件!$J$33</f>
        <v>3082206.7325134622</v>
      </c>
      <c r="AD296" s="493">
        <f>AD289*地域経済性分析・初期条件!$J$33</f>
        <v>3082206.7325134622</v>
      </c>
      <c r="AE296" s="493">
        <f>AE289*地域経済性分析・初期条件!$J$33</f>
        <v>3082206.7325134622</v>
      </c>
      <c r="AF296" s="493">
        <f>AF289*地域経済性分析・初期条件!$J$33</f>
        <v>3082206.7325134622</v>
      </c>
      <c r="AG296" s="493">
        <f>AG289*地域経済性分析・初期条件!$J$33</f>
        <v>3082206.7325134622</v>
      </c>
      <c r="AH296" s="493">
        <f>AH289*地域経済性分析・初期条件!$J$33</f>
        <v>3082206.7325134622</v>
      </c>
      <c r="AI296" s="535">
        <f t="shared" si="333"/>
        <v>30822067.325134616</v>
      </c>
      <c r="AJ296" s="535">
        <f t="shared" si="334"/>
        <v>61644134.650269262</v>
      </c>
      <c r="AK296" s="497">
        <f t="shared" si="335"/>
        <v>92466201.975403845</v>
      </c>
    </row>
    <row r="297" spans="1:37" ht="11.5" x14ac:dyDescent="0.25">
      <c r="A297" s="533" t="str">
        <f>A288&amp;B297</f>
        <v>その他のサービス業市町村税収（一次）</v>
      </c>
      <c r="B297" s="439" t="s">
        <v>332</v>
      </c>
      <c r="C297" s="452" t="s">
        <v>37</v>
      </c>
      <c r="D297" s="493">
        <f>D289*地域経済性分析・初期条件!$K$33</f>
        <v>0</v>
      </c>
      <c r="E297" s="493">
        <f>E289*地域経済性分析・初期条件!$K$33</f>
        <v>1629889.3136584936</v>
      </c>
      <c r="F297" s="493">
        <f>F289*地域経済性分析・初期条件!$K$33</f>
        <v>1629889.3136584936</v>
      </c>
      <c r="G297" s="493">
        <f>G289*地域経済性分析・初期条件!$K$33</f>
        <v>1629889.3136584936</v>
      </c>
      <c r="H297" s="493">
        <f>H289*地域経済性分析・初期条件!$K$33</f>
        <v>1629889.3136584936</v>
      </c>
      <c r="I297" s="493">
        <f>I289*地域経済性分析・初期条件!$K$33</f>
        <v>1629889.3136584936</v>
      </c>
      <c r="J297" s="493">
        <f>J289*地域経済性分析・初期条件!$K$33</f>
        <v>1629889.3136584936</v>
      </c>
      <c r="K297" s="493">
        <f>K289*地域経済性分析・初期条件!$K$33</f>
        <v>1629889.3136584936</v>
      </c>
      <c r="L297" s="493">
        <f>L289*地域経済性分析・初期条件!$K$33</f>
        <v>1629889.3136584936</v>
      </c>
      <c r="M297" s="493">
        <f>M289*地域経済性分析・初期条件!$K$33</f>
        <v>1629889.3136584936</v>
      </c>
      <c r="N297" s="493">
        <f>N289*地域経済性分析・初期条件!$K$33</f>
        <v>1629889.3136584936</v>
      </c>
      <c r="O297" s="493">
        <f>O289*地域経済性分析・初期条件!$K$33</f>
        <v>1629889.3136584936</v>
      </c>
      <c r="P297" s="493">
        <f>P289*地域経済性分析・初期条件!$K$33</f>
        <v>1629889.3136584936</v>
      </c>
      <c r="Q297" s="493">
        <f>Q289*地域経済性分析・初期条件!$K$33</f>
        <v>1629889.3136584936</v>
      </c>
      <c r="R297" s="493">
        <f>R289*地域経済性分析・初期条件!$K$33</f>
        <v>1629889.3136584936</v>
      </c>
      <c r="S297" s="493">
        <f>S289*地域経済性分析・初期条件!$K$33</f>
        <v>1629889.3136584936</v>
      </c>
      <c r="T297" s="493">
        <f>T289*地域経済性分析・初期条件!$K$33</f>
        <v>1629889.3136584936</v>
      </c>
      <c r="U297" s="493">
        <f>U289*地域経済性分析・初期条件!$K$33</f>
        <v>1629889.3136584936</v>
      </c>
      <c r="V297" s="493">
        <f>V289*地域経済性分析・初期条件!$K$33</f>
        <v>1629889.3136584936</v>
      </c>
      <c r="W297" s="493">
        <f>W289*地域経済性分析・初期条件!$K$33</f>
        <v>1629889.3136584936</v>
      </c>
      <c r="X297" s="493">
        <f>X289*地域経済性分析・初期条件!$K$33</f>
        <v>1629889.3136584936</v>
      </c>
      <c r="Y297" s="493">
        <f>Y289*地域経済性分析・初期条件!$K$33</f>
        <v>1629889.3136584936</v>
      </c>
      <c r="Z297" s="493">
        <f>Z289*地域経済性分析・初期条件!$K$33</f>
        <v>1629889.3136584936</v>
      </c>
      <c r="AA297" s="493">
        <f>AA289*地域経済性分析・初期条件!$K$33</f>
        <v>1629889.3136584936</v>
      </c>
      <c r="AB297" s="493">
        <f>AB289*地域経済性分析・初期条件!$K$33</f>
        <v>1629889.3136584936</v>
      </c>
      <c r="AC297" s="493">
        <f>AC289*地域経済性分析・初期条件!$K$33</f>
        <v>1629889.3136584936</v>
      </c>
      <c r="AD297" s="493">
        <f>AD289*地域経済性分析・初期条件!$K$33</f>
        <v>1629889.3136584936</v>
      </c>
      <c r="AE297" s="493">
        <f>AE289*地域経済性分析・初期条件!$K$33</f>
        <v>1629889.3136584936</v>
      </c>
      <c r="AF297" s="493">
        <f>AF289*地域経済性分析・初期条件!$K$33</f>
        <v>1629889.3136584936</v>
      </c>
      <c r="AG297" s="493">
        <f>AG289*地域経済性分析・初期条件!$K$33</f>
        <v>1629889.3136584936</v>
      </c>
      <c r="AH297" s="493">
        <f>AH289*地域経済性分析・初期条件!$K$33</f>
        <v>1629889.3136584936</v>
      </c>
      <c r="AI297" s="535">
        <f t="shared" si="333"/>
        <v>16298893.136584938</v>
      </c>
      <c r="AJ297" s="535">
        <f t="shared" si="334"/>
        <v>32597786.273169883</v>
      </c>
      <c r="AK297" s="497">
        <f t="shared" si="335"/>
        <v>48896679.40975479</v>
      </c>
    </row>
    <row r="298" spans="1:37" ht="11.5" x14ac:dyDescent="0.25">
      <c r="A298" s="533" t="str">
        <f>A288&amp;B298</f>
        <v>その他のサービス業従業員の可処分所得（二次以降）</v>
      </c>
      <c r="B298" s="439" t="s">
        <v>334</v>
      </c>
      <c r="C298" s="452" t="s">
        <v>333</v>
      </c>
      <c r="D298" s="493">
        <f>D289*地域経済性分析・初期条件!$L$33</f>
        <v>0</v>
      </c>
      <c r="E298" s="493">
        <f>E289*地域経済性分析・初期条件!$L$33</f>
        <v>9776198.4283610284</v>
      </c>
      <c r="F298" s="493">
        <f>F289*地域経済性分析・初期条件!$L$33</f>
        <v>9776198.4283610284</v>
      </c>
      <c r="G298" s="493">
        <f>G289*地域経済性分析・初期条件!$L$33</f>
        <v>9776198.4283610284</v>
      </c>
      <c r="H298" s="493">
        <f>H289*地域経済性分析・初期条件!$L$33</f>
        <v>9776198.4283610284</v>
      </c>
      <c r="I298" s="493">
        <f>I289*地域経済性分析・初期条件!$L$33</f>
        <v>9776198.4283610284</v>
      </c>
      <c r="J298" s="493">
        <f>J289*地域経済性分析・初期条件!$L$33</f>
        <v>9776198.4283610284</v>
      </c>
      <c r="K298" s="493">
        <f>K289*地域経済性分析・初期条件!$L$33</f>
        <v>9776198.4283610284</v>
      </c>
      <c r="L298" s="493">
        <f>L289*地域経済性分析・初期条件!$L$33</f>
        <v>9776198.4283610284</v>
      </c>
      <c r="M298" s="493">
        <f>M289*地域経済性分析・初期条件!$L$33</f>
        <v>9776198.4283610284</v>
      </c>
      <c r="N298" s="493">
        <f>N289*地域経済性分析・初期条件!$L$33</f>
        <v>9776198.4283610284</v>
      </c>
      <c r="O298" s="493">
        <f>O289*地域経済性分析・初期条件!$L$33</f>
        <v>9776198.4283610284</v>
      </c>
      <c r="P298" s="493">
        <f>P289*地域経済性分析・初期条件!$L$33</f>
        <v>9776198.4283610284</v>
      </c>
      <c r="Q298" s="493">
        <f>Q289*地域経済性分析・初期条件!$L$33</f>
        <v>9776198.4283610284</v>
      </c>
      <c r="R298" s="493">
        <f>R289*地域経済性分析・初期条件!$L$33</f>
        <v>9776198.4283610284</v>
      </c>
      <c r="S298" s="493">
        <f>S289*地域経済性分析・初期条件!$L$33</f>
        <v>9776198.4283610284</v>
      </c>
      <c r="T298" s="493">
        <f>T289*地域経済性分析・初期条件!$L$33</f>
        <v>9776198.4283610284</v>
      </c>
      <c r="U298" s="493">
        <f>U289*地域経済性分析・初期条件!$L$33</f>
        <v>9776198.4283610284</v>
      </c>
      <c r="V298" s="493">
        <f>V289*地域経済性分析・初期条件!$L$33</f>
        <v>9776198.4283610284</v>
      </c>
      <c r="W298" s="493">
        <f>W289*地域経済性分析・初期条件!$L$33</f>
        <v>9776198.4283610284</v>
      </c>
      <c r="X298" s="493">
        <f>X289*地域経済性分析・初期条件!$L$33</f>
        <v>9776198.4283610284</v>
      </c>
      <c r="Y298" s="493">
        <f>Y289*地域経済性分析・初期条件!$L$33</f>
        <v>9776198.4283610284</v>
      </c>
      <c r="Z298" s="493">
        <f>Z289*地域経済性分析・初期条件!$L$33</f>
        <v>9776198.4283610284</v>
      </c>
      <c r="AA298" s="493">
        <f>AA289*地域経済性分析・初期条件!$L$33</f>
        <v>9776198.4283610284</v>
      </c>
      <c r="AB298" s="493">
        <f>AB289*地域経済性分析・初期条件!$L$33</f>
        <v>9776198.4283610284</v>
      </c>
      <c r="AC298" s="493">
        <f>AC289*地域経済性分析・初期条件!$L$33</f>
        <v>9776198.4283610284</v>
      </c>
      <c r="AD298" s="493">
        <f>AD289*地域経済性分析・初期条件!$L$33</f>
        <v>9776198.4283610284</v>
      </c>
      <c r="AE298" s="493">
        <f>AE289*地域経済性分析・初期条件!$L$33</f>
        <v>9776198.4283610284</v>
      </c>
      <c r="AF298" s="493">
        <f>AF289*地域経済性分析・初期条件!$L$33</f>
        <v>9776198.4283610284</v>
      </c>
      <c r="AG298" s="493">
        <f>AG289*地域経済性分析・初期条件!$L$33</f>
        <v>9776198.4283610284</v>
      </c>
      <c r="AH298" s="493">
        <f>AH289*地域経済性分析・初期条件!$L$33</f>
        <v>9776198.4283610284</v>
      </c>
      <c r="AI298" s="535">
        <f>SUM(D298:N298)</f>
        <v>97761984.283610284</v>
      </c>
      <c r="AJ298" s="535">
        <f>SUM(D298:X298)</f>
        <v>195523968.56722057</v>
      </c>
      <c r="AK298" s="497">
        <f>SUM(D298:AH298)</f>
        <v>293285952.85083091</v>
      </c>
    </row>
    <row r="299" spans="1:37" ht="11.5" x14ac:dyDescent="0.25">
      <c r="A299" s="533" t="str">
        <f>A288&amp;B299</f>
        <v>その他のサービス業企業の税引後利益（二次以降）</v>
      </c>
      <c r="B299" s="439" t="s">
        <v>335</v>
      </c>
      <c r="C299" s="452" t="s">
        <v>333</v>
      </c>
      <c r="D299" s="493">
        <f>D289*地域経済性分析・初期条件!$M$33</f>
        <v>0</v>
      </c>
      <c r="E299" s="493">
        <f>E289*地域経済性分析・初期条件!$M$33</f>
        <v>5629777.7890062323</v>
      </c>
      <c r="F299" s="493">
        <f>F289*地域経済性分析・初期条件!$M$33</f>
        <v>5629777.7890062323</v>
      </c>
      <c r="G299" s="493">
        <f>G289*地域経済性分析・初期条件!$M$33</f>
        <v>5629777.7890062323</v>
      </c>
      <c r="H299" s="493">
        <f>H289*地域経済性分析・初期条件!$M$33</f>
        <v>5629777.7890062323</v>
      </c>
      <c r="I299" s="493">
        <f>I289*地域経済性分析・初期条件!$M$33</f>
        <v>5629777.7890062323</v>
      </c>
      <c r="J299" s="493">
        <f>J289*地域経済性分析・初期条件!$M$33</f>
        <v>5629777.7890062323</v>
      </c>
      <c r="K299" s="493">
        <f>K289*地域経済性分析・初期条件!$M$33</f>
        <v>5629777.7890062323</v>
      </c>
      <c r="L299" s="493">
        <f>L289*地域経済性分析・初期条件!$M$33</f>
        <v>5629777.7890062323</v>
      </c>
      <c r="M299" s="493">
        <f>M289*地域経済性分析・初期条件!$M$33</f>
        <v>5629777.7890062323</v>
      </c>
      <c r="N299" s="493">
        <f>N289*地域経済性分析・初期条件!$M$33</f>
        <v>5629777.7890062323</v>
      </c>
      <c r="O299" s="493">
        <f>O289*地域経済性分析・初期条件!$M$33</f>
        <v>5629777.7890062323</v>
      </c>
      <c r="P299" s="493">
        <f>P289*地域経済性分析・初期条件!$M$33</f>
        <v>5629777.7890062323</v>
      </c>
      <c r="Q299" s="493">
        <f>Q289*地域経済性分析・初期条件!$M$33</f>
        <v>5629777.7890062323</v>
      </c>
      <c r="R299" s="493">
        <f>R289*地域経済性分析・初期条件!$M$33</f>
        <v>5629777.7890062323</v>
      </c>
      <c r="S299" s="493">
        <f>S289*地域経済性分析・初期条件!$M$33</f>
        <v>5629777.7890062323</v>
      </c>
      <c r="T299" s="493">
        <f>T289*地域経済性分析・初期条件!$M$33</f>
        <v>5629777.7890062323</v>
      </c>
      <c r="U299" s="493">
        <f>U289*地域経済性分析・初期条件!$M$33</f>
        <v>5629777.7890062323</v>
      </c>
      <c r="V299" s="493">
        <f>V289*地域経済性分析・初期条件!$M$33</f>
        <v>5629777.7890062323</v>
      </c>
      <c r="W299" s="493">
        <f>W289*地域経済性分析・初期条件!$M$33</f>
        <v>5629777.7890062323</v>
      </c>
      <c r="X299" s="493">
        <f>X289*地域経済性分析・初期条件!$M$33</f>
        <v>5629777.7890062323</v>
      </c>
      <c r="Y299" s="493">
        <f>Y289*地域経済性分析・初期条件!$M$33</f>
        <v>5629777.7890062323</v>
      </c>
      <c r="Z299" s="493">
        <f>Z289*地域経済性分析・初期条件!$M$33</f>
        <v>5629777.7890062323</v>
      </c>
      <c r="AA299" s="493">
        <f>AA289*地域経済性分析・初期条件!$M$33</f>
        <v>5629777.7890062323</v>
      </c>
      <c r="AB299" s="493">
        <f>AB289*地域経済性分析・初期条件!$M$33</f>
        <v>5629777.7890062323</v>
      </c>
      <c r="AC299" s="493">
        <f>AC289*地域経済性分析・初期条件!$M$33</f>
        <v>5629777.7890062323</v>
      </c>
      <c r="AD299" s="493">
        <f>AD289*地域経済性分析・初期条件!$M$33</f>
        <v>5629777.7890062323</v>
      </c>
      <c r="AE299" s="493">
        <f>AE289*地域経済性分析・初期条件!$M$33</f>
        <v>5629777.7890062323</v>
      </c>
      <c r="AF299" s="493">
        <f>AF289*地域経済性分析・初期条件!$M$33</f>
        <v>5629777.7890062323</v>
      </c>
      <c r="AG299" s="493">
        <f>AG289*地域経済性分析・初期条件!$M$33</f>
        <v>5629777.7890062323</v>
      </c>
      <c r="AH299" s="493">
        <f>AH289*地域経済性分析・初期条件!$M$33</f>
        <v>5629777.7890062323</v>
      </c>
      <c r="AI299" s="535">
        <f>SUM(D299:N299)</f>
        <v>56297777.890062325</v>
      </c>
      <c r="AJ299" s="535">
        <f>SUM(D299:X299)</f>
        <v>112595555.78012465</v>
      </c>
      <c r="AK299" s="497">
        <f>SUM(D299:AH299)</f>
        <v>168893333.67018697</v>
      </c>
    </row>
    <row r="300" spans="1:37" ht="11.5" x14ac:dyDescent="0.25">
      <c r="A300" s="533" t="str">
        <f>A288&amp;B300</f>
        <v>その他のサービス業都道府県税収（二次以降）</v>
      </c>
      <c r="B300" s="439" t="s">
        <v>336</v>
      </c>
      <c r="C300" s="452" t="s">
        <v>333</v>
      </c>
      <c r="D300" s="493">
        <f>D289*地域経済性分析・初期条件!$N$33</f>
        <v>0</v>
      </c>
      <c r="E300" s="493">
        <f>E289*地域経済性分析・初期条件!$N$33</f>
        <v>1602379.7083620045</v>
      </c>
      <c r="F300" s="493">
        <f>F289*地域経済性分析・初期条件!$N$33</f>
        <v>1602379.7083620045</v>
      </c>
      <c r="G300" s="493">
        <f>G289*地域経済性分析・初期条件!$N$33</f>
        <v>1602379.7083620045</v>
      </c>
      <c r="H300" s="493">
        <f>H289*地域経済性分析・初期条件!$N$33</f>
        <v>1602379.7083620045</v>
      </c>
      <c r="I300" s="493">
        <f>I289*地域経済性分析・初期条件!$N$33</f>
        <v>1602379.7083620045</v>
      </c>
      <c r="J300" s="493">
        <f>J289*地域経済性分析・初期条件!$N$33</f>
        <v>1602379.7083620045</v>
      </c>
      <c r="K300" s="493">
        <f>K289*地域経済性分析・初期条件!$N$33</f>
        <v>1602379.7083620045</v>
      </c>
      <c r="L300" s="493">
        <f>L289*地域経済性分析・初期条件!$N$33</f>
        <v>1602379.7083620045</v>
      </c>
      <c r="M300" s="493">
        <f>M289*地域経済性分析・初期条件!$N$33</f>
        <v>1602379.7083620045</v>
      </c>
      <c r="N300" s="493">
        <f>N289*地域経済性分析・初期条件!$N$33</f>
        <v>1602379.7083620045</v>
      </c>
      <c r="O300" s="493">
        <f>O289*地域経済性分析・初期条件!$N$33</f>
        <v>1602379.7083620045</v>
      </c>
      <c r="P300" s="493">
        <f>P289*地域経済性分析・初期条件!$N$33</f>
        <v>1602379.7083620045</v>
      </c>
      <c r="Q300" s="493">
        <f>Q289*地域経済性分析・初期条件!$N$33</f>
        <v>1602379.7083620045</v>
      </c>
      <c r="R300" s="493">
        <f>R289*地域経済性分析・初期条件!$N$33</f>
        <v>1602379.7083620045</v>
      </c>
      <c r="S300" s="493">
        <f>S289*地域経済性分析・初期条件!$N$33</f>
        <v>1602379.7083620045</v>
      </c>
      <c r="T300" s="493">
        <f>T289*地域経済性分析・初期条件!$N$33</f>
        <v>1602379.7083620045</v>
      </c>
      <c r="U300" s="493">
        <f>U289*地域経済性分析・初期条件!$N$33</f>
        <v>1602379.7083620045</v>
      </c>
      <c r="V300" s="493">
        <f>V289*地域経済性分析・初期条件!$N$33</f>
        <v>1602379.7083620045</v>
      </c>
      <c r="W300" s="493">
        <f>W289*地域経済性分析・初期条件!$N$33</f>
        <v>1602379.7083620045</v>
      </c>
      <c r="X300" s="493">
        <f>X289*地域経済性分析・初期条件!$N$33</f>
        <v>1602379.7083620045</v>
      </c>
      <c r="Y300" s="493">
        <f>Y289*地域経済性分析・初期条件!$N$33</f>
        <v>1602379.7083620045</v>
      </c>
      <c r="Z300" s="493">
        <f>Z289*地域経済性分析・初期条件!$N$33</f>
        <v>1602379.7083620045</v>
      </c>
      <c r="AA300" s="493">
        <f>AA289*地域経済性分析・初期条件!$N$33</f>
        <v>1602379.7083620045</v>
      </c>
      <c r="AB300" s="493">
        <f>AB289*地域経済性分析・初期条件!$N$33</f>
        <v>1602379.7083620045</v>
      </c>
      <c r="AC300" s="493">
        <f>AC289*地域経済性分析・初期条件!$N$33</f>
        <v>1602379.7083620045</v>
      </c>
      <c r="AD300" s="493">
        <f>AD289*地域経済性分析・初期条件!$N$33</f>
        <v>1602379.7083620045</v>
      </c>
      <c r="AE300" s="493">
        <f>AE289*地域経済性分析・初期条件!$N$33</f>
        <v>1602379.7083620045</v>
      </c>
      <c r="AF300" s="493">
        <f>AF289*地域経済性分析・初期条件!$N$33</f>
        <v>1602379.7083620045</v>
      </c>
      <c r="AG300" s="493">
        <f>AG289*地域経済性分析・初期条件!$N$33</f>
        <v>1602379.7083620045</v>
      </c>
      <c r="AH300" s="493">
        <f>AH289*地域経済性分析・初期条件!$N$33</f>
        <v>1602379.7083620045</v>
      </c>
      <c r="AI300" s="535">
        <f>SUM(D300:N300)</f>
        <v>16023797.083620042</v>
      </c>
      <c r="AJ300" s="535">
        <f>SUM(D300:X300)</f>
        <v>32047594.167240098</v>
      </c>
      <c r="AK300" s="497">
        <f>SUM(D300:AH300)</f>
        <v>48071391.250860155</v>
      </c>
    </row>
    <row r="301" spans="1:37" ht="11.5" x14ac:dyDescent="0.25">
      <c r="A301" s="533" t="str">
        <f>A288&amp;B301</f>
        <v>その他のサービス業市町村税収（二次以降）</v>
      </c>
      <c r="B301" s="439" t="s">
        <v>337</v>
      </c>
      <c r="C301" s="452" t="s">
        <v>333</v>
      </c>
      <c r="D301" s="493">
        <f>D289*地域経済性分析・初期条件!$O$33</f>
        <v>0</v>
      </c>
      <c r="E301" s="493">
        <f>E289*地域経済性分析・初期条件!$O$33</f>
        <v>662495.13677523402</v>
      </c>
      <c r="F301" s="493">
        <f>F289*地域経済性分析・初期条件!$O$33</f>
        <v>662495.13677523402</v>
      </c>
      <c r="G301" s="493">
        <f>G289*地域経済性分析・初期条件!$O$33</f>
        <v>662495.13677523402</v>
      </c>
      <c r="H301" s="493">
        <f>H289*地域経済性分析・初期条件!$O$33</f>
        <v>662495.13677523402</v>
      </c>
      <c r="I301" s="493">
        <f>I289*地域経済性分析・初期条件!$O$33</f>
        <v>662495.13677523402</v>
      </c>
      <c r="J301" s="493">
        <f>J289*地域経済性分析・初期条件!$O$33</f>
        <v>662495.13677523402</v>
      </c>
      <c r="K301" s="493">
        <f>K289*地域経済性分析・初期条件!$O$33</f>
        <v>662495.13677523402</v>
      </c>
      <c r="L301" s="493">
        <f>L289*地域経済性分析・初期条件!$O$33</f>
        <v>662495.13677523402</v>
      </c>
      <c r="M301" s="493">
        <f>M289*地域経済性分析・初期条件!$O$33</f>
        <v>662495.13677523402</v>
      </c>
      <c r="N301" s="493">
        <f>N289*地域経済性分析・初期条件!$O$33</f>
        <v>662495.13677523402</v>
      </c>
      <c r="O301" s="493">
        <f>O289*地域経済性分析・初期条件!$O$33</f>
        <v>662495.13677523402</v>
      </c>
      <c r="P301" s="493">
        <f>P289*地域経済性分析・初期条件!$O$33</f>
        <v>662495.13677523402</v>
      </c>
      <c r="Q301" s="493">
        <f>Q289*地域経済性分析・初期条件!$O$33</f>
        <v>662495.13677523402</v>
      </c>
      <c r="R301" s="493">
        <f>R289*地域経済性分析・初期条件!$O$33</f>
        <v>662495.13677523402</v>
      </c>
      <c r="S301" s="493">
        <f>S289*地域経済性分析・初期条件!$O$33</f>
        <v>662495.13677523402</v>
      </c>
      <c r="T301" s="493">
        <f>T289*地域経済性分析・初期条件!$O$33</f>
        <v>662495.13677523402</v>
      </c>
      <c r="U301" s="493">
        <f>U289*地域経済性分析・初期条件!$O$33</f>
        <v>662495.13677523402</v>
      </c>
      <c r="V301" s="493">
        <f>V289*地域経済性分析・初期条件!$O$33</f>
        <v>662495.13677523402</v>
      </c>
      <c r="W301" s="493">
        <f>W289*地域経済性分析・初期条件!$O$33</f>
        <v>662495.13677523402</v>
      </c>
      <c r="X301" s="493">
        <f>X289*地域経済性分析・初期条件!$O$33</f>
        <v>662495.13677523402</v>
      </c>
      <c r="Y301" s="493">
        <f>Y289*地域経済性分析・初期条件!$O$33</f>
        <v>662495.13677523402</v>
      </c>
      <c r="Z301" s="493">
        <f>Z289*地域経済性分析・初期条件!$O$33</f>
        <v>662495.13677523402</v>
      </c>
      <c r="AA301" s="493">
        <f>AA289*地域経済性分析・初期条件!$O$33</f>
        <v>662495.13677523402</v>
      </c>
      <c r="AB301" s="493">
        <f>AB289*地域経済性分析・初期条件!$O$33</f>
        <v>662495.13677523402</v>
      </c>
      <c r="AC301" s="493">
        <f>AC289*地域経済性分析・初期条件!$O$33</f>
        <v>662495.13677523402</v>
      </c>
      <c r="AD301" s="493">
        <f>AD289*地域経済性分析・初期条件!$O$33</f>
        <v>662495.13677523402</v>
      </c>
      <c r="AE301" s="493">
        <f>AE289*地域経済性分析・初期条件!$O$33</f>
        <v>662495.13677523402</v>
      </c>
      <c r="AF301" s="493">
        <f>AF289*地域経済性分析・初期条件!$O$33</f>
        <v>662495.13677523402</v>
      </c>
      <c r="AG301" s="493">
        <f>AG289*地域経済性分析・初期条件!$O$33</f>
        <v>662495.13677523402</v>
      </c>
      <c r="AH301" s="493">
        <f>AH289*地域経済性分析・初期条件!$O$33</f>
        <v>662495.13677523402</v>
      </c>
      <c r="AI301" s="535">
        <f>SUM(D301:N301)</f>
        <v>6624951.3677523388</v>
      </c>
      <c r="AJ301" s="535">
        <f>SUM(D301:X301)</f>
        <v>13249902.735504683</v>
      </c>
      <c r="AK301" s="497">
        <f>SUM(D301:AH301)</f>
        <v>19874854.103257023</v>
      </c>
    </row>
    <row r="302" spans="1:37" ht="11.5" x14ac:dyDescent="0.25">
      <c r="A302" s="488">
        <f>地域経済性分析・初期条件!$G$34</f>
        <v>0</v>
      </c>
      <c r="C302" s="452"/>
      <c r="D302" s="493"/>
      <c r="E302" s="493"/>
      <c r="F302" s="465"/>
      <c r="G302" s="465"/>
      <c r="H302" s="465"/>
      <c r="I302" s="465"/>
      <c r="J302" s="465"/>
      <c r="K302" s="465"/>
      <c r="L302" s="465"/>
      <c r="M302" s="465"/>
      <c r="N302" s="465"/>
      <c r="O302" s="465"/>
      <c r="P302" s="465"/>
      <c r="Q302" s="465"/>
      <c r="R302" s="465"/>
      <c r="S302" s="465"/>
      <c r="T302" s="465"/>
      <c r="U302" s="465"/>
      <c r="V302" s="465"/>
      <c r="W302" s="465"/>
      <c r="X302" s="465"/>
      <c r="Y302" s="465"/>
      <c r="Z302" s="465"/>
      <c r="AA302" s="465"/>
      <c r="AB302" s="465"/>
      <c r="AC302" s="465"/>
      <c r="AD302" s="465"/>
      <c r="AE302" s="465"/>
      <c r="AF302" s="465"/>
      <c r="AG302" s="465"/>
      <c r="AH302" s="465"/>
      <c r="AI302" s="535"/>
      <c r="AJ302" s="535"/>
      <c r="AK302" s="497"/>
    </row>
    <row r="303" spans="1:37" ht="12" customHeight="1" x14ac:dyDescent="0.25">
      <c r="A303" s="533" t="str">
        <f>A302&amp;B303</f>
        <v>0売上（税別）</v>
      </c>
      <c r="B303" s="439" t="s">
        <v>1092</v>
      </c>
      <c r="C303" s="451" t="s">
        <v>37</v>
      </c>
      <c r="D303" s="493">
        <f>D287*地域経済性分析・初期条件!$F$34</f>
        <v>0</v>
      </c>
      <c r="E303" s="493">
        <f>E287*地域経済性分析・初期条件!$F$34</f>
        <v>0</v>
      </c>
      <c r="F303" s="493">
        <f>F287*地域経済性分析・初期条件!$F$34</f>
        <v>0</v>
      </c>
      <c r="G303" s="493">
        <f>G287*地域経済性分析・初期条件!$F$34</f>
        <v>0</v>
      </c>
      <c r="H303" s="493">
        <f>H287*地域経済性分析・初期条件!$F$34</f>
        <v>0</v>
      </c>
      <c r="I303" s="493">
        <f>I287*地域経済性分析・初期条件!$F$34</f>
        <v>0</v>
      </c>
      <c r="J303" s="493">
        <f>J287*地域経済性分析・初期条件!$F$34</f>
        <v>0</v>
      </c>
      <c r="K303" s="493">
        <f>K287*地域経済性分析・初期条件!$F$34</f>
        <v>0</v>
      </c>
      <c r="L303" s="493">
        <f>L287*地域経済性分析・初期条件!$F$34</f>
        <v>0</v>
      </c>
      <c r="M303" s="493">
        <f>M287*地域経済性分析・初期条件!$F$34</f>
        <v>0</v>
      </c>
      <c r="N303" s="493">
        <f>N287*地域経済性分析・初期条件!$F$34</f>
        <v>0</v>
      </c>
      <c r="O303" s="493">
        <f>O287*地域経済性分析・初期条件!$F$34</f>
        <v>0</v>
      </c>
      <c r="P303" s="493">
        <f>P287*地域経済性分析・初期条件!$F$34</f>
        <v>0</v>
      </c>
      <c r="Q303" s="493">
        <f>Q287*地域経済性分析・初期条件!$F$34</f>
        <v>0</v>
      </c>
      <c r="R303" s="493">
        <f>R287*地域経済性分析・初期条件!$F$34</f>
        <v>0</v>
      </c>
      <c r="S303" s="493">
        <f>S287*地域経済性分析・初期条件!$F$34</f>
        <v>0</v>
      </c>
      <c r="T303" s="493">
        <f>T287*地域経済性分析・初期条件!$F$34</f>
        <v>0</v>
      </c>
      <c r="U303" s="493">
        <f>U287*地域経済性分析・初期条件!$F$34</f>
        <v>0</v>
      </c>
      <c r="V303" s="493">
        <f>V287*地域経済性分析・初期条件!$F$34</f>
        <v>0</v>
      </c>
      <c r="W303" s="493">
        <f>W287*地域経済性分析・初期条件!$F$34</f>
        <v>0</v>
      </c>
      <c r="X303" s="493">
        <f>X287*地域経済性分析・初期条件!$F$34</f>
        <v>0</v>
      </c>
      <c r="Y303" s="493">
        <f>Y287*地域経済性分析・初期条件!$F$34</f>
        <v>0</v>
      </c>
      <c r="Z303" s="493">
        <f>Z287*地域経済性分析・初期条件!$F$34</f>
        <v>0</v>
      </c>
      <c r="AA303" s="493">
        <f>AA287*地域経済性分析・初期条件!$F$34</f>
        <v>0</v>
      </c>
      <c r="AB303" s="493">
        <f>AB287*地域経済性分析・初期条件!$F$34</f>
        <v>0</v>
      </c>
      <c r="AC303" s="493">
        <f>AC287*地域経済性分析・初期条件!$F$34</f>
        <v>0</v>
      </c>
      <c r="AD303" s="493">
        <f>AD287*地域経済性分析・初期条件!$F$34</f>
        <v>0</v>
      </c>
      <c r="AE303" s="493">
        <f>AE287*地域経済性分析・初期条件!$F$34</f>
        <v>0</v>
      </c>
      <c r="AF303" s="493">
        <f>AF287*地域経済性分析・初期条件!$F$34</f>
        <v>0</v>
      </c>
      <c r="AG303" s="493">
        <f>AG287*地域経済性分析・初期条件!$F$34</f>
        <v>0</v>
      </c>
      <c r="AH303" s="493">
        <f>AH287*地域経済性分析・初期条件!$F$34</f>
        <v>0</v>
      </c>
      <c r="AI303" s="535">
        <f t="shared" ref="AI303:AI311" si="339">SUM(D303:N303)</f>
        <v>0</v>
      </c>
      <c r="AJ303" s="535">
        <f>SUM(D303:X303)</f>
        <v>0</v>
      </c>
      <c r="AK303" s="497">
        <f>SUM(D303:AH303)</f>
        <v>0</v>
      </c>
    </row>
    <row r="304" spans="1:37" ht="11.5" x14ac:dyDescent="0.25">
      <c r="A304" s="533"/>
      <c r="B304" s="439" t="s">
        <v>1136</v>
      </c>
      <c r="C304" s="451" t="s">
        <v>37</v>
      </c>
      <c r="D304" s="493">
        <f>D303*波及効果シート!$D$72</f>
        <v>0</v>
      </c>
      <c r="E304" s="493">
        <f>E303*波及効果シート!$D$72</f>
        <v>0</v>
      </c>
      <c r="F304" s="493">
        <f>F303*波及効果シート!$D$72</f>
        <v>0</v>
      </c>
      <c r="G304" s="493">
        <f>G303*波及効果シート!$D$72</f>
        <v>0</v>
      </c>
      <c r="H304" s="493">
        <f>H303*波及効果シート!$D$72</f>
        <v>0</v>
      </c>
      <c r="I304" s="493">
        <f>I303*波及効果シート!$D$72</f>
        <v>0</v>
      </c>
      <c r="J304" s="493">
        <f>J303*波及効果シート!$D$72</f>
        <v>0</v>
      </c>
      <c r="K304" s="493">
        <f>K303*波及効果シート!$D$72</f>
        <v>0</v>
      </c>
      <c r="L304" s="493">
        <f>L303*波及効果シート!$D$72</f>
        <v>0</v>
      </c>
      <c r="M304" s="493">
        <f>M303*波及効果シート!$D$72</f>
        <v>0</v>
      </c>
      <c r="N304" s="493">
        <f>N303*波及効果シート!$D$72</f>
        <v>0</v>
      </c>
      <c r="O304" s="493">
        <f>O303*波及効果シート!$D$72</f>
        <v>0</v>
      </c>
      <c r="P304" s="493">
        <f>P303*波及効果シート!$D$72</f>
        <v>0</v>
      </c>
      <c r="Q304" s="493">
        <f>Q303*波及効果シート!$D$72</f>
        <v>0</v>
      </c>
      <c r="R304" s="493">
        <f>R303*波及効果シート!$D$72</f>
        <v>0</v>
      </c>
      <c r="S304" s="493">
        <f>S303*波及効果シート!$D$72</f>
        <v>0</v>
      </c>
      <c r="T304" s="493">
        <f>T303*波及効果シート!$D$72</f>
        <v>0</v>
      </c>
      <c r="U304" s="493">
        <f>U303*波及効果シート!$D$72</f>
        <v>0</v>
      </c>
      <c r="V304" s="493">
        <f>V303*波及効果シート!$D$72</f>
        <v>0</v>
      </c>
      <c r="W304" s="493">
        <f>W303*波及効果シート!$D$72</f>
        <v>0</v>
      </c>
      <c r="X304" s="493">
        <f>X303*波及効果シート!$D$72</f>
        <v>0</v>
      </c>
      <c r="Y304" s="493">
        <f>Y303*波及効果シート!$D$72</f>
        <v>0</v>
      </c>
      <c r="Z304" s="493">
        <f>Z303*波及効果シート!$D$72</f>
        <v>0</v>
      </c>
      <c r="AA304" s="493">
        <f>AA303*波及効果シート!$D$72</f>
        <v>0</v>
      </c>
      <c r="AB304" s="493">
        <f>AB303*波及効果シート!$D$72</f>
        <v>0</v>
      </c>
      <c r="AC304" s="493">
        <f>AC303*波及効果シート!$D$72</f>
        <v>0</v>
      </c>
      <c r="AD304" s="493">
        <f>AD303*波及効果シート!$D$72</f>
        <v>0</v>
      </c>
      <c r="AE304" s="493">
        <f>AE303*波及効果シート!$D$72</f>
        <v>0</v>
      </c>
      <c r="AF304" s="493">
        <f>AF303*波及効果シート!$D$72</f>
        <v>0</v>
      </c>
      <c r="AG304" s="493">
        <f>AG303*波及効果シート!$D$72</f>
        <v>0</v>
      </c>
      <c r="AH304" s="493">
        <f>AH303*波及効果シート!$D$72</f>
        <v>0</v>
      </c>
      <c r="AI304" s="535">
        <f t="shared" ref="AI304:AI305" si="340">SUM(D304:N304)</f>
        <v>0</v>
      </c>
      <c r="AJ304" s="535">
        <f t="shared" ref="AJ304:AJ305" si="341">SUM(D304:X304)</f>
        <v>0</v>
      </c>
      <c r="AK304" s="497">
        <f t="shared" ref="AK304:AK305" si="342">SUM(D304:AH304)</f>
        <v>0</v>
      </c>
    </row>
    <row r="305" spans="1:37" ht="11.5" x14ac:dyDescent="0.25">
      <c r="A305" s="533"/>
      <c r="B305" s="439" t="s">
        <v>1137</v>
      </c>
      <c r="C305" s="452" t="s">
        <v>37</v>
      </c>
      <c r="D305" s="493">
        <f>D303*波及効果シート!$D$74</f>
        <v>0</v>
      </c>
      <c r="E305" s="493">
        <f>E303*波及効果シート!$D$74</f>
        <v>0</v>
      </c>
      <c r="F305" s="493">
        <f>F303*波及効果シート!$D$74</f>
        <v>0</v>
      </c>
      <c r="G305" s="493">
        <f>G303*波及効果シート!$D$74</f>
        <v>0</v>
      </c>
      <c r="H305" s="493">
        <f>H303*波及効果シート!$D$74</f>
        <v>0</v>
      </c>
      <c r="I305" s="493">
        <f>I303*波及効果シート!$D$74</f>
        <v>0</v>
      </c>
      <c r="J305" s="493">
        <f>J303*波及効果シート!$D$74</f>
        <v>0</v>
      </c>
      <c r="K305" s="493">
        <f>K303*波及効果シート!$D$74</f>
        <v>0</v>
      </c>
      <c r="L305" s="493">
        <f>L303*波及効果シート!$D$74</f>
        <v>0</v>
      </c>
      <c r="M305" s="493">
        <f>M303*波及効果シート!$D$74</f>
        <v>0</v>
      </c>
      <c r="N305" s="493">
        <f>N303*波及効果シート!$D$74</f>
        <v>0</v>
      </c>
      <c r="O305" s="493">
        <f>O303*波及効果シート!$D$74</f>
        <v>0</v>
      </c>
      <c r="P305" s="493">
        <f>P303*波及効果シート!$D$74</f>
        <v>0</v>
      </c>
      <c r="Q305" s="493">
        <f>Q303*波及効果シート!$D$74</f>
        <v>0</v>
      </c>
      <c r="R305" s="493">
        <f>R303*波及効果シート!$D$74</f>
        <v>0</v>
      </c>
      <c r="S305" s="493">
        <f>S303*波及効果シート!$D$74</f>
        <v>0</v>
      </c>
      <c r="T305" s="493">
        <f>T303*波及効果シート!$D$74</f>
        <v>0</v>
      </c>
      <c r="U305" s="493">
        <f>U303*波及効果シート!$D$74</f>
        <v>0</v>
      </c>
      <c r="V305" s="493">
        <f>V303*波及効果シート!$D$74</f>
        <v>0</v>
      </c>
      <c r="W305" s="493">
        <f>W303*波及効果シート!$D$74</f>
        <v>0</v>
      </c>
      <c r="X305" s="493">
        <f>X303*波及効果シート!$D$74</f>
        <v>0</v>
      </c>
      <c r="Y305" s="493">
        <f>Y303*波及効果シート!$D$74</f>
        <v>0</v>
      </c>
      <c r="Z305" s="493">
        <f>Z303*波及効果シート!$D$74</f>
        <v>0</v>
      </c>
      <c r="AA305" s="493">
        <f>AA303*波及効果シート!$D$74</f>
        <v>0</v>
      </c>
      <c r="AB305" s="493">
        <f>AB303*波及効果シート!$D$74</f>
        <v>0</v>
      </c>
      <c r="AC305" s="493">
        <f>AC303*波及効果シート!$D$74</f>
        <v>0</v>
      </c>
      <c r="AD305" s="493">
        <f>AD303*波及効果シート!$D$74</f>
        <v>0</v>
      </c>
      <c r="AE305" s="493">
        <f>AE303*波及効果シート!$D$74</f>
        <v>0</v>
      </c>
      <c r="AF305" s="493">
        <f>AF303*波及効果シート!$D$74</f>
        <v>0</v>
      </c>
      <c r="AG305" s="493">
        <f>AG303*波及効果シート!$D$74</f>
        <v>0</v>
      </c>
      <c r="AH305" s="493">
        <f>AH303*波及効果シート!$D$74</f>
        <v>0</v>
      </c>
      <c r="AI305" s="535">
        <f t="shared" si="340"/>
        <v>0</v>
      </c>
      <c r="AJ305" s="535">
        <f t="shared" si="341"/>
        <v>0</v>
      </c>
      <c r="AK305" s="497">
        <f t="shared" si="342"/>
        <v>0</v>
      </c>
    </row>
    <row r="306" spans="1:37" ht="11.5" x14ac:dyDescent="0.25">
      <c r="A306" s="533" t="str">
        <f>A302&amp;B306</f>
        <v>0所得税（国税）</v>
      </c>
      <c r="B306" s="439" t="s">
        <v>351</v>
      </c>
      <c r="C306" s="452" t="s">
        <v>333</v>
      </c>
      <c r="D306" s="493">
        <f>D303*地域経済性分析・初期条件!$P$34</f>
        <v>0</v>
      </c>
      <c r="E306" s="493">
        <f>E303*地域経済性分析・初期条件!$P$34</f>
        <v>0</v>
      </c>
      <c r="F306" s="493">
        <f>F303*地域経済性分析・初期条件!$P$34</f>
        <v>0</v>
      </c>
      <c r="G306" s="493">
        <f>G303*地域経済性分析・初期条件!$P$34</f>
        <v>0</v>
      </c>
      <c r="H306" s="493">
        <f>H303*地域経済性分析・初期条件!$P$34</f>
        <v>0</v>
      </c>
      <c r="I306" s="493">
        <f>I303*地域経済性分析・初期条件!$P$34</f>
        <v>0</v>
      </c>
      <c r="J306" s="493">
        <f>J303*地域経済性分析・初期条件!$P$34</f>
        <v>0</v>
      </c>
      <c r="K306" s="493">
        <f>K303*地域経済性分析・初期条件!$P$34</f>
        <v>0</v>
      </c>
      <c r="L306" s="493">
        <f>L303*地域経済性分析・初期条件!$P$34</f>
        <v>0</v>
      </c>
      <c r="M306" s="493">
        <f>M303*地域経済性分析・初期条件!$P$34</f>
        <v>0</v>
      </c>
      <c r="N306" s="493">
        <f>N303*地域経済性分析・初期条件!$P$34</f>
        <v>0</v>
      </c>
      <c r="O306" s="493">
        <f>O303*地域経済性分析・初期条件!$P$34</f>
        <v>0</v>
      </c>
      <c r="P306" s="493">
        <f>P303*地域経済性分析・初期条件!$P$34</f>
        <v>0</v>
      </c>
      <c r="Q306" s="493">
        <f>Q303*地域経済性分析・初期条件!$P$34</f>
        <v>0</v>
      </c>
      <c r="R306" s="493">
        <f>R303*地域経済性分析・初期条件!$P$34</f>
        <v>0</v>
      </c>
      <c r="S306" s="493">
        <f>S303*地域経済性分析・初期条件!$P$34</f>
        <v>0</v>
      </c>
      <c r="T306" s="493">
        <f>T303*地域経済性分析・初期条件!$P$34</f>
        <v>0</v>
      </c>
      <c r="U306" s="493">
        <f>U303*地域経済性分析・初期条件!$P$34</f>
        <v>0</v>
      </c>
      <c r="V306" s="493">
        <f>V303*地域経済性分析・初期条件!$P$34</f>
        <v>0</v>
      </c>
      <c r="W306" s="493">
        <f>W303*地域経済性分析・初期条件!$P$34</f>
        <v>0</v>
      </c>
      <c r="X306" s="493">
        <f>X303*地域経済性分析・初期条件!$P$34</f>
        <v>0</v>
      </c>
      <c r="Y306" s="493">
        <f>Y303*地域経済性分析・初期条件!$P$34</f>
        <v>0</v>
      </c>
      <c r="Z306" s="493">
        <f>Z303*地域経済性分析・初期条件!$P$34</f>
        <v>0</v>
      </c>
      <c r="AA306" s="493">
        <f>AA303*地域経済性分析・初期条件!$P$34</f>
        <v>0</v>
      </c>
      <c r="AB306" s="493">
        <f>AB303*地域経済性分析・初期条件!$P$34</f>
        <v>0</v>
      </c>
      <c r="AC306" s="493">
        <f>AC303*地域経済性分析・初期条件!$P$34</f>
        <v>0</v>
      </c>
      <c r="AD306" s="493">
        <f>AD303*地域経済性分析・初期条件!$P$34</f>
        <v>0</v>
      </c>
      <c r="AE306" s="493">
        <f>AE303*地域経済性分析・初期条件!$P$34</f>
        <v>0</v>
      </c>
      <c r="AF306" s="493">
        <f>AF303*地域経済性分析・初期条件!$P$34</f>
        <v>0</v>
      </c>
      <c r="AG306" s="493">
        <f>AG303*地域経済性分析・初期条件!$P$34</f>
        <v>0</v>
      </c>
      <c r="AH306" s="493">
        <f>AH303*地域経済性分析・初期条件!$P$34</f>
        <v>0</v>
      </c>
      <c r="AI306" s="535">
        <f t="shared" si="339"/>
        <v>0</v>
      </c>
      <c r="AJ306" s="535">
        <f>SUM(D306:X306)</f>
        <v>0</v>
      </c>
      <c r="AK306" s="497">
        <f>SUM(D306:AH306)</f>
        <v>0</v>
      </c>
    </row>
    <row r="307" spans="1:37" ht="11.5" x14ac:dyDescent="0.25">
      <c r="A307" s="533" t="str">
        <f>A302&amp;B307</f>
        <v>0法人税（国税）</v>
      </c>
      <c r="B307" s="439" t="s">
        <v>350</v>
      </c>
      <c r="C307" s="452" t="s">
        <v>333</v>
      </c>
      <c r="D307" s="493">
        <f>D303*地域経済性分析・初期条件!$Q$34</f>
        <v>0</v>
      </c>
      <c r="E307" s="493">
        <f>E303*地域経済性分析・初期条件!$Q$34</f>
        <v>0</v>
      </c>
      <c r="F307" s="493">
        <f>F303*地域経済性分析・初期条件!$Q$34</f>
        <v>0</v>
      </c>
      <c r="G307" s="493">
        <f>G303*地域経済性分析・初期条件!$Q$34</f>
        <v>0</v>
      </c>
      <c r="H307" s="493">
        <f>H303*地域経済性分析・初期条件!$Q$34</f>
        <v>0</v>
      </c>
      <c r="I307" s="493">
        <f>I303*地域経済性分析・初期条件!$Q$34</f>
        <v>0</v>
      </c>
      <c r="J307" s="493">
        <f>J303*地域経済性分析・初期条件!$Q$34</f>
        <v>0</v>
      </c>
      <c r="K307" s="493">
        <f>K303*地域経済性分析・初期条件!$Q$34</f>
        <v>0</v>
      </c>
      <c r="L307" s="493">
        <f>L303*地域経済性分析・初期条件!$Q$34</f>
        <v>0</v>
      </c>
      <c r="M307" s="493">
        <f>M303*地域経済性分析・初期条件!$Q$34</f>
        <v>0</v>
      </c>
      <c r="N307" s="493">
        <f>N303*地域経済性分析・初期条件!$Q$34</f>
        <v>0</v>
      </c>
      <c r="O307" s="493">
        <f>O303*地域経済性分析・初期条件!$Q$34</f>
        <v>0</v>
      </c>
      <c r="P307" s="493">
        <f>P303*地域経済性分析・初期条件!$Q$34</f>
        <v>0</v>
      </c>
      <c r="Q307" s="493">
        <f>Q303*地域経済性分析・初期条件!$Q$34</f>
        <v>0</v>
      </c>
      <c r="R307" s="493">
        <f>R303*地域経済性分析・初期条件!$Q$34</f>
        <v>0</v>
      </c>
      <c r="S307" s="493">
        <f>S303*地域経済性分析・初期条件!$Q$34</f>
        <v>0</v>
      </c>
      <c r="T307" s="493">
        <f>T303*地域経済性分析・初期条件!$Q$34</f>
        <v>0</v>
      </c>
      <c r="U307" s="493">
        <f>U303*地域経済性分析・初期条件!$Q$34</f>
        <v>0</v>
      </c>
      <c r="V307" s="493">
        <f>V303*地域経済性分析・初期条件!$Q$34</f>
        <v>0</v>
      </c>
      <c r="W307" s="493">
        <f>W303*地域経済性分析・初期条件!$Q$34</f>
        <v>0</v>
      </c>
      <c r="X307" s="493">
        <f>X303*地域経済性分析・初期条件!$Q$34</f>
        <v>0</v>
      </c>
      <c r="Y307" s="493">
        <f>Y303*地域経済性分析・初期条件!$Q$34</f>
        <v>0</v>
      </c>
      <c r="Z307" s="493">
        <f>Z303*地域経済性分析・初期条件!$Q$34</f>
        <v>0</v>
      </c>
      <c r="AA307" s="493">
        <f>AA303*地域経済性分析・初期条件!$Q$34</f>
        <v>0</v>
      </c>
      <c r="AB307" s="493">
        <f>AB303*地域経済性分析・初期条件!$Q$34</f>
        <v>0</v>
      </c>
      <c r="AC307" s="493">
        <f>AC303*地域経済性分析・初期条件!$Q$34</f>
        <v>0</v>
      </c>
      <c r="AD307" s="493">
        <f>AD303*地域経済性分析・初期条件!$Q$34</f>
        <v>0</v>
      </c>
      <c r="AE307" s="493">
        <f>AE303*地域経済性分析・初期条件!$Q$34</f>
        <v>0</v>
      </c>
      <c r="AF307" s="493">
        <f>AF303*地域経済性分析・初期条件!$Q$34</f>
        <v>0</v>
      </c>
      <c r="AG307" s="493">
        <f>AG303*地域経済性分析・初期条件!$Q$34</f>
        <v>0</v>
      </c>
      <c r="AH307" s="493">
        <f>AH303*地域経済性分析・初期条件!$Q$34</f>
        <v>0</v>
      </c>
      <c r="AI307" s="535">
        <f t="shared" si="339"/>
        <v>0</v>
      </c>
      <c r="AJ307" s="535">
        <f>SUM(D307:X307)</f>
        <v>0</v>
      </c>
      <c r="AK307" s="497">
        <f>SUM(D307:AH307)</f>
        <v>0</v>
      </c>
    </row>
    <row r="308" spans="1:37" ht="11.5" x14ac:dyDescent="0.25">
      <c r="A308" s="533" t="str">
        <f>A302&amp;B308</f>
        <v>0従業員の可処分所得（一次）</v>
      </c>
      <c r="B308" s="439" t="s">
        <v>329</v>
      </c>
      <c r="C308" s="451" t="s">
        <v>37</v>
      </c>
      <c r="D308" s="493">
        <f>D303*地域経済性分析・初期条件!$H$34</f>
        <v>0</v>
      </c>
      <c r="E308" s="493">
        <f>E303*地域経済性分析・初期条件!$H$34</f>
        <v>0</v>
      </c>
      <c r="F308" s="493">
        <f>F303*地域経済性分析・初期条件!$H$34</f>
        <v>0</v>
      </c>
      <c r="G308" s="493">
        <f>G303*地域経済性分析・初期条件!$H$34</f>
        <v>0</v>
      </c>
      <c r="H308" s="493">
        <f>H303*地域経済性分析・初期条件!$H$34</f>
        <v>0</v>
      </c>
      <c r="I308" s="493">
        <f>I303*地域経済性分析・初期条件!$H$34</f>
        <v>0</v>
      </c>
      <c r="J308" s="493">
        <f>J303*地域経済性分析・初期条件!$H$34</f>
        <v>0</v>
      </c>
      <c r="K308" s="493">
        <f>K303*地域経済性分析・初期条件!$H$34</f>
        <v>0</v>
      </c>
      <c r="L308" s="493">
        <f>L303*地域経済性分析・初期条件!$H$34</f>
        <v>0</v>
      </c>
      <c r="M308" s="493">
        <f>M303*地域経済性分析・初期条件!$H$34</f>
        <v>0</v>
      </c>
      <c r="N308" s="493">
        <f>N303*地域経済性分析・初期条件!$H$34</f>
        <v>0</v>
      </c>
      <c r="O308" s="493">
        <f>O303*地域経済性分析・初期条件!$H$34</f>
        <v>0</v>
      </c>
      <c r="P308" s="493">
        <f>P303*地域経済性分析・初期条件!$H$34</f>
        <v>0</v>
      </c>
      <c r="Q308" s="493">
        <f>Q303*地域経済性分析・初期条件!$H$34</f>
        <v>0</v>
      </c>
      <c r="R308" s="493">
        <f>R303*地域経済性分析・初期条件!$H$34</f>
        <v>0</v>
      </c>
      <c r="S308" s="493">
        <f>S303*地域経済性分析・初期条件!$H$34</f>
        <v>0</v>
      </c>
      <c r="T308" s="493">
        <f>T303*地域経済性分析・初期条件!$H$34</f>
        <v>0</v>
      </c>
      <c r="U308" s="493">
        <f>U303*地域経済性分析・初期条件!$H$34</f>
        <v>0</v>
      </c>
      <c r="V308" s="493">
        <f>V303*地域経済性分析・初期条件!$H$34</f>
        <v>0</v>
      </c>
      <c r="W308" s="493">
        <f>W303*地域経済性分析・初期条件!$H$34</f>
        <v>0</v>
      </c>
      <c r="X308" s="493">
        <f>X303*地域経済性分析・初期条件!$H$34</f>
        <v>0</v>
      </c>
      <c r="Y308" s="493">
        <f>Y303*地域経済性分析・初期条件!$H$34</f>
        <v>0</v>
      </c>
      <c r="Z308" s="493">
        <f>Z303*地域経済性分析・初期条件!$H$34</f>
        <v>0</v>
      </c>
      <c r="AA308" s="493">
        <f>AA303*地域経済性分析・初期条件!$H$34</f>
        <v>0</v>
      </c>
      <c r="AB308" s="493">
        <f>AB303*地域経済性分析・初期条件!$H$34</f>
        <v>0</v>
      </c>
      <c r="AC308" s="493">
        <f>AC303*地域経済性分析・初期条件!$H$34</f>
        <v>0</v>
      </c>
      <c r="AD308" s="493">
        <f>AD303*地域経済性分析・初期条件!$H$34</f>
        <v>0</v>
      </c>
      <c r="AE308" s="493">
        <f>AE303*地域経済性分析・初期条件!$H$34</f>
        <v>0</v>
      </c>
      <c r="AF308" s="493">
        <f>AF303*地域経済性分析・初期条件!$H$34</f>
        <v>0</v>
      </c>
      <c r="AG308" s="493">
        <f>AG303*地域経済性分析・初期条件!$H$34</f>
        <v>0</v>
      </c>
      <c r="AH308" s="493">
        <f>AH303*地域経済性分析・初期条件!$H$34</f>
        <v>0</v>
      </c>
      <c r="AI308" s="535">
        <f t="shared" si="339"/>
        <v>0</v>
      </c>
      <c r="AJ308" s="535">
        <f t="shared" ref="AJ308:AJ315" si="343">SUM(D308:X308)</f>
        <v>0</v>
      </c>
      <c r="AK308" s="497">
        <f t="shared" ref="AK308:AK315" si="344">SUM(D308:AH308)</f>
        <v>0</v>
      </c>
    </row>
    <row r="309" spans="1:37" ht="11.5" x14ac:dyDescent="0.25">
      <c r="A309" s="533" t="str">
        <f>A302&amp;B309</f>
        <v>0企業の税引後利益（一次）</v>
      </c>
      <c r="B309" s="439" t="s">
        <v>330</v>
      </c>
      <c r="C309" s="451" t="s">
        <v>37</v>
      </c>
      <c r="D309" s="493">
        <f>D303*地域経済性分析・初期条件!$I$34</f>
        <v>0</v>
      </c>
      <c r="E309" s="493">
        <f>E303*地域経済性分析・初期条件!$I$34</f>
        <v>0</v>
      </c>
      <c r="F309" s="493">
        <f>F303*地域経済性分析・初期条件!$I$34</f>
        <v>0</v>
      </c>
      <c r="G309" s="493">
        <f>G303*地域経済性分析・初期条件!$I$34</f>
        <v>0</v>
      </c>
      <c r="H309" s="493">
        <f>H303*地域経済性分析・初期条件!$I$34</f>
        <v>0</v>
      </c>
      <c r="I309" s="493">
        <f>I303*地域経済性分析・初期条件!$I$34</f>
        <v>0</v>
      </c>
      <c r="J309" s="493">
        <f>J303*地域経済性分析・初期条件!$I$34</f>
        <v>0</v>
      </c>
      <c r="K309" s="493">
        <f>K303*地域経済性分析・初期条件!$I$34</f>
        <v>0</v>
      </c>
      <c r="L309" s="493">
        <f>L303*地域経済性分析・初期条件!$I$34</f>
        <v>0</v>
      </c>
      <c r="M309" s="493">
        <f>M303*地域経済性分析・初期条件!$I$34</f>
        <v>0</v>
      </c>
      <c r="N309" s="493">
        <f>N303*地域経済性分析・初期条件!$I$34</f>
        <v>0</v>
      </c>
      <c r="O309" s="493">
        <f>O303*地域経済性分析・初期条件!$I$34</f>
        <v>0</v>
      </c>
      <c r="P309" s="493">
        <f>P303*地域経済性分析・初期条件!$I$34</f>
        <v>0</v>
      </c>
      <c r="Q309" s="493">
        <f>Q303*地域経済性分析・初期条件!$I$34</f>
        <v>0</v>
      </c>
      <c r="R309" s="493">
        <f>R303*地域経済性分析・初期条件!$I$34</f>
        <v>0</v>
      </c>
      <c r="S309" s="493">
        <f>S303*地域経済性分析・初期条件!$I$34</f>
        <v>0</v>
      </c>
      <c r="T309" s="493">
        <f>T303*地域経済性分析・初期条件!$I$34</f>
        <v>0</v>
      </c>
      <c r="U309" s="493">
        <f>U303*地域経済性分析・初期条件!$I$34</f>
        <v>0</v>
      </c>
      <c r="V309" s="493">
        <f>V303*地域経済性分析・初期条件!$I$34</f>
        <v>0</v>
      </c>
      <c r="W309" s="493">
        <f>W303*地域経済性分析・初期条件!$I$34</f>
        <v>0</v>
      </c>
      <c r="X309" s="493">
        <f>X303*地域経済性分析・初期条件!$I$34</f>
        <v>0</v>
      </c>
      <c r="Y309" s="493">
        <f>Y303*地域経済性分析・初期条件!$I$34</f>
        <v>0</v>
      </c>
      <c r="Z309" s="493">
        <f>Z303*地域経済性分析・初期条件!$I$34</f>
        <v>0</v>
      </c>
      <c r="AA309" s="493">
        <f>AA303*地域経済性分析・初期条件!$I$34</f>
        <v>0</v>
      </c>
      <c r="AB309" s="493">
        <f>AB303*地域経済性分析・初期条件!$I$34</f>
        <v>0</v>
      </c>
      <c r="AC309" s="493">
        <f>AC303*地域経済性分析・初期条件!$I$34</f>
        <v>0</v>
      </c>
      <c r="AD309" s="493">
        <f>AD303*地域経済性分析・初期条件!$I$34</f>
        <v>0</v>
      </c>
      <c r="AE309" s="493">
        <f>AE303*地域経済性分析・初期条件!$I$34</f>
        <v>0</v>
      </c>
      <c r="AF309" s="493">
        <f>AF303*地域経済性分析・初期条件!$I$34</f>
        <v>0</v>
      </c>
      <c r="AG309" s="493">
        <f>AG303*地域経済性分析・初期条件!$I$34</f>
        <v>0</v>
      </c>
      <c r="AH309" s="493">
        <f>AH303*地域経済性分析・初期条件!$I$34</f>
        <v>0</v>
      </c>
      <c r="AI309" s="535">
        <f t="shared" si="339"/>
        <v>0</v>
      </c>
      <c r="AJ309" s="535">
        <f t="shared" si="343"/>
        <v>0</v>
      </c>
      <c r="AK309" s="497">
        <f t="shared" si="344"/>
        <v>0</v>
      </c>
    </row>
    <row r="310" spans="1:37" ht="11.5" x14ac:dyDescent="0.25">
      <c r="A310" s="533" t="str">
        <f>A302&amp;B310</f>
        <v>0都道府県税収（一次）</v>
      </c>
      <c r="B310" s="439" t="s">
        <v>331</v>
      </c>
      <c r="C310" s="451" t="s">
        <v>37</v>
      </c>
      <c r="D310" s="493">
        <f>D303*地域経済性分析・初期条件!$J$34</f>
        <v>0</v>
      </c>
      <c r="E310" s="493">
        <f>E303*地域経済性分析・初期条件!$J$34</f>
        <v>0</v>
      </c>
      <c r="F310" s="493">
        <f>F303*地域経済性分析・初期条件!$J$34</f>
        <v>0</v>
      </c>
      <c r="G310" s="493">
        <f>G303*地域経済性分析・初期条件!$J$34</f>
        <v>0</v>
      </c>
      <c r="H310" s="493">
        <f>H303*地域経済性分析・初期条件!$J$34</f>
        <v>0</v>
      </c>
      <c r="I310" s="493">
        <f>I303*地域経済性分析・初期条件!$J$34</f>
        <v>0</v>
      </c>
      <c r="J310" s="493">
        <f>J303*地域経済性分析・初期条件!$J$34</f>
        <v>0</v>
      </c>
      <c r="K310" s="493">
        <f>K303*地域経済性分析・初期条件!$J$34</f>
        <v>0</v>
      </c>
      <c r="L310" s="493">
        <f>L303*地域経済性分析・初期条件!$J$34</f>
        <v>0</v>
      </c>
      <c r="M310" s="493">
        <f>M303*地域経済性分析・初期条件!$J$34</f>
        <v>0</v>
      </c>
      <c r="N310" s="493">
        <f>N303*地域経済性分析・初期条件!$J$34</f>
        <v>0</v>
      </c>
      <c r="O310" s="493">
        <f>O303*地域経済性分析・初期条件!$J$34</f>
        <v>0</v>
      </c>
      <c r="P310" s="493">
        <f>P303*地域経済性分析・初期条件!$J$34</f>
        <v>0</v>
      </c>
      <c r="Q310" s="493">
        <f>Q303*地域経済性分析・初期条件!$J$34</f>
        <v>0</v>
      </c>
      <c r="R310" s="493">
        <f>R303*地域経済性分析・初期条件!$J$34</f>
        <v>0</v>
      </c>
      <c r="S310" s="493">
        <f>S303*地域経済性分析・初期条件!$J$34</f>
        <v>0</v>
      </c>
      <c r="T310" s="493">
        <f>T303*地域経済性分析・初期条件!$J$34</f>
        <v>0</v>
      </c>
      <c r="U310" s="493">
        <f>U303*地域経済性分析・初期条件!$J$34</f>
        <v>0</v>
      </c>
      <c r="V310" s="493">
        <f>V303*地域経済性分析・初期条件!$J$34</f>
        <v>0</v>
      </c>
      <c r="W310" s="493">
        <f>W303*地域経済性分析・初期条件!$J$34</f>
        <v>0</v>
      </c>
      <c r="X310" s="493">
        <f>X303*地域経済性分析・初期条件!$J$34</f>
        <v>0</v>
      </c>
      <c r="Y310" s="493">
        <f>Y303*地域経済性分析・初期条件!$J$34</f>
        <v>0</v>
      </c>
      <c r="Z310" s="493">
        <f>Z303*地域経済性分析・初期条件!$J$34</f>
        <v>0</v>
      </c>
      <c r="AA310" s="493">
        <f>AA303*地域経済性分析・初期条件!$J$34</f>
        <v>0</v>
      </c>
      <c r="AB310" s="493">
        <f>AB303*地域経済性分析・初期条件!$J$34</f>
        <v>0</v>
      </c>
      <c r="AC310" s="493">
        <f>AC303*地域経済性分析・初期条件!$J$34</f>
        <v>0</v>
      </c>
      <c r="AD310" s="493">
        <f>AD303*地域経済性分析・初期条件!$J$34</f>
        <v>0</v>
      </c>
      <c r="AE310" s="493">
        <f>AE303*地域経済性分析・初期条件!$J$34</f>
        <v>0</v>
      </c>
      <c r="AF310" s="493">
        <f>AF303*地域経済性分析・初期条件!$J$34</f>
        <v>0</v>
      </c>
      <c r="AG310" s="493">
        <f>AG303*地域経済性分析・初期条件!$J$34</f>
        <v>0</v>
      </c>
      <c r="AH310" s="493">
        <f>AH303*地域経済性分析・初期条件!$J$34</f>
        <v>0</v>
      </c>
      <c r="AI310" s="535">
        <f t="shared" si="339"/>
        <v>0</v>
      </c>
      <c r="AJ310" s="535">
        <f t="shared" si="343"/>
        <v>0</v>
      </c>
      <c r="AK310" s="497">
        <f t="shared" si="344"/>
        <v>0</v>
      </c>
    </row>
    <row r="311" spans="1:37" ht="11.5" x14ac:dyDescent="0.25">
      <c r="A311" s="533" t="str">
        <f>A302&amp;B311</f>
        <v>0市町村税収（一次）</v>
      </c>
      <c r="B311" s="439" t="s">
        <v>332</v>
      </c>
      <c r="C311" s="452" t="s">
        <v>37</v>
      </c>
      <c r="D311" s="493">
        <f>D303*地域経済性分析・初期条件!$K$34</f>
        <v>0</v>
      </c>
      <c r="E311" s="493">
        <f>E303*地域経済性分析・初期条件!$K$34</f>
        <v>0</v>
      </c>
      <c r="F311" s="493">
        <f>F303*地域経済性分析・初期条件!$K$34</f>
        <v>0</v>
      </c>
      <c r="G311" s="493">
        <f>G303*地域経済性分析・初期条件!$K$34</f>
        <v>0</v>
      </c>
      <c r="H311" s="493">
        <f>H303*地域経済性分析・初期条件!$K$34</f>
        <v>0</v>
      </c>
      <c r="I311" s="493">
        <f>I303*地域経済性分析・初期条件!$K$34</f>
        <v>0</v>
      </c>
      <c r="J311" s="493">
        <f>J303*地域経済性分析・初期条件!$K$34</f>
        <v>0</v>
      </c>
      <c r="K311" s="493">
        <f>K303*地域経済性分析・初期条件!$K$34</f>
        <v>0</v>
      </c>
      <c r="L311" s="493">
        <f>L303*地域経済性分析・初期条件!$K$34</f>
        <v>0</v>
      </c>
      <c r="M311" s="493">
        <f>M303*地域経済性分析・初期条件!$K$34</f>
        <v>0</v>
      </c>
      <c r="N311" s="493">
        <f>N303*地域経済性分析・初期条件!$K$34</f>
        <v>0</v>
      </c>
      <c r="O311" s="493">
        <f>O303*地域経済性分析・初期条件!$K$34</f>
        <v>0</v>
      </c>
      <c r="P311" s="493">
        <f>P303*地域経済性分析・初期条件!$K$34</f>
        <v>0</v>
      </c>
      <c r="Q311" s="493">
        <f>Q303*地域経済性分析・初期条件!$K$34</f>
        <v>0</v>
      </c>
      <c r="R311" s="493">
        <f>R303*地域経済性分析・初期条件!$K$34</f>
        <v>0</v>
      </c>
      <c r="S311" s="493">
        <f>S303*地域経済性分析・初期条件!$K$34</f>
        <v>0</v>
      </c>
      <c r="T311" s="493">
        <f>T303*地域経済性分析・初期条件!$K$34</f>
        <v>0</v>
      </c>
      <c r="U311" s="493">
        <f>U303*地域経済性分析・初期条件!$K$34</f>
        <v>0</v>
      </c>
      <c r="V311" s="493">
        <f>V303*地域経済性分析・初期条件!$K$34</f>
        <v>0</v>
      </c>
      <c r="W311" s="493">
        <f>W303*地域経済性分析・初期条件!$K$34</f>
        <v>0</v>
      </c>
      <c r="X311" s="493">
        <f>X303*地域経済性分析・初期条件!$K$34</f>
        <v>0</v>
      </c>
      <c r="Y311" s="493">
        <f>Y303*地域経済性分析・初期条件!$K$34</f>
        <v>0</v>
      </c>
      <c r="Z311" s="493">
        <f>Z303*地域経済性分析・初期条件!$K$34</f>
        <v>0</v>
      </c>
      <c r="AA311" s="493">
        <f>AA303*地域経済性分析・初期条件!$K$34</f>
        <v>0</v>
      </c>
      <c r="AB311" s="493">
        <f>AB303*地域経済性分析・初期条件!$K$34</f>
        <v>0</v>
      </c>
      <c r="AC311" s="493">
        <f>AC303*地域経済性分析・初期条件!$K$34</f>
        <v>0</v>
      </c>
      <c r="AD311" s="493">
        <f>AD303*地域経済性分析・初期条件!$K$34</f>
        <v>0</v>
      </c>
      <c r="AE311" s="493">
        <f>AE303*地域経済性分析・初期条件!$K$34</f>
        <v>0</v>
      </c>
      <c r="AF311" s="493">
        <f>AF303*地域経済性分析・初期条件!$K$34</f>
        <v>0</v>
      </c>
      <c r="AG311" s="493">
        <f>AG303*地域経済性分析・初期条件!$K$34</f>
        <v>0</v>
      </c>
      <c r="AH311" s="493">
        <f>AH303*地域経済性分析・初期条件!$K$34</f>
        <v>0</v>
      </c>
      <c r="AI311" s="535">
        <f t="shared" si="339"/>
        <v>0</v>
      </c>
      <c r="AJ311" s="535">
        <f t="shared" si="343"/>
        <v>0</v>
      </c>
      <c r="AK311" s="497">
        <f t="shared" si="344"/>
        <v>0</v>
      </c>
    </row>
    <row r="312" spans="1:37" ht="11.5" x14ac:dyDescent="0.25">
      <c r="A312" s="533" t="str">
        <f>A302&amp;B312</f>
        <v>0従業員の可処分所得（二次以降）</v>
      </c>
      <c r="B312" s="439" t="s">
        <v>334</v>
      </c>
      <c r="C312" s="452" t="s">
        <v>333</v>
      </c>
      <c r="D312" s="493">
        <f>D303*地域経済性分析・初期条件!$L$34</f>
        <v>0</v>
      </c>
      <c r="E312" s="493">
        <f>E303*地域経済性分析・初期条件!$L$34</f>
        <v>0</v>
      </c>
      <c r="F312" s="493">
        <f>F303*地域経済性分析・初期条件!$L$34</f>
        <v>0</v>
      </c>
      <c r="G312" s="493">
        <f>G303*地域経済性分析・初期条件!$L$34</f>
        <v>0</v>
      </c>
      <c r="H312" s="493">
        <f>H303*地域経済性分析・初期条件!$L$34</f>
        <v>0</v>
      </c>
      <c r="I312" s="493">
        <f>I303*地域経済性分析・初期条件!$L$34</f>
        <v>0</v>
      </c>
      <c r="J312" s="493">
        <f>J303*地域経済性分析・初期条件!$L$34</f>
        <v>0</v>
      </c>
      <c r="K312" s="493">
        <f>K303*地域経済性分析・初期条件!$L$34</f>
        <v>0</v>
      </c>
      <c r="L312" s="493">
        <f>L303*地域経済性分析・初期条件!$L$34</f>
        <v>0</v>
      </c>
      <c r="M312" s="493">
        <f>M303*地域経済性分析・初期条件!$L$34</f>
        <v>0</v>
      </c>
      <c r="N312" s="493">
        <f>N303*地域経済性分析・初期条件!$L$34</f>
        <v>0</v>
      </c>
      <c r="O312" s="493">
        <f>O303*地域経済性分析・初期条件!$L$34</f>
        <v>0</v>
      </c>
      <c r="P312" s="493">
        <f>P303*地域経済性分析・初期条件!$L$34</f>
        <v>0</v>
      </c>
      <c r="Q312" s="493">
        <f>Q303*地域経済性分析・初期条件!$L$34</f>
        <v>0</v>
      </c>
      <c r="R312" s="493">
        <f>R303*地域経済性分析・初期条件!$L$34</f>
        <v>0</v>
      </c>
      <c r="S312" s="493">
        <f>S303*地域経済性分析・初期条件!$L$34</f>
        <v>0</v>
      </c>
      <c r="T312" s="493">
        <f>T303*地域経済性分析・初期条件!$L$34</f>
        <v>0</v>
      </c>
      <c r="U312" s="493">
        <f>U303*地域経済性分析・初期条件!$L$34</f>
        <v>0</v>
      </c>
      <c r="V312" s="493">
        <f>V303*地域経済性分析・初期条件!$L$34</f>
        <v>0</v>
      </c>
      <c r="W312" s="493">
        <f>W303*地域経済性分析・初期条件!$L$34</f>
        <v>0</v>
      </c>
      <c r="X312" s="493">
        <f>X303*地域経済性分析・初期条件!$L$34</f>
        <v>0</v>
      </c>
      <c r="Y312" s="493">
        <f>Y303*地域経済性分析・初期条件!$L$34</f>
        <v>0</v>
      </c>
      <c r="Z312" s="493">
        <f>Z303*地域経済性分析・初期条件!$L$34</f>
        <v>0</v>
      </c>
      <c r="AA312" s="493">
        <f>AA303*地域経済性分析・初期条件!$L$34</f>
        <v>0</v>
      </c>
      <c r="AB312" s="493">
        <f>AB303*地域経済性分析・初期条件!$L$34</f>
        <v>0</v>
      </c>
      <c r="AC312" s="493">
        <f>AC303*地域経済性分析・初期条件!$L$34</f>
        <v>0</v>
      </c>
      <c r="AD312" s="493">
        <f>AD303*地域経済性分析・初期条件!$L$34</f>
        <v>0</v>
      </c>
      <c r="AE312" s="493">
        <f>AE303*地域経済性分析・初期条件!$L$34</f>
        <v>0</v>
      </c>
      <c r="AF312" s="493">
        <f>AF303*地域経済性分析・初期条件!$L$34</f>
        <v>0</v>
      </c>
      <c r="AG312" s="493">
        <f>AG303*地域経済性分析・初期条件!$L$34</f>
        <v>0</v>
      </c>
      <c r="AH312" s="493">
        <f>AH303*地域経済性分析・初期条件!$L$34</f>
        <v>0</v>
      </c>
      <c r="AI312" s="535">
        <f>SUM(D312:N312)</f>
        <v>0</v>
      </c>
      <c r="AJ312" s="535">
        <f t="shared" si="343"/>
        <v>0</v>
      </c>
      <c r="AK312" s="497">
        <f t="shared" si="344"/>
        <v>0</v>
      </c>
    </row>
    <row r="313" spans="1:37" ht="11.5" x14ac:dyDescent="0.25">
      <c r="A313" s="533" t="str">
        <f>A302&amp;B313</f>
        <v>0企業の税引後利益（二次以降）</v>
      </c>
      <c r="B313" s="439" t="s">
        <v>335</v>
      </c>
      <c r="C313" s="452" t="s">
        <v>333</v>
      </c>
      <c r="D313" s="493">
        <f>D303*地域経済性分析・初期条件!$M$34</f>
        <v>0</v>
      </c>
      <c r="E313" s="493">
        <f>E303*地域経済性分析・初期条件!$M$34</f>
        <v>0</v>
      </c>
      <c r="F313" s="493">
        <f>F303*地域経済性分析・初期条件!$M$34</f>
        <v>0</v>
      </c>
      <c r="G313" s="493">
        <f>G303*地域経済性分析・初期条件!$M$34</f>
        <v>0</v>
      </c>
      <c r="H313" s="493">
        <f>H303*地域経済性分析・初期条件!$M$34</f>
        <v>0</v>
      </c>
      <c r="I313" s="493">
        <f>I303*地域経済性分析・初期条件!$M$34</f>
        <v>0</v>
      </c>
      <c r="J313" s="493">
        <f>J303*地域経済性分析・初期条件!$M$34</f>
        <v>0</v>
      </c>
      <c r="K313" s="493">
        <f>K303*地域経済性分析・初期条件!$M$34</f>
        <v>0</v>
      </c>
      <c r="L313" s="493">
        <f>L303*地域経済性分析・初期条件!$M$34</f>
        <v>0</v>
      </c>
      <c r="M313" s="493">
        <f>M303*地域経済性分析・初期条件!$M$34</f>
        <v>0</v>
      </c>
      <c r="N313" s="493">
        <f>N303*地域経済性分析・初期条件!$M$34</f>
        <v>0</v>
      </c>
      <c r="O313" s="493">
        <f>O303*地域経済性分析・初期条件!$M$34</f>
        <v>0</v>
      </c>
      <c r="P313" s="493">
        <f>P303*地域経済性分析・初期条件!$M$34</f>
        <v>0</v>
      </c>
      <c r="Q313" s="493">
        <f>Q303*地域経済性分析・初期条件!$M$34</f>
        <v>0</v>
      </c>
      <c r="R313" s="493">
        <f>R303*地域経済性分析・初期条件!$M$34</f>
        <v>0</v>
      </c>
      <c r="S313" s="493">
        <f>S303*地域経済性分析・初期条件!$M$34</f>
        <v>0</v>
      </c>
      <c r="T313" s="493">
        <f>T303*地域経済性分析・初期条件!$M$34</f>
        <v>0</v>
      </c>
      <c r="U313" s="493">
        <f>U303*地域経済性分析・初期条件!$M$34</f>
        <v>0</v>
      </c>
      <c r="V313" s="493">
        <f>V303*地域経済性分析・初期条件!$M$34</f>
        <v>0</v>
      </c>
      <c r="W313" s="493">
        <f>W303*地域経済性分析・初期条件!$M$34</f>
        <v>0</v>
      </c>
      <c r="X313" s="493">
        <f>X303*地域経済性分析・初期条件!$M$34</f>
        <v>0</v>
      </c>
      <c r="Y313" s="493">
        <f>Y303*地域経済性分析・初期条件!$M$34</f>
        <v>0</v>
      </c>
      <c r="Z313" s="493">
        <f>Z303*地域経済性分析・初期条件!$M$34</f>
        <v>0</v>
      </c>
      <c r="AA313" s="493">
        <f>AA303*地域経済性分析・初期条件!$M$34</f>
        <v>0</v>
      </c>
      <c r="AB313" s="493">
        <f>AB303*地域経済性分析・初期条件!$M$34</f>
        <v>0</v>
      </c>
      <c r="AC313" s="493">
        <f>AC303*地域経済性分析・初期条件!$M$34</f>
        <v>0</v>
      </c>
      <c r="AD313" s="493">
        <f>AD303*地域経済性分析・初期条件!$M$34</f>
        <v>0</v>
      </c>
      <c r="AE313" s="493">
        <f>AE303*地域経済性分析・初期条件!$M$34</f>
        <v>0</v>
      </c>
      <c r="AF313" s="493">
        <f>AF303*地域経済性分析・初期条件!$M$34</f>
        <v>0</v>
      </c>
      <c r="AG313" s="493">
        <f>AG303*地域経済性分析・初期条件!$M$34</f>
        <v>0</v>
      </c>
      <c r="AH313" s="493">
        <f>AH303*地域経済性分析・初期条件!$M$34</f>
        <v>0</v>
      </c>
      <c r="AI313" s="535">
        <f>SUM(D313:N313)</f>
        <v>0</v>
      </c>
      <c r="AJ313" s="535">
        <f t="shared" si="343"/>
        <v>0</v>
      </c>
      <c r="AK313" s="497">
        <f t="shared" si="344"/>
        <v>0</v>
      </c>
    </row>
    <row r="314" spans="1:37" ht="11.5" x14ac:dyDescent="0.25">
      <c r="A314" s="533" t="str">
        <f>A302&amp;B314</f>
        <v>0都道府県税収（二次以降）</v>
      </c>
      <c r="B314" s="439" t="s">
        <v>336</v>
      </c>
      <c r="C314" s="452" t="s">
        <v>333</v>
      </c>
      <c r="D314" s="493">
        <f>D303*地域経済性分析・初期条件!$N$34</f>
        <v>0</v>
      </c>
      <c r="E314" s="493">
        <f>E303*地域経済性分析・初期条件!$N$34</f>
        <v>0</v>
      </c>
      <c r="F314" s="493">
        <f>F303*地域経済性分析・初期条件!$N$34</f>
        <v>0</v>
      </c>
      <c r="G314" s="493">
        <f>G303*地域経済性分析・初期条件!$N$34</f>
        <v>0</v>
      </c>
      <c r="H314" s="493">
        <f>H303*地域経済性分析・初期条件!$N$34</f>
        <v>0</v>
      </c>
      <c r="I314" s="493">
        <f>I303*地域経済性分析・初期条件!$N$34</f>
        <v>0</v>
      </c>
      <c r="J314" s="493">
        <f>J303*地域経済性分析・初期条件!$N$34</f>
        <v>0</v>
      </c>
      <c r="K314" s="493">
        <f>K303*地域経済性分析・初期条件!$N$34</f>
        <v>0</v>
      </c>
      <c r="L314" s="493">
        <f>L303*地域経済性分析・初期条件!$N$34</f>
        <v>0</v>
      </c>
      <c r="M314" s="493">
        <f>M303*地域経済性分析・初期条件!$N$34</f>
        <v>0</v>
      </c>
      <c r="N314" s="493">
        <f>N303*地域経済性分析・初期条件!$N$34</f>
        <v>0</v>
      </c>
      <c r="O314" s="493">
        <f>O303*地域経済性分析・初期条件!$N$34</f>
        <v>0</v>
      </c>
      <c r="P314" s="493">
        <f>P303*地域経済性分析・初期条件!$N$34</f>
        <v>0</v>
      </c>
      <c r="Q314" s="493">
        <f>Q303*地域経済性分析・初期条件!$N$34</f>
        <v>0</v>
      </c>
      <c r="R314" s="493">
        <f>R303*地域経済性分析・初期条件!$N$34</f>
        <v>0</v>
      </c>
      <c r="S314" s="493">
        <f>S303*地域経済性分析・初期条件!$N$34</f>
        <v>0</v>
      </c>
      <c r="T314" s="493">
        <f>T303*地域経済性分析・初期条件!$N$34</f>
        <v>0</v>
      </c>
      <c r="U314" s="493">
        <f>U303*地域経済性分析・初期条件!$N$34</f>
        <v>0</v>
      </c>
      <c r="V314" s="493">
        <f>V303*地域経済性分析・初期条件!$N$34</f>
        <v>0</v>
      </c>
      <c r="W314" s="493">
        <f>W303*地域経済性分析・初期条件!$N$34</f>
        <v>0</v>
      </c>
      <c r="X314" s="493">
        <f>X303*地域経済性分析・初期条件!$N$34</f>
        <v>0</v>
      </c>
      <c r="Y314" s="493">
        <f>Y303*地域経済性分析・初期条件!$N$34</f>
        <v>0</v>
      </c>
      <c r="Z314" s="493">
        <f>Z303*地域経済性分析・初期条件!$N$34</f>
        <v>0</v>
      </c>
      <c r="AA314" s="493">
        <f>AA303*地域経済性分析・初期条件!$N$34</f>
        <v>0</v>
      </c>
      <c r="AB314" s="493">
        <f>AB303*地域経済性分析・初期条件!$N$34</f>
        <v>0</v>
      </c>
      <c r="AC314" s="493">
        <f>AC303*地域経済性分析・初期条件!$N$34</f>
        <v>0</v>
      </c>
      <c r="AD314" s="493">
        <f>AD303*地域経済性分析・初期条件!$N$34</f>
        <v>0</v>
      </c>
      <c r="AE314" s="493">
        <f>AE303*地域経済性分析・初期条件!$N$34</f>
        <v>0</v>
      </c>
      <c r="AF314" s="493">
        <f>AF303*地域経済性分析・初期条件!$N$34</f>
        <v>0</v>
      </c>
      <c r="AG314" s="493">
        <f>AG303*地域経済性分析・初期条件!$N$34</f>
        <v>0</v>
      </c>
      <c r="AH314" s="493">
        <f>AH303*地域経済性分析・初期条件!$N$34</f>
        <v>0</v>
      </c>
      <c r="AI314" s="535">
        <f>SUM(D314:N314)</f>
        <v>0</v>
      </c>
      <c r="AJ314" s="535">
        <f t="shared" si="343"/>
        <v>0</v>
      </c>
      <c r="AK314" s="497">
        <f t="shared" si="344"/>
        <v>0</v>
      </c>
    </row>
    <row r="315" spans="1:37" ht="11.5" x14ac:dyDescent="0.25">
      <c r="A315" s="533" t="str">
        <f>A302&amp;B315</f>
        <v>0市町村税収（二次以降）</v>
      </c>
      <c r="B315" s="439" t="s">
        <v>337</v>
      </c>
      <c r="C315" s="452" t="s">
        <v>333</v>
      </c>
      <c r="D315" s="493">
        <f>D303*地域経済性分析・初期条件!$O$34</f>
        <v>0</v>
      </c>
      <c r="E315" s="493">
        <f>E303*地域経済性分析・初期条件!$O$34</f>
        <v>0</v>
      </c>
      <c r="F315" s="493">
        <f>F303*地域経済性分析・初期条件!$O$34</f>
        <v>0</v>
      </c>
      <c r="G315" s="493">
        <f>G303*地域経済性分析・初期条件!$O$34</f>
        <v>0</v>
      </c>
      <c r="H315" s="493">
        <f>H303*地域経済性分析・初期条件!$O$34</f>
        <v>0</v>
      </c>
      <c r="I315" s="493">
        <f>I303*地域経済性分析・初期条件!$O$34</f>
        <v>0</v>
      </c>
      <c r="J315" s="493">
        <f>J303*地域経済性分析・初期条件!$O$34</f>
        <v>0</v>
      </c>
      <c r="K315" s="493">
        <f>K303*地域経済性分析・初期条件!$O$34</f>
        <v>0</v>
      </c>
      <c r="L315" s="493">
        <f>L303*地域経済性分析・初期条件!$O$34</f>
        <v>0</v>
      </c>
      <c r="M315" s="493">
        <f>M303*地域経済性分析・初期条件!$O$34</f>
        <v>0</v>
      </c>
      <c r="N315" s="493">
        <f>N303*地域経済性分析・初期条件!$O$34</f>
        <v>0</v>
      </c>
      <c r="O315" s="493">
        <f>O303*地域経済性分析・初期条件!$O$34</f>
        <v>0</v>
      </c>
      <c r="P315" s="493">
        <f>P303*地域経済性分析・初期条件!$O$34</f>
        <v>0</v>
      </c>
      <c r="Q315" s="493">
        <f>Q303*地域経済性分析・初期条件!$O$34</f>
        <v>0</v>
      </c>
      <c r="R315" s="493">
        <f>R303*地域経済性分析・初期条件!$O$34</f>
        <v>0</v>
      </c>
      <c r="S315" s="493">
        <f>S303*地域経済性分析・初期条件!$O$34</f>
        <v>0</v>
      </c>
      <c r="T315" s="493">
        <f>T303*地域経済性分析・初期条件!$O$34</f>
        <v>0</v>
      </c>
      <c r="U315" s="493">
        <f>U303*地域経済性分析・初期条件!$O$34</f>
        <v>0</v>
      </c>
      <c r="V315" s="493">
        <f>V303*地域経済性分析・初期条件!$O$34</f>
        <v>0</v>
      </c>
      <c r="W315" s="493">
        <f>W303*地域経済性分析・初期条件!$O$34</f>
        <v>0</v>
      </c>
      <c r="X315" s="493">
        <f>X303*地域経済性分析・初期条件!$O$34</f>
        <v>0</v>
      </c>
      <c r="Y315" s="493">
        <f>Y303*地域経済性分析・初期条件!$O$34</f>
        <v>0</v>
      </c>
      <c r="Z315" s="493">
        <f>Z303*地域経済性分析・初期条件!$O$34</f>
        <v>0</v>
      </c>
      <c r="AA315" s="493">
        <f>AA303*地域経済性分析・初期条件!$O$34</f>
        <v>0</v>
      </c>
      <c r="AB315" s="493">
        <f>AB303*地域経済性分析・初期条件!$O$34</f>
        <v>0</v>
      </c>
      <c r="AC315" s="493">
        <f>AC303*地域経済性分析・初期条件!$O$34</f>
        <v>0</v>
      </c>
      <c r="AD315" s="493">
        <f>AD303*地域経済性分析・初期条件!$O$34</f>
        <v>0</v>
      </c>
      <c r="AE315" s="493">
        <f>AE303*地域経済性分析・初期条件!$O$34</f>
        <v>0</v>
      </c>
      <c r="AF315" s="493">
        <f>AF303*地域経済性分析・初期条件!$O$34</f>
        <v>0</v>
      </c>
      <c r="AG315" s="493">
        <f>AG303*地域経済性分析・初期条件!$O$34</f>
        <v>0</v>
      </c>
      <c r="AH315" s="493">
        <f>AH303*地域経済性分析・初期条件!$O$34</f>
        <v>0</v>
      </c>
      <c r="AI315" s="535">
        <f>SUM(D315:N315)</f>
        <v>0</v>
      </c>
      <c r="AJ315" s="535">
        <f t="shared" si="343"/>
        <v>0</v>
      </c>
      <c r="AK315" s="497">
        <f t="shared" si="344"/>
        <v>0</v>
      </c>
    </row>
    <row r="316" spans="1:37" ht="11.5" x14ac:dyDescent="0.25">
      <c r="A316" s="488">
        <f>地域経済性分析・初期条件!$G$35</f>
        <v>0</v>
      </c>
      <c r="C316" s="452"/>
      <c r="D316" s="493"/>
      <c r="E316" s="493"/>
      <c r="F316" s="465"/>
      <c r="G316" s="465"/>
      <c r="H316" s="465"/>
      <c r="I316" s="465"/>
      <c r="J316" s="465"/>
      <c r="K316" s="465"/>
      <c r="L316" s="465"/>
      <c r="M316" s="465"/>
      <c r="N316" s="465"/>
      <c r="O316" s="465"/>
      <c r="P316" s="465"/>
      <c r="Q316" s="465"/>
      <c r="R316" s="465"/>
      <c r="S316" s="465"/>
      <c r="T316" s="465"/>
      <c r="U316" s="465"/>
      <c r="V316" s="465"/>
      <c r="W316" s="465"/>
      <c r="X316" s="465"/>
      <c r="Y316" s="465"/>
      <c r="Z316" s="465"/>
      <c r="AA316" s="465"/>
      <c r="AB316" s="465"/>
      <c r="AC316" s="465"/>
      <c r="AD316" s="465"/>
      <c r="AE316" s="465"/>
      <c r="AF316" s="465"/>
      <c r="AG316" s="465"/>
      <c r="AH316" s="465"/>
      <c r="AI316" s="535"/>
      <c r="AJ316" s="535"/>
      <c r="AK316" s="497"/>
    </row>
    <row r="317" spans="1:37" ht="11.5" x14ac:dyDescent="0.25">
      <c r="A317" s="533" t="str">
        <f>A316&amp;B317</f>
        <v>0売上（税別）</v>
      </c>
      <c r="B317" s="439" t="s">
        <v>1092</v>
      </c>
      <c r="C317" s="451" t="s">
        <v>37</v>
      </c>
      <c r="D317" s="493">
        <f>D287*地域経済性分析・初期条件!$F$35</f>
        <v>0</v>
      </c>
      <c r="E317" s="493">
        <f>E287*地域経済性分析・初期条件!$F$35</f>
        <v>0</v>
      </c>
      <c r="F317" s="493">
        <f>F287*地域経済性分析・初期条件!$F$35</f>
        <v>0</v>
      </c>
      <c r="G317" s="493">
        <f>G287*地域経済性分析・初期条件!$F$35</f>
        <v>0</v>
      </c>
      <c r="H317" s="493">
        <f>H287*地域経済性分析・初期条件!$F$35</f>
        <v>0</v>
      </c>
      <c r="I317" s="493">
        <f>I287*地域経済性分析・初期条件!$F$35</f>
        <v>0</v>
      </c>
      <c r="J317" s="493">
        <f>J287*地域経済性分析・初期条件!$F$35</f>
        <v>0</v>
      </c>
      <c r="K317" s="493">
        <f>K287*地域経済性分析・初期条件!$F$35</f>
        <v>0</v>
      </c>
      <c r="L317" s="493">
        <f>L287*地域経済性分析・初期条件!$F$35</f>
        <v>0</v>
      </c>
      <c r="M317" s="493">
        <f>M287*地域経済性分析・初期条件!$F$35</f>
        <v>0</v>
      </c>
      <c r="N317" s="493">
        <f>N287*地域経済性分析・初期条件!$F$35</f>
        <v>0</v>
      </c>
      <c r="O317" s="493">
        <f>O287*地域経済性分析・初期条件!$F$35</f>
        <v>0</v>
      </c>
      <c r="P317" s="493">
        <f>P287*地域経済性分析・初期条件!$F$35</f>
        <v>0</v>
      </c>
      <c r="Q317" s="493">
        <f>Q287*地域経済性分析・初期条件!$F$35</f>
        <v>0</v>
      </c>
      <c r="R317" s="493">
        <f>R287*地域経済性分析・初期条件!$F$35</f>
        <v>0</v>
      </c>
      <c r="S317" s="493">
        <f>S287*地域経済性分析・初期条件!$F$35</f>
        <v>0</v>
      </c>
      <c r="T317" s="493">
        <f>T287*地域経済性分析・初期条件!$F$35</f>
        <v>0</v>
      </c>
      <c r="U317" s="493">
        <f>U287*地域経済性分析・初期条件!$F$35</f>
        <v>0</v>
      </c>
      <c r="V317" s="493">
        <f>V287*地域経済性分析・初期条件!$F$35</f>
        <v>0</v>
      </c>
      <c r="W317" s="493">
        <f>W287*地域経済性分析・初期条件!$F$35</f>
        <v>0</v>
      </c>
      <c r="X317" s="493">
        <f>X287*地域経済性分析・初期条件!$F$35</f>
        <v>0</v>
      </c>
      <c r="Y317" s="493">
        <f>Y287*地域経済性分析・初期条件!$F$35</f>
        <v>0</v>
      </c>
      <c r="Z317" s="493">
        <f>Z287*地域経済性分析・初期条件!$F$35</f>
        <v>0</v>
      </c>
      <c r="AA317" s="493">
        <f>AA287*地域経済性分析・初期条件!$F$35</f>
        <v>0</v>
      </c>
      <c r="AB317" s="493">
        <f>AB287*地域経済性分析・初期条件!$F$35</f>
        <v>0</v>
      </c>
      <c r="AC317" s="493">
        <f>AC287*地域経済性分析・初期条件!$F$35</f>
        <v>0</v>
      </c>
      <c r="AD317" s="493">
        <f>AD287*地域経済性分析・初期条件!$F$35</f>
        <v>0</v>
      </c>
      <c r="AE317" s="493">
        <f>AE287*地域経済性分析・初期条件!$F$35</f>
        <v>0</v>
      </c>
      <c r="AF317" s="493">
        <f>AF287*地域経済性分析・初期条件!$F$35</f>
        <v>0</v>
      </c>
      <c r="AG317" s="493">
        <f>AG287*地域経済性分析・初期条件!$F$35</f>
        <v>0</v>
      </c>
      <c r="AH317" s="493">
        <f>AH287*地域経済性分析・初期条件!$F$35</f>
        <v>0</v>
      </c>
      <c r="AI317" s="535">
        <f t="shared" ref="AI317:AI325" si="345">SUM(D317:N317)</f>
        <v>0</v>
      </c>
      <c r="AJ317" s="535">
        <f>SUM(D317:X317)</f>
        <v>0</v>
      </c>
      <c r="AK317" s="497">
        <f>SUM(D317:AH317)</f>
        <v>0</v>
      </c>
    </row>
    <row r="318" spans="1:37" ht="11.5" x14ac:dyDescent="0.25">
      <c r="A318" s="533"/>
      <c r="B318" s="439" t="s">
        <v>1136</v>
      </c>
      <c r="C318" s="451" t="s">
        <v>37</v>
      </c>
      <c r="D318" s="493">
        <f>D317*波及効果シート!$D$72</f>
        <v>0</v>
      </c>
      <c r="E318" s="493">
        <f>E317*波及効果シート!$D$72</f>
        <v>0</v>
      </c>
      <c r="F318" s="493">
        <f>F317*波及効果シート!$D$72</f>
        <v>0</v>
      </c>
      <c r="G318" s="493">
        <f>G317*波及効果シート!$D$72</f>
        <v>0</v>
      </c>
      <c r="H318" s="493">
        <f>H317*波及効果シート!$D$72</f>
        <v>0</v>
      </c>
      <c r="I318" s="493">
        <f>I317*波及効果シート!$D$72</f>
        <v>0</v>
      </c>
      <c r="J318" s="493">
        <f>J317*波及効果シート!$D$72</f>
        <v>0</v>
      </c>
      <c r="K318" s="493">
        <f>K317*波及効果シート!$D$72</f>
        <v>0</v>
      </c>
      <c r="L318" s="493">
        <f>L317*波及効果シート!$D$72</f>
        <v>0</v>
      </c>
      <c r="M318" s="493">
        <f>M317*波及効果シート!$D$72</f>
        <v>0</v>
      </c>
      <c r="N318" s="493">
        <f>N317*波及効果シート!$D$72</f>
        <v>0</v>
      </c>
      <c r="O318" s="493">
        <f>O317*波及効果シート!$D$72</f>
        <v>0</v>
      </c>
      <c r="P318" s="493">
        <f>P317*波及効果シート!$D$72</f>
        <v>0</v>
      </c>
      <c r="Q318" s="493">
        <f>Q317*波及効果シート!$D$72</f>
        <v>0</v>
      </c>
      <c r="R318" s="493">
        <f>R317*波及効果シート!$D$72</f>
        <v>0</v>
      </c>
      <c r="S318" s="493">
        <f>S317*波及効果シート!$D$72</f>
        <v>0</v>
      </c>
      <c r="T318" s="493">
        <f>T317*波及効果シート!$D$72</f>
        <v>0</v>
      </c>
      <c r="U318" s="493">
        <f>U317*波及効果シート!$D$72</f>
        <v>0</v>
      </c>
      <c r="V318" s="493">
        <f>V317*波及効果シート!$D$72</f>
        <v>0</v>
      </c>
      <c r="W318" s="493">
        <f>W317*波及効果シート!$D$72</f>
        <v>0</v>
      </c>
      <c r="X318" s="493">
        <f>X317*波及効果シート!$D$72</f>
        <v>0</v>
      </c>
      <c r="Y318" s="493">
        <f>Y317*波及効果シート!$D$72</f>
        <v>0</v>
      </c>
      <c r="Z318" s="493">
        <f>Z317*波及効果シート!$D$72</f>
        <v>0</v>
      </c>
      <c r="AA318" s="493">
        <f>AA317*波及効果シート!$D$72</f>
        <v>0</v>
      </c>
      <c r="AB318" s="493">
        <f>AB317*波及効果シート!$D$72</f>
        <v>0</v>
      </c>
      <c r="AC318" s="493">
        <f>AC317*波及効果シート!$D$72</f>
        <v>0</v>
      </c>
      <c r="AD318" s="493">
        <f>AD317*波及効果シート!$D$72</f>
        <v>0</v>
      </c>
      <c r="AE318" s="493">
        <f>AE317*波及効果シート!$D$72</f>
        <v>0</v>
      </c>
      <c r="AF318" s="493">
        <f>AF317*波及効果シート!$D$72</f>
        <v>0</v>
      </c>
      <c r="AG318" s="493">
        <f>AG317*波及効果シート!$D$72</f>
        <v>0</v>
      </c>
      <c r="AH318" s="493">
        <f>AH317*波及効果シート!$D$72</f>
        <v>0</v>
      </c>
      <c r="AI318" s="535">
        <f t="shared" ref="AI318:AI319" si="346">SUM(D318:N318)</f>
        <v>0</v>
      </c>
      <c r="AJ318" s="535">
        <f t="shared" ref="AJ318:AJ319" si="347">SUM(D318:X318)</f>
        <v>0</v>
      </c>
      <c r="AK318" s="497">
        <f t="shared" ref="AK318:AK319" si="348">SUM(D318:AH318)</f>
        <v>0</v>
      </c>
    </row>
    <row r="319" spans="1:37" ht="11.5" x14ac:dyDescent="0.25">
      <c r="A319" s="533"/>
      <c r="B319" s="439" t="s">
        <v>1137</v>
      </c>
      <c r="C319" s="452" t="s">
        <v>37</v>
      </c>
      <c r="D319" s="493">
        <f>D317*波及効果シート!$D$74</f>
        <v>0</v>
      </c>
      <c r="E319" s="493">
        <f>E317*波及効果シート!$D$74</f>
        <v>0</v>
      </c>
      <c r="F319" s="493">
        <f>F317*波及効果シート!$D$74</f>
        <v>0</v>
      </c>
      <c r="G319" s="493">
        <f>G317*波及効果シート!$D$74</f>
        <v>0</v>
      </c>
      <c r="H319" s="493">
        <f>H317*波及効果シート!$D$74</f>
        <v>0</v>
      </c>
      <c r="I319" s="493">
        <f>I317*波及効果シート!$D$74</f>
        <v>0</v>
      </c>
      <c r="J319" s="493">
        <f>J317*波及効果シート!$D$74</f>
        <v>0</v>
      </c>
      <c r="K319" s="493">
        <f>K317*波及効果シート!$D$74</f>
        <v>0</v>
      </c>
      <c r="L319" s="493">
        <f>L317*波及効果シート!$D$74</f>
        <v>0</v>
      </c>
      <c r="M319" s="493">
        <f>M317*波及効果シート!$D$74</f>
        <v>0</v>
      </c>
      <c r="N319" s="493">
        <f>N317*波及効果シート!$D$74</f>
        <v>0</v>
      </c>
      <c r="O319" s="493">
        <f>O317*波及効果シート!$D$74</f>
        <v>0</v>
      </c>
      <c r="P319" s="493">
        <f>P317*波及効果シート!$D$74</f>
        <v>0</v>
      </c>
      <c r="Q319" s="493">
        <f>Q317*波及効果シート!$D$74</f>
        <v>0</v>
      </c>
      <c r="R319" s="493">
        <f>R317*波及効果シート!$D$74</f>
        <v>0</v>
      </c>
      <c r="S319" s="493">
        <f>S317*波及効果シート!$D$74</f>
        <v>0</v>
      </c>
      <c r="T319" s="493">
        <f>T317*波及効果シート!$D$74</f>
        <v>0</v>
      </c>
      <c r="U319" s="493">
        <f>U317*波及効果シート!$D$74</f>
        <v>0</v>
      </c>
      <c r="V319" s="493">
        <f>V317*波及効果シート!$D$74</f>
        <v>0</v>
      </c>
      <c r="W319" s="493">
        <f>W317*波及効果シート!$D$74</f>
        <v>0</v>
      </c>
      <c r="X319" s="493">
        <f>X317*波及効果シート!$D$74</f>
        <v>0</v>
      </c>
      <c r="Y319" s="493">
        <f>Y317*波及効果シート!$D$74</f>
        <v>0</v>
      </c>
      <c r="Z319" s="493">
        <f>Z317*波及効果シート!$D$74</f>
        <v>0</v>
      </c>
      <c r="AA319" s="493">
        <f>AA317*波及効果シート!$D$74</f>
        <v>0</v>
      </c>
      <c r="AB319" s="493">
        <f>AB317*波及効果シート!$D$74</f>
        <v>0</v>
      </c>
      <c r="AC319" s="493">
        <f>AC317*波及効果シート!$D$74</f>
        <v>0</v>
      </c>
      <c r="AD319" s="493">
        <f>AD317*波及効果シート!$D$74</f>
        <v>0</v>
      </c>
      <c r="AE319" s="493">
        <f>AE317*波及効果シート!$D$74</f>
        <v>0</v>
      </c>
      <c r="AF319" s="493">
        <f>AF317*波及効果シート!$D$74</f>
        <v>0</v>
      </c>
      <c r="AG319" s="493">
        <f>AG317*波及効果シート!$D$74</f>
        <v>0</v>
      </c>
      <c r="AH319" s="493">
        <f>AH317*波及効果シート!$D$74</f>
        <v>0</v>
      </c>
      <c r="AI319" s="535">
        <f t="shared" si="346"/>
        <v>0</v>
      </c>
      <c r="AJ319" s="535">
        <f t="shared" si="347"/>
        <v>0</v>
      </c>
      <c r="AK319" s="497">
        <f t="shared" si="348"/>
        <v>0</v>
      </c>
    </row>
    <row r="320" spans="1:37" ht="11.5" x14ac:dyDescent="0.25">
      <c r="A320" s="533" t="str">
        <f>A316&amp;B320</f>
        <v>0所得税（国税）</v>
      </c>
      <c r="B320" s="439" t="s">
        <v>351</v>
      </c>
      <c r="C320" s="452" t="s">
        <v>333</v>
      </c>
      <c r="D320" s="493">
        <f>D317*地域経済性分析・初期条件!$P$35</f>
        <v>0</v>
      </c>
      <c r="E320" s="493">
        <f>E317*地域経済性分析・初期条件!$P$35</f>
        <v>0</v>
      </c>
      <c r="F320" s="493">
        <f>F317*地域経済性分析・初期条件!$P$35</f>
        <v>0</v>
      </c>
      <c r="G320" s="493">
        <f>G317*地域経済性分析・初期条件!$P$35</f>
        <v>0</v>
      </c>
      <c r="H320" s="493">
        <f>H317*地域経済性分析・初期条件!$P$35</f>
        <v>0</v>
      </c>
      <c r="I320" s="493">
        <f>I317*地域経済性分析・初期条件!$P$35</f>
        <v>0</v>
      </c>
      <c r="J320" s="493">
        <f>J317*地域経済性分析・初期条件!$P$35</f>
        <v>0</v>
      </c>
      <c r="K320" s="493">
        <f>K317*地域経済性分析・初期条件!$P$35</f>
        <v>0</v>
      </c>
      <c r="L320" s="493">
        <f>L317*地域経済性分析・初期条件!$P$35</f>
        <v>0</v>
      </c>
      <c r="M320" s="493">
        <f>M317*地域経済性分析・初期条件!$P$35</f>
        <v>0</v>
      </c>
      <c r="N320" s="493">
        <f>N317*地域経済性分析・初期条件!$P$35</f>
        <v>0</v>
      </c>
      <c r="O320" s="493">
        <f>O317*地域経済性分析・初期条件!$P$35</f>
        <v>0</v>
      </c>
      <c r="P320" s="493">
        <f>P317*地域経済性分析・初期条件!$P$35</f>
        <v>0</v>
      </c>
      <c r="Q320" s="493">
        <f>Q317*地域経済性分析・初期条件!$P$35</f>
        <v>0</v>
      </c>
      <c r="R320" s="493">
        <f>R317*地域経済性分析・初期条件!$P$35</f>
        <v>0</v>
      </c>
      <c r="S320" s="493">
        <f>S317*地域経済性分析・初期条件!$P$35</f>
        <v>0</v>
      </c>
      <c r="T320" s="493">
        <f>T317*地域経済性分析・初期条件!$P$35</f>
        <v>0</v>
      </c>
      <c r="U320" s="493">
        <f>U317*地域経済性分析・初期条件!$P$35</f>
        <v>0</v>
      </c>
      <c r="V320" s="493">
        <f>V317*地域経済性分析・初期条件!$P$35</f>
        <v>0</v>
      </c>
      <c r="W320" s="493">
        <f>W317*地域経済性分析・初期条件!$P$35</f>
        <v>0</v>
      </c>
      <c r="X320" s="493">
        <f>X317*地域経済性分析・初期条件!$P$35</f>
        <v>0</v>
      </c>
      <c r="Y320" s="493">
        <f>Y317*地域経済性分析・初期条件!$P$35</f>
        <v>0</v>
      </c>
      <c r="Z320" s="493">
        <f>Z317*地域経済性分析・初期条件!$P$35</f>
        <v>0</v>
      </c>
      <c r="AA320" s="493">
        <f>AA317*地域経済性分析・初期条件!$P$35</f>
        <v>0</v>
      </c>
      <c r="AB320" s="493">
        <f>AB317*地域経済性分析・初期条件!$P$35</f>
        <v>0</v>
      </c>
      <c r="AC320" s="493">
        <f>AC317*地域経済性分析・初期条件!$P$35</f>
        <v>0</v>
      </c>
      <c r="AD320" s="493">
        <f>AD317*地域経済性分析・初期条件!$P$35</f>
        <v>0</v>
      </c>
      <c r="AE320" s="493">
        <f>AE317*地域経済性分析・初期条件!$P$35</f>
        <v>0</v>
      </c>
      <c r="AF320" s="493">
        <f>AF317*地域経済性分析・初期条件!$P$35</f>
        <v>0</v>
      </c>
      <c r="AG320" s="493">
        <f>AG317*地域経済性分析・初期条件!$P$35</f>
        <v>0</v>
      </c>
      <c r="AH320" s="493">
        <f>AH317*地域経済性分析・初期条件!$P$35</f>
        <v>0</v>
      </c>
      <c r="AI320" s="535">
        <f t="shared" si="345"/>
        <v>0</v>
      </c>
      <c r="AJ320" s="535">
        <f>SUM(D320:X320)</f>
        <v>0</v>
      </c>
      <c r="AK320" s="497">
        <f>SUM(D320:AH320)</f>
        <v>0</v>
      </c>
    </row>
    <row r="321" spans="1:37" ht="11.5" x14ac:dyDescent="0.25">
      <c r="A321" s="533" t="str">
        <f>A316&amp;B321</f>
        <v>0法人税（国税）</v>
      </c>
      <c r="B321" s="439" t="s">
        <v>350</v>
      </c>
      <c r="C321" s="452" t="s">
        <v>333</v>
      </c>
      <c r="D321" s="493">
        <f>D317*地域経済性分析・初期条件!$Q$35</f>
        <v>0</v>
      </c>
      <c r="E321" s="493">
        <f>E317*地域経済性分析・初期条件!$Q$35</f>
        <v>0</v>
      </c>
      <c r="F321" s="493">
        <f>F317*地域経済性分析・初期条件!$Q$35</f>
        <v>0</v>
      </c>
      <c r="G321" s="493">
        <f>G317*地域経済性分析・初期条件!$Q$35</f>
        <v>0</v>
      </c>
      <c r="H321" s="493">
        <f>H317*地域経済性分析・初期条件!$Q$35</f>
        <v>0</v>
      </c>
      <c r="I321" s="493">
        <f>I317*地域経済性分析・初期条件!$Q$35</f>
        <v>0</v>
      </c>
      <c r="J321" s="493">
        <f>J317*地域経済性分析・初期条件!$Q$35</f>
        <v>0</v>
      </c>
      <c r="K321" s="493">
        <f>K317*地域経済性分析・初期条件!$Q$35</f>
        <v>0</v>
      </c>
      <c r="L321" s="493">
        <f>L317*地域経済性分析・初期条件!$Q$35</f>
        <v>0</v>
      </c>
      <c r="M321" s="493">
        <f>M317*地域経済性分析・初期条件!$Q$35</f>
        <v>0</v>
      </c>
      <c r="N321" s="493">
        <f>N317*地域経済性分析・初期条件!$Q$35</f>
        <v>0</v>
      </c>
      <c r="O321" s="493">
        <f>O317*地域経済性分析・初期条件!$Q$35</f>
        <v>0</v>
      </c>
      <c r="P321" s="493">
        <f>P317*地域経済性分析・初期条件!$Q$35</f>
        <v>0</v>
      </c>
      <c r="Q321" s="493">
        <f>Q317*地域経済性分析・初期条件!$Q$35</f>
        <v>0</v>
      </c>
      <c r="R321" s="493">
        <f>R317*地域経済性分析・初期条件!$Q$35</f>
        <v>0</v>
      </c>
      <c r="S321" s="493">
        <f>S317*地域経済性分析・初期条件!$Q$35</f>
        <v>0</v>
      </c>
      <c r="T321" s="493">
        <f>T317*地域経済性分析・初期条件!$Q$35</f>
        <v>0</v>
      </c>
      <c r="U321" s="493">
        <f>U317*地域経済性分析・初期条件!$Q$35</f>
        <v>0</v>
      </c>
      <c r="V321" s="493">
        <f>V317*地域経済性分析・初期条件!$Q$35</f>
        <v>0</v>
      </c>
      <c r="W321" s="493">
        <f>W317*地域経済性分析・初期条件!$Q$35</f>
        <v>0</v>
      </c>
      <c r="X321" s="493">
        <f>X317*地域経済性分析・初期条件!$Q$35</f>
        <v>0</v>
      </c>
      <c r="Y321" s="493">
        <f>Y317*地域経済性分析・初期条件!$Q$35</f>
        <v>0</v>
      </c>
      <c r="Z321" s="493">
        <f>Z317*地域経済性分析・初期条件!$Q$35</f>
        <v>0</v>
      </c>
      <c r="AA321" s="493">
        <f>AA317*地域経済性分析・初期条件!$Q$35</f>
        <v>0</v>
      </c>
      <c r="AB321" s="493">
        <f>AB317*地域経済性分析・初期条件!$Q$35</f>
        <v>0</v>
      </c>
      <c r="AC321" s="493">
        <f>AC317*地域経済性分析・初期条件!$Q$35</f>
        <v>0</v>
      </c>
      <c r="AD321" s="493">
        <f>AD317*地域経済性分析・初期条件!$Q$35</f>
        <v>0</v>
      </c>
      <c r="AE321" s="493">
        <f>AE317*地域経済性分析・初期条件!$Q$35</f>
        <v>0</v>
      </c>
      <c r="AF321" s="493">
        <f>AF317*地域経済性分析・初期条件!$Q$35</f>
        <v>0</v>
      </c>
      <c r="AG321" s="493">
        <f>AG317*地域経済性分析・初期条件!$Q$35</f>
        <v>0</v>
      </c>
      <c r="AH321" s="493">
        <f>AH317*地域経済性分析・初期条件!$Q$35</f>
        <v>0</v>
      </c>
      <c r="AI321" s="535">
        <f t="shared" si="345"/>
        <v>0</v>
      </c>
      <c r="AJ321" s="535">
        <f>SUM(D321:X321)</f>
        <v>0</v>
      </c>
      <c r="AK321" s="497">
        <f>SUM(D321:AH321)</f>
        <v>0</v>
      </c>
    </row>
    <row r="322" spans="1:37" ht="11.5" x14ac:dyDescent="0.25">
      <c r="A322" s="533" t="str">
        <f>A316&amp;B322</f>
        <v>0従業員の可処分所得（一次）</v>
      </c>
      <c r="B322" s="439" t="s">
        <v>329</v>
      </c>
      <c r="C322" s="451" t="s">
        <v>37</v>
      </c>
      <c r="D322" s="493">
        <f>D317*地域経済性分析・初期条件!$H$35</f>
        <v>0</v>
      </c>
      <c r="E322" s="493">
        <f>E317*地域経済性分析・初期条件!$H$35</f>
        <v>0</v>
      </c>
      <c r="F322" s="465">
        <f>F317*地域経済性分析・初期条件!$H$35</f>
        <v>0</v>
      </c>
      <c r="G322" s="465">
        <f>G317*地域経済性分析・初期条件!$H$35</f>
        <v>0</v>
      </c>
      <c r="H322" s="465">
        <f>H317*地域経済性分析・初期条件!$H$35</f>
        <v>0</v>
      </c>
      <c r="I322" s="465">
        <f>I317*地域経済性分析・初期条件!$H$35</f>
        <v>0</v>
      </c>
      <c r="J322" s="465">
        <f>J317*地域経済性分析・初期条件!$H$35</f>
        <v>0</v>
      </c>
      <c r="K322" s="465">
        <f>K317*地域経済性分析・初期条件!$H$35</f>
        <v>0</v>
      </c>
      <c r="L322" s="465">
        <f>L317*地域経済性分析・初期条件!$H$35</f>
        <v>0</v>
      </c>
      <c r="M322" s="465">
        <f>M317*地域経済性分析・初期条件!$H$35</f>
        <v>0</v>
      </c>
      <c r="N322" s="465">
        <f>N317*地域経済性分析・初期条件!$H$35</f>
        <v>0</v>
      </c>
      <c r="O322" s="465">
        <f>O317*地域経済性分析・初期条件!$H$35</f>
        <v>0</v>
      </c>
      <c r="P322" s="465">
        <f>P317*地域経済性分析・初期条件!$H$35</f>
        <v>0</v>
      </c>
      <c r="Q322" s="465">
        <f>Q317*地域経済性分析・初期条件!$H$35</f>
        <v>0</v>
      </c>
      <c r="R322" s="465">
        <f>R317*地域経済性分析・初期条件!$H$35</f>
        <v>0</v>
      </c>
      <c r="S322" s="465">
        <f>S317*地域経済性分析・初期条件!$H$35</f>
        <v>0</v>
      </c>
      <c r="T322" s="465">
        <f>T317*地域経済性分析・初期条件!$H$35</f>
        <v>0</v>
      </c>
      <c r="U322" s="465">
        <f>U317*地域経済性分析・初期条件!$H$35</f>
        <v>0</v>
      </c>
      <c r="V322" s="465">
        <f>V317*地域経済性分析・初期条件!$H$35</f>
        <v>0</v>
      </c>
      <c r="W322" s="465">
        <f>W317*地域経済性分析・初期条件!$H$35</f>
        <v>0</v>
      </c>
      <c r="X322" s="465">
        <f>X317*地域経済性分析・初期条件!$H$35</f>
        <v>0</v>
      </c>
      <c r="Y322" s="465">
        <f>Y317*地域経済性分析・初期条件!$H$35</f>
        <v>0</v>
      </c>
      <c r="Z322" s="465">
        <f>Z317*地域経済性分析・初期条件!$H$35</f>
        <v>0</v>
      </c>
      <c r="AA322" s="465">
        <f>AA317*地域経済性分析・初期条件!$H$35</f>
        <v>0</v>
      </c>
      <c r="AB322" s="465">
        <f>AB317*地域経済性分析・初期条件!$H$35</f>
        <v>0</v>
      </c>
      <c r="AC322" s="465">
        <f>AC317*地域経済性分析・初期条件!$H$35</f>
        <v>0</v>
      </c>
      <c r="AD322" s="465">
        <f>AD317*地域経済性分析・初期条件!$H$35</f>
        <v>0</v>
      </c>
      <c r="AE322" s="465">
        <f>AE317*地域経済性分析・初期条件!$H$35</f>
        <v>0</v>
      </c>
      <c r="AF322" s="465">
        <f>AF317*地域経済性分析・初期条件!$H$35</f>
        <v>0</v>
      </c>
      <c r="AG322" s="465">
        <f>AG317*地域経済性分析・初期条件!$H$35</f>
        <v>0</v>
      </c>
      <c r="AH322" s="465">
        <f>AH317*地域経済性分析・初期条件!$H$35</f>
        <v>0</v>
      </c>
      <c r="AI322" s="535">
        <f t="shared" si="345"/>
        <v>0</v>
      </c>
      <c r="AJ322" s="535">
        <f t="shared" ref="AJ322:AJ329" si="349">SUM(D322:X322)</f>
        <v>0</v>
      </c>
      <c r="AK322" s="497">
        <f t="shared" ref="AK322:AK329" si="350">SUM(D322:AH322)</f>
        <v>0</v>
      </c>
    </row>
    <row r="323" spans="1:37" ht="11.5" x14ac:dyDescent="0.25">
      <c r="A323" s="533" t="str">
        <f>A316&amp;B323</f>
        <v>0企業の税引後利益（一次）</v>
      </c>
      <c r="B323" s="439" t="s">
        <v>330</v>
      </c>
      <c r="C323" s="451" t="s">
        <v>37</v>
      </c>
      <c r="D323" s="493">
        <f>D317*地域経済性分析・初期条件!$I$35</f>
        <v>0</v>
      </c>
      <c r="E323" s="493">
        <f>E317*地域経済性分析・初期条件!$I$35</f>
        <v>0</v>
      </c>
      <c r="F323" s="465">
        <f>F317*地域経済性分析・初期条件!$I$35</f>
        <v>0</v>
      </c>
      <c r="G323" s="465">
        <f>G317*地域経済性分析・初期条件!$I$35</f>
        <v>0</v>
      </c>
      <c r="H323" s="465">
        <f>H317*地域経済性分析・初期条件!$I$35</f>
        <v>0</v>
      </c>
      <c r="I323" s="465">
        <f>I317*地域経済性分析・初期条件!$I$35</f>
        <v>0</v>
      </c>
      <c r="J323" s="465">
        <f>J317*地域経済性分析・初期条件!$I$35</f>
        <v>0</v>
      </c>
      <c r="K323" s="465">
        <f>K317*地域経済性分析・初期条件!$I$35</f>
        <v>0</v>
      </c>
      <c r="L323" s="465">
        <f>L317*地域経済性分析・初期条件!$I$35</f>
        <v>0</v>
      </c>
      <c r="M323" s="465">
        <f>M317*地域経済性分析・初期条件!$I$35</f>
        <v>0</v>
      </c>
      <c r="N323" s="465">
        <f>N317*地域経済性分析・初期条件!$I$35</f>
        <v>0</v>
      </c>
      <c r="O323" s="465">
        <f>O317*地域経済性分析・初期条件!$I$35</f>
        <v>0</v>
      </c>
      <c r="P323" s="465">
        <f>P317*地域経済性分析・初期条件!$I$35</f>
        <v>0</v>
      </c>
      <c r="Q323" s="465">
        <f>Q317*地域経済性分析・初期条件!$I$35</f>
        <v>0</v>
      </c>
      <c r="R323" s="465">
        <f>R317*地域経済性分析・初期条件!$I$35</f>
        <v>0</v>
      </c>
      <c r="S323" s="465">
        <f>S317*地域経済性分析・初期条件!$I$35</f>
        <v>0</v>
      </c>
      <c r="T323" s="465">
        <f>T317*地域経済性分析・初期条件!$I$35</f>
        <v>0</v>
      </c>
      <c r="U323" s="465">
        <f>U317*地域経済性分析・初期条件!$I$35</f>
        <v>0</v>
      </c>
      <c r="V323" s="465">
        <f>V317*地域経済性分析・初期条件!$I$35</f>
        <v>0</v>
      </c>
      <c r="W323" s="465">
        <f>W317*地域経済性分析・初期条件!$I$35</f>
        <v>0</v>
      </c>
      <c r="X323" s="465">
        <f>X317*地域経済性分析・初期条件!$I$35</f>
        <v>0</v>
      </c>
      <c r="Y323" s="465">
        <f>Y317*地域経済性分析・初期条件!$I$35</f>
        <v>0</v>
      </c>
      <c r="Z323" s="465">
        <f>Z317*地域経済性分析・初期条件!$I$35</f>
        <v>0</v>
      </c>
      <c r="AA323" s="465">
        <f>AA317*地域経済性分析・初期条件!$I$35</f>
        <v>0</v>
      </c>
      <c r="AB323" s="465">
        <f>AB317*地域経済性分析・初期条件!$I$35</f>
        <v>0</v>
      </c>
      <c r="AC323" s="465">
        <f>AC317*地域経済性分析・初期条件!$I$35</f>
        <v>0</v>
      </c>
      <c r="AD323" s="465">
        <f>AD317*地域経済性分析・初期条件!$I$35</f>
        <v>0</v>
      </c>
      <c r="AE323" s="465">
        <f>AE317*地域経済性分析・初期条件!$I$35</f>
        <v>0</v>
      </c>
      <c r="AF323" s="465">
        <f>AF317*地域経済性分析・初期条件!$I$35</f>
        <v>0</v>
      </c>
      <c r="AG323" s="465">
        <f>AG317*地域経済性分析・初期条件!$I$35</f>
        <v>0</v>
      </c>
      <c r="AH323" s="465">
        <f>AH317*地域経済性分析・初期条件!$I$35</f>
        <v>0</v>
      </c>
      <c r="AI323" s="535">
        <f t="shared" si="345"/>
        <v>0</v>
      </c>
      <c r="AJ323" s="535">
        <f t="shared" si="349"/>
        <v>0</v>
      </c>
      <c r="AK323" s="497">
        <f t="shared" si="350"/>
        <v>0</v>
      </c>
    </row>
    <row r="324" spans="1:37" ht="11.5" x14ac:dyDescent="0.25">
      <c r="A324" s="533" t="str">
        <f>A316&amp;B324</f>
        <v>0都道府県税収（一次）</v>
      </c>
      <c r="B324" s="439" t="s">
        <v>331</v>
      </c>
      <c r="C324" s="451" t="s">
        <v>37</v>
      </c>
      <c r="D324" s="493">
        <f>D317*地域経済性分析・初期条件!$J$35</f>
        <v>0</v>
      </c>
      <c r="E324" s="493">
        <f>E317*地域経済性分析・初期条件!$J$35</f>
        <v>0</v>
      </c>
      <c r="F324" s="465">
        <f>F317*地域経済性分析・初期条件!$J$35</f>
        <v>0</v>
      </c>
      <c r="G324" s="465">
        <f>G317*地域経済性分析・初期条件!$J$35</f>
        <v>0</v>
      </c>
      <c r="H324" s="465">
        <f>H317*地域経済性分析・初期条件!$J$35</f>
        <v>0</v>
      </c>
      <c r="I324" s="465">
        <f>I317*地域経済性分析・初期条件!$J$35</f>
        <v>0</v>
      </c>
      <c r="J324" s="465">
        <f>J317*地域経済性分析・初期条件!$J$35</f>
        <v>0</v>
      </c>
      <c r="K324" s="465">
        <f>K317*地域経済性分析・初期条件!$J$35</f>
        <v>0</v>
      </c>
      <c r="L324" s="465">
        <f>L317*地域経済性分析・初期条件!$J$35</f>
        <v>0</v>
      </c>
      <c r="M324" s="465">
        <f>M317*地域経済性分析・初期条件!$J$35</f>
        <v>0</v>
      </c>
      <c r="N324" s="465">
        <f>N317*地域経済性分析・初期条件!$J$35</f>
        <v>0</v>
      </c>
      <c r="O324" s="465">
        <f>O317*地域経済性分析・初期条件!$J$35</f>
        <v>0</v>
      </c>
      <c r="P324" s="465">
        <f>P317*地域経済性分析・初期条件!$J$35</f>
        <v>0</v>
      </c>
      <c r="Q324" s="465">
        <f>Q317*地域経済性分析・初期条件!$J$35</f>
        <v>0</v>
      </c>
      <c r="R324" s="465">
        <f>R317*地域経済性分析・初期条件!$J$35</f>
        <v>0</v>
      </c>
      <c r="S324" s="465">
        <f>S317*地域経済性分析・初期条件!$J$35</f>
        <v>0</v>
      </c>
      <c r="T324" s="465">
        <f>T317*地域経済性分析・初期条件!$J$35</f>
        <v>0</v>
      </c>
      <c r="U324" s="465">
        <f>U317*地域経済性分析・初期条件!$J$35</f>
        <v>0</v>
      </c>
      <c r="V324" s="465">
        <f>V317*地域経済性分析・初期条件!$J$35</f>
        <v>0</v>
      </c>
      <c r="W324" s="465">
        <f>W317*地域経済性分析・初期条件!$J$35</f>
        <v>0</v>
      </c>
      <c r="X324" s="465">
        <f>X317*地域経済性分析・初期条件!$J$35</f>
        <v>0</v>
      </c>
      <c r="Y324" s="465">
        <f>Y317*地域経済性分析・初期条件!$J$35</f>
        <v>0</v>
      </c>
      <c r="Z324" s="465">
        <f>Z317*地域経済性分析・初期条件!$J$35</f>
        <v>0</v>
      </c>
      <c r="AA324" s="465">
        <f>AA317*地域経済性分析・初期条件!$J$35</f>
        <v>0</v>
      </c>
      <c r="AB324" s="465">
        <f>AB317*地域経済性分析・初期条件!$J$35</f>
        <v>0</v>
      </c>
      <c r="AC324" s="465">
        <f>AC317*地域経済性分析・初期条件!$J$35</f>
        <v>0</v>
      </c>
      <c r="AD324" s="465">
        <f>AD317*地域経済性分析・初期条件!$J$35</f>
        <v>0</v>
      </c>
      <c r="AE324" s="465">
        <f>AE317*地域経済性分析・初期条件!$J$35</f>
        <v>0</v>
      </c>
      <c r="AF324" s="465">
        <f>AF317*地域経済性分析・初期条件!$J$35</f>
        <v>0</v>
      </c>
      <c r="AG324" s="465">
        <f>AG317*地域経済性分析・初期条件!$J$35</f>
        <v>0</v>
      </c>
      <c r="AH324" s="465">
        <f>AH317*地域経済性分析・初期条件!$J$35</f>
        <v>0</v>
      </c>
      <c r="AI324" s="535">
        <f t="shared" si="345"/>
        <v>0</v>
      </c>
      <c r="AJ324" s="535">
        <f t="shared" si="349"/>
        <v>0</v>
      </c>
      <c r="AK324" s="497">
        <f t="shared" si="350"/>
        <v>0</v>
      </c>
    </row>
    <row r="325" spans="1:37" ht="11.5" x14ac:dyDescent="0.25">
      <c r="A325" s="533" t="str">
        <f>A316&amp;B325</f>
        <v>0市町村税収（一次）</v>
      </c>
      <c r="B325" s="439" t="s">
        <v>332</v>
      </c>
      <c r="C325" s="452" t="s">
        <v>37</v>
      </c>
      <c r="D325" s="493">
        <f>D317*地域経済性分析・初期条件!$K$35</f>
        <v>0</v>
      </c>
      <c r="E325" s="465">
        <f>E317*地域経済性分析・初期条件!$K$35</f>
        <v>0</v>
      </c>
      <c r="F325" s="465">
        <f>F317*地域経済性分析・初期条件!$K$35</f>
        <v>0</v>
      </c>
      <c r="G325" s="465">
        <f>G317*地域経済性分析・初期条件!$K$35</f>
        <v>0</v>
      </c>
      <c r="H325" s="465">
        <f>H317*地域経済性分析・初期条件!$K$35</f>
        <v>0</v>
      </c>
      <c r="I325" s="465">
        <f>I317*地域経済性分析・初期条件!$K$35</f>
        <v>0</v>
      </c>
      <c r="J325" s="465">
        <f>J317*地域経済性分析・初期条件!$K$35</f>
        <v>0</v>
      </c>
      <c r="K325" s="465">
        <f>K317*地域経済性分析・初期条件!$K$35</f>
        <v>0</v>
      </c>
      <c r="L325" s="465">
        <f>L317*地域経済性分析・初期条件!$K$35</f>
        <v>0</v>
      </c>
      <c r="M325" s="465">
        <f>M317*地域経済性分析・初期条件!$K$35</f>
        <v>0</v>
      </c>
      <c r="N325" s="465">
        <f>N317*地域経済性分析・初期条件!$K$35</f>
        <v>0</v>
      </c>
      <c r="O325" s="465">
        <f>O317*地域経済性分析・初期条件!$K$35</f>
        <v>0</v>
      </c>
      <c r="P325" s="465">
        <f>P317*地域経済性分析・初期条件!$K$35</f>
        <v>0</v>
      </c>
      <c r="Q325" s="465">
        <f>Q317*地域経済性分析・初期条件!$K$35</f>
        <v>0</v>
      </c>
      <c r="R325" s="465">
        <f>R317*地域経済性分析・初期条件!$K$35</f>
        <v>0</v>
      </c>
      <c r="S325" s="465">
        <f>S317*地域経済性分析・初期条件!$K$35</f>
        <v>0</v>
      </c>
      <c r="T325" s="465">
        <f>T317*地域経済性分析・初期条件!$K$35</f>
        <v>0</v>
      </c>
      <c r="U325" s="465">
        <f>U317*地域経済性分析・初期条件!$K$35</f>
        <v>0</v>
      </c>
      <c r="V325" s="465">
        <f>V317*地域経済性分析・初期条件!$K$35</f>
        <v>0</v>
      </c>
      <c r="W325" s="465">
        <f>W317*地域経済性分析・初期条件!$K$35</f>
        <v>0</v>
      </c>
      <c r="X325" s="465">
        <f>X317*地域経済性分析・初期条件!$K$35</f>
        <v>0</v>
      </c>
      <c r="Y325" s="465">
        <f>Y317*地域経済性分析・初期条件!$K$35</f>
        <v>0</v>
      </c>
      <c r="Z325" s="465">
        <f>Z317*地域経済性分析・初期条件!$K$35</f>
        <v>0</v>
      </c>
      <c r="AA325" s="465">
        <f>AA317*地域経済性分析・初期条件!$K$35</f>
        <v>0</v>
      </c>
      <c r="AB325" s="465">
        <f>AB317*地域経済性分析・初期条件!$K$35</f>
        <v>0</v>
      </c>
      <c r="AC325" s="465">
        <f>AC317*地域経済性分析・初期条件!$K$35</f>
        <v>0</v>
      </c>
      <c r="AD325" s="465">
        <f>AD317*地域経済性分析・初期条件!$K$35</f>
        <v>0</v>
      </c>
      <c r="AE325" s="465">
        <f>AE317*地域経済性分析・初期条件!$K$35</f>
        <v>0</v>
      </c>
      <c r="AF325" s="465">
        <f>AF317*地域経済性分析・初期条件!$K$35</f>
        <v>0</v>
      </c>
      <c r="AG325" s="465">
        <f>AG317*地域経済性分析・初期条件!$K$35</f>
        <v>0</v>
      </c>
      <c r="AH325" s="465">
        <f>AH317*地域経済性分析・初期条件!$K$35</f>
        <v>0</v>
      </c>
      <c r="AI325" s="535">
        <f t="shared" si="345"/>
        <v>0</v>
      </c>
      <c r="AJ325" s="535">
        <f t="shared" si="349"/>
        <v>0</v>
      </c>
      <c r="AK325" s="497">
        <f t="shared" si="350"/>
        <v>0</v>
      </c>
    </row>
    <row r="326" spans="1:37" ht="11.5" x14ac:dyDescent="0.25">
      <c r="A326" s="533" t="str">
        <f>A316&amp;B326</f>
        <v>0従業員の可処分所得（二次以降）</v>
      </c>
      <c r="B326" s="439" t="s">
        <v>334</v>
      </c>
      <c r="C326" s="452" t="s">
        <v>333</v>
      </c>
      <c r="D326" s="493">
        <f>D317*地域経済性分析・初期条件!$L$35</f>
        <v>0</v>
      </c>
      <c r="E326" s="465">
        <f>E317*地域経済性分析・初期条件!$L$35</f>
        <v>0</v>
      </c>
      <c r="F326" s="465">
        <f>F317*地域経済性分析・初期条件!$L$35</f>
        <v>0</v>
      </c>
      <c r="G326" s="465">
        <f>G317*地域経済性分析・初期条件!$L$35</f>
        <v>0</v>
      </c>
      <c r="H326" s="465">
        <f>H317*地域経済性分析・初期条件!$L$35</f>
        <v>0</v>
      </c>
      <c r="I326" s="465">
        <f>I317*地域経済性分析・初期条件!$L$35</f>
        <v>0</v>
      </c>
      <c r="J326" s="465">
        <f>J317*地域経済性分析・初期条件!$L$35</f>
        <v>0</v>
      </c>
      <c r="K326" s="465">
        <f>K317*地域経済性分析・初期条件!$L$35</f>
        <v>0</v>
      </c>
      <c r="L326" s="465">
        <f>L317*地域経済性分析・初期条件!$L$35</f>
        <v>0</v>
      </c>
      <c r="M326" s="465">
        <f>M317*地域経済性分析・初期条件!$L$35</f>
        <v>0</v>
      </c>
      <c r="N326" s="465">
        <f>N317*地域経済性分析・初期条件!$L$35</f>
        <v>0</v>
      </c>
      <c r="O326" s="465">
        <f>O317*地域経済性分析・初期条件!$L$35</f>
        <v>0</v>
      </c>
      <c r="P326" s="465">
        <f>P317*地域経済性分析・初期条件!$L$35</f>
        <v>0</v>
      </c>
      <c r="Q326" s="465">
        <f>Q317*地域経済性分析・初期条件!$L$35</f>
        <v>0</v>
      </c>
      <c r="R326" s="465">
        <f>R317*地域経済性分析・初期条件!$L$35</f>
        <v>0</v>
      </c>
      <c r="S326" s="465">
        <f>S317*地域経済性分析・初期条件!$L$35</f>
        <v>0</v>
      </c>
      <c r="T326" s="465">
        <f>T317*地域経済性分析・初期条件!$L$35</f>
        <v>0</v>
      </c>
      <c r="U326" s="465">
        <f>U317*地域経済性分析・初期条件!$L$35</f>
        <v>0</v>
      </c>
      <c r="V326" s="465">
        <f>V317*地域経済性分析・初期条件!$L$35</f>
        <v>0</v>
      </c>
      <c r="W326" s="465">
        <f>W317*地域経済性分析・初期条件!$L$35</f>
        <v>0</v>
      </c>
      <c r="X326" s="465">
        <f>X317*地域経済性分析・初期条件!$L$35</f>
        <v>0</v>
      </c>
      <c r="Y326" s="465">
        <f>Y317*地域経済性分析・初期条件!$L$35</f>
        <v>0</v>
      </c>
      <c r="Z326" s="465">
        <f>Z317*地域経済性分析・初期条件!$L$35</f>
        <v>0</v>
      </c>
      <c r="AA326" s="465">
        <f>AA317*地域経済性分析・初期条件!$L$35</f>
        <v>0</v>
      </c>
      <c r="AB326" s="465">
        <f>AB317*地域経済性分析・初期条件!$L$35</f>
        <v>0</v>
      </c>
      <c r="AC326" s="465">
        <f>AC317*地域経済性分析・初期条件!$L$35</f>
        <v>0</v>
      </c>
      <c r="AD326" s="465">
        <f>AD317*地域経済性分析・初期条件!$L$35</f>
        <v>0</v>
      </c>
      <c r="AE326" s="465">
        <f>AE317*地域経済性分析・初期条件!$L$35</f>
        <v>0</v>
      </c>
      <c r="AF326" s="465">
        <f>AF317*地域経済性分析・初期条件!$L$35</f>
        <v>0</v>
      </c>
      <c r="AG326" s="465">
        <f>AG317*地域経済性分析・初期条件!$L$35</f>
        <v>0</v>
      </c>
      <c r="AH326" s="465">
        <f>AH317*地域経済性分析・初期条件!$L$35</f>
        <v>0</v>
      </c>
      <c r="AI326" s="535">
        <f>SUM(D326:N326)</f>
        <v>0</v>
      </c>
      <c r="AJ326" s="535">
        <f t="shared" si="349"/>
        <v>0</v>
      </c>
      <c r="AK326" s="497">
        <f t="shared" si="350"/>
        <v>0</v>
      </c>
    </row>
    <row r="327" spans="1:37" ht="11.5" x14ac:dyDescent="0.25">
      <c r="A327" s="533" t="str">
        <f>A316&amp;B327</f>
        <v>0企業の税引後利益（二次以降）</v>
      </c>
      <c r="B327" s="439" t="s">
        <v>335</v>
      </c>
      <c r="C327" s="452" t="s">
        <v>333</v>
      </c>
      <c r="D327" s="493">
        <f>D317*地域経済性分析・初期条件!$M$35</f>
        <v>0</v>
      </c>
      <c r="E327" s="465">
        <f>E317*地域経済性分析・初期条件!$M$35</f>
        <v>0</v>
      </c>
      <c r="F327" s="465">
        <f>F317*地域経済性分析・初期条件!$M$35</f>
        <v>0</v>
      </c>
      <c r="G327" s="465">
        <f>G317*地域経済性分析・初期条件!$M$35</f>
        <v>0</v>
      </c>
      <c r="H327" s="465">
        <f>H317*地域経済性分析・初期条件!$M$35</f>
        <v>0</v>
      </c>
      <c r="I327" s="465">
        <f>I317*地域経済性分析・初期条件!$M$35</f>
        <v>0</v>
      </c>
      <c r="J327" s="465">
        <f>J317*地域経済性分析・初期条件!$M$35</f>
        <v>0</v>
      </c>
      <c r="K327" s="465">
        <f>K317*地域経済性分析・初期条件!$M$35</f>
        <v>0</v>
      </c>
      <c r="L327" s="465">
        <f>L317*地域経済性分析・初期条件!$M$35</f>
        <v>0</v>
      </c>
      <c r="M327" s="465">
        <f>M317*地域経済性分析・初期条件!$M$35</f>
        <v>0</v>
      </c>
      <c r="N327" s="465">
        <f>N317*地域経済性分析・初期条件!$M$35</f>
        <v>0</v>
      </c>
      <c r="O327" s="465">
        <f>O317*地域経済性分析・初期条件!$M$35</f>
        <v>0</v>
      </c>
      <c r="P327" s="465">
        <f>P317*地域経済性分析・初期条件!$M$35</f>
        <v>0</v>
      </c>
      <c r="Q327" s="465">
        <f>Q317*地域経済性分析・初期条件!$M$35</f>
        <v>0</v>
      </c>
      <c r="R327" s="465">
        <f>R317*地域経済性分析・初期条件!$M$35</f>
        <v>0</v>
      </c>
      <c r="S327" s="465">
        <f>S317*地域経済性分析・初期条件!$M$35</f>
        <v>0</v>
      </c>
      <c r="T327" s="465">
        <f>T317*地域経済性分析・初期条件!$M$35</f>
        <v>0</v>
      </c>
      <c r="U327" s="465">
        <f>U317*地域経済性分析・初期条件!$M$35</f>
        <v>0</v>
      </c>
      <c r="V327" s="465">
        <f>V317*地域経済性分析・初期条件!$M$35</f>
        <v>0</v>
      </c>
      <c r="W327" s="465">
        <f>W317*地域経済性分析・初期条件!$M$35</f>
        <v>0</v>
      </c>
      <c r="X327" s="465">
        <f>X317*地域経済性分析・初期条件!$M$35</f>
        <v>0</v>
      </c>
      <c r="Y327" s="465">
        <f>Y317*地域経済性分析・初期条件!$M$35</f>
        <v>0</v>
      </c>
      <c r="Z327" s="465">
        <f>Z317*地域経済性分析・初期条件!$M$35</f>
        <v>0</v>
      </c>
      <c r="AA327" s="465">
        <f>AA317*地域経済性分析・初期条件!$M$35</f>
        <v>0</v>
      </c>
      <c r="AB327" s="465">
        <f>AB317*地域経済性分析・初期条件!$M$35</f>
        <v>0</v>
      </c>
      <c r="AC327" s="465">
        <f>AC317*地域経済性分析・初期条件!$M$35</f>
        <v>0</v>
      </c>
      <c r="AD327" s="465">
        <f>AD317*地域経済性分析・初期条件!$M$35</f>
        <v>0</v>
      </c>
      <c r="AE327" s="465">
        <f>AE317*地域経済性分析・初期条件!$M$35</f>
        <v>0</v>
      </c>
      <c r="AF327" s="465">
        <f>AF317*地域経済性分析・初期条件!$M$35</f>
        <v>0</v>
      </c>
      <c r="AG327" s="465">
        <f>AG317*地域経済性分析・初期条件!$M$35</f>
        <v>0</v>
      </c>
      <c r="AH327" s="465">
        <f>AH317*地域経済性分析・初期条件!$M$35</f>
        <v>0</v>
      </c>
      <c r="AI327" s="535">
        <f>SUM(D327:N327)</f>
        <v>0</v>
      </c>
      <c r="AJ327" s="535">
        <f t="shared" si="349"/>
        <v>0</v>
      </c>
      <c r="AK327" s="497">
        <f t="shared" si="350"/>
        <v>0</v>
      </c>
    </row>
    <row r="328" spans="1:37" ht="11.5" x14ac:dyDescent="0.25">
      <c r="A328" s="533" t="str">
        <f>A316&amp;B328</f>
        <v>0都道府県税収（二次以降）</v>
      </c>
      <c r="B328" s="439" t="s">
        <v>336</v>
      </c>
      <c r="C328" s="452" t="s">
        <v>333</v>
      </c>
      <c r="D328" s="493">
        <f>D317*地域経済性分析・初期条件!$N$35</f>
        <v>0</v>
      </c>
      <c r="E328" s="465">
        <f>E317*地域経済性分析・初期条件!$N$35</f>
        <v>0</v>
      </c>
      <c r="F328" s="465">
        <f>F317*地域経済性分析・初期条件!$N$35</f>
        <v>0</v>
      </c>
      <c r="G328" s="465">
        <f>G317*地域経済性分析・初期条件!$N$35</f>
        <v>0</v>
      </c>
      <c r="H328" s="465">
        <f>H317*地域経済性分析・初期条件!$N$35</f>
        <v>0</v>
      </c>
      <c r="I328" s="465">
        <f>I317*地域経済性分析・初期条件!$N$35</f>
        <v>0</v>
      </c>
      <c r="J328" s="465">
        <f>J317*地域経済性分析・初期条件!$N$35</f>
        <v>0</v>
      </c>
      <c r="K328" s="465">
        <f>K317*地域経済性分析・初期条件!$N$35</f>
        <v>0</v>
      </c>
      <c r="L328" s="465">
        <f>L317*地域経済性分析・初期条件!$N$35</f>
        <v>0</v>
      </c>
      <c r="M328" s="465">
        <f>M317*地域経済性分析・初期条件!$N$35</f>
        <v>0</v>
      </c>
      <c r="N328" s="465">
        <f>N317*地域経済性分析・初期条件!$N$35</f>
        <v>0</v>
      </c>
      <c r="O328" s="465">
        <f>O317*地域経済性分析・初期条件!$N$35</f>
        <v>0</v>
      </c>
      <c r="P328" s="465">
        <f>P317*地域経済性分析・初期条件!$N$35</f>
        <v>0</v>
      </c>
      <c r="Q328" s="465">
        <f>Q317*地域経済性分析・初期条件!$N$35</f>
        <v>0</v>
      </c>
      <c r="R328" s="465">
        <f>R317*地域経済性分析・初期条件!$N$35</f>
        <v>0</v>
      </c>
      <c r="S328" s="465">
        <f>S317*地域経済性分析・初期条件!$N$35</f>
        <v>0</v>
      </c>
      <c r="T328" s="465">
        <f>T317*地域経済性分析・初期条件!$N$35</f>
        <v>0</v>
      </c>
      <c r="U328" s="465">
        <f>U317*地域経済性分析・初期条件!$N$35</f>
        <v>0</v>
      </c>
      <c r="V328" s="465">
        <f>V317*地域経済性分析・初期条件!$N$35</f>
        <v>0</v>
      </c>
      <c r="W328" s="465">
        <f>W317*地域経済性分析・初期条件!$N$35</f>
        <v>0</v>
      </c>
      <c r="X328" s="465">
        <f>X317*地域経済性分析・初期条件!$N$35</f>
        <v>0</v>
      </c>
      <c r="Y328" s="465">
        <f>Y317*地域経済性分析・初期条件!$N$35</f>
        <v>0</v>
      </c>
      <c r="Z328" s="465">
        <f>Z317*地域経済性分析・初期条件!$N$35</f>
        <v>0</v>
      </c>
      <c r="AA328" s="465">
        <f>AA317*地域経済性分析・初期条件!$N$35</f>
        <v>0</v>
      </c>
      <c r="AB328" s="465">
        <f>AB317*地域経済性分析・初期条件!$N$35</f>
        <v>0</v>
      </c>
      <c r="AC328" s="465">
        <f>AC317*地域経済性分析・初期条件!$N$35</f>
        <v>0</v>
      </c>
      <c r="AD328" s="465">
        <f>AD317*地域経済性分析・初期条件!$N$35</f>
        <v>0</v>
      </c>
      <c r="AE328" s="465">
        <f>AE317*地域経済性分析・初期条件!$N$35</f>
        <v>0</v>
      </c>
      <c r="AF328" s="465">
        <f>AF317*地域経済性分析・初期条件!$N$35</f>
        <v>0</v>
      </c>
      <c r="AG328" s="465">
        <f>AG317*地域経済性分析・初期条件!$N$35</f>
        <v>0</v>
      </c>
      <c r="AH328" s="465">
        <f>AH317*地域経済性分析・初期条件!$N$35</f>
        <v>0</v>
      </c>
      <c r="AI328" s="535">
        <f>SUM(D328:N328)</f>
        <v>0</v>
      </c>
      <c r="AJ328" s="535">
        <f t="shared" si="349"/>
        <v>0</v>
      </c>
      <c r="AK328" s="497">
        <f t="shared" si="350"/>
        <v>0</v>
      </c>
    </row>
    <row r="329" spans="1:37" ht="12" thickBot="1" x14ac:dyDescent="0.3">
      <c r="A329" s="689" t="str">
        <f>A316&amp;B329</f>
        <v>0市町村税収（二次以降）</v>
      </c>
      <c r="B329" s="690" t="s">
        <v>337</v>
      </c>
      <c r="C329" s="691" t="s">
        <v>333</v>
      </c>
      <c r="D329" s="692">
        <f>D317*地域経済性分析・初期条件!$O$35</f>
        <v>0</v>
      </c>
      <c r="E329" s="693">
        <f>E317*地域経済性分析・初期条件!$O$35</f>
        <v>0</v>
      </c>
      <c r="F329" s="693">
        <f>F317*地域経済性分析・初期条件!$O$35</f>
        <v>0</v>
      </c>
      <c r="G329" s="693">
        <f>G317*地域経済性分析・初期条件!$O$35</f>
        <v>0</v>
      </c>
      <c r="H329" s="693">
        <f>H317*地域経済性分析・初期条件!$O$35</f>
        <v>0</v>
      </c>
      <c r="I329" s="693">
        <f>I317*地域経済性分析・初期条件!$O$35</f>
        <v>0</v>
      </c>
      <c r="J329" s="693">
        <f>J317*地域経済性分析・初期条件!$O$35</f>
        <v>0</v>
      </c>
      <c r="K329" s="693">
        <f>K317*地域経済性分析・初期条件!$O$35</f>
        <v>0</v>
      </c>
      <c r="L329" s="693">
        <f>L317*地域経済性分析・初期条件!$O$35</f>
        <v>0</v>
      </c>
      <c r="M329" s="693">
        <f>M317*地域経済性分析・初期条件!$O$35</f>
        <v>0</v>
      </c>
      <c r="N329" s="693">
        <f>N317*地域経済性分析・初期条件!$O$35</f>
        <v>0</v>
      </c>
      <c r="O329" s="693">
        <f>O317*地域経済性分析・初期条件!$O$35</f>
        <v>0</v>
      </c>
      <c r="P329" s="693">
        <f>P317*地域経済性分析・初期条件!$O$35</f>
        <v>0</v>
      </c>
      <c r="Q329" s="693">
        <f>Q317*地域経済性分析・初期条件!$O$35</f>
        <v>0</v>
      </c>
      <c r="R329" s="693">
        <f>R317*地域経済性分析・初期条件!$O$35</f>
        <v>0</v>
      </c>
      <c r="S329" s="693">
        <f>S317*地域経済性分析・初期条件!$O$35</f>
        <v>0</v>
      </c>
      <c r="T329" s="693">
        <f>T317*地域経済性分析・初期条件!$O$35</f>
        <v>0</v>
      </c>
      <c r="U329" s="693">
        <f>U317*地域経済性分析・初期条件!$O$35</f>
        <v>0</v>
      </c>
      <c r="V329" s="693">
        <f>V317*地域経済性分析・初期条件!$O$35</f>
        <v>0</v>
      </c>
      <c r="W329" s="693">
        <f>W317*地域経済性分析・初期条件!$O$35</f>
        <v>0</v>
      </c>
      <c r="X329" s="693">
        <f>X317*地域経済性分析・初期条件!$O$35</f>
        <v>0</v>
      </c>
      <c r="Y329" s="693">
        <f>Y317*地域経済性分析・初期条件!$O$35</f>
        <v>0</v>
      </c>
      <c r="Z329" s="693">
        <f>Z317*地域経済性分析・初期条件!$O$35</f>
        <v>0</v>
      </c>
      <c r="AA329" s="693">
        <f>AA317*地域経済性分析・初期条件!$O$35</f>
        <v>0</v>
      </c>
      <c r="AB329" s="693">
        <f>AB317*地域経済性分析・初期条件!$O$35</f>
        <v>0</v>
      </c>
      <c r="AC329" s="693">
        <f>AC317*地域経済性分析・初期条件!$O$35</f>
        <v>0</v>
      </c>
      <c r="AD329" s="693">
        <f>AD317*地域経済性分析・初期条件!$O$35</f>
        <v>0</v>
      </c>
      <c r="AE329" s="693">
        <f>AE317*地域経済性分析・初期条件!$O$35</f>
        <v>0</v>
      </c>
      <c r="AF329" s="693">
        <f>AF317*地域経済性分析・初期条件!$O$35</f>
        <v>0</v>
      </c>
      <c r="AG329" s="693">
        <f>AG317*地域経済性分析・初期条件!$O$35</f>
        <v>0</v>
      </c>
      <c r="AH329" s="693">
        <f>AH317*地域経済性分析・初期条件!$O$35</f>
        <v>0</v>
      </c>
      <c r="AI329" s="694">
        <f>SUM(D329:N329)</f>
        <v>0</v>
      </c>
      <c r="AJ329" s="694">
        <f t="shared" si="349"/>
        <v>0</v>
      </c>
      <c r="AK329" s="695">
        <f t="shared" si="350"/>
        <v>0</v>
      </c>
    </row>
    <row r="330" spans="1:37" ht="12" thickTop="1" x14ac:dyDescent="0.25">
      <c r="A330" s="1409" t="s">
        <v>1089</v>
      </c>
      <c r="B330" s="439"/>
      <c r="C330" s="452" t="s">
        <v>1090</v>
      </c>
      <c r="D330" s="493">
        <f>SUM(D294:D301,D308:D315,,D322:D329)</f>
        <v>0</v>
      </c>
      <c r="E330" s="493">
        <f t="shared" ref="E330" si="351">SUM(E294:E301,E308:E315,,E322:E329)</f>
        <v>54456531.179562904</v>
      </c>
      <c r="F330" s="493">
        <f t="shared" ref="F330" si="352">SUM(F294:F301,F308:F315,,F322:F329)</f>
        <v>54456531.179562904</v>
      </c>
      <c r="G330" s="493">
        <f t="shared" ref="G330" si="353">SUM(G294:G301,G308:G315,,G322:G329)</f>
        <v>54456531.179562904</v>
      </c>
      <c r="H330" s="493">
        <f t="shared" ref="H330" si="354">SUM(H294:H301,H308:H315,,H322:H329)</f>
        <v>54456531.179562904</v>
      </c>
      <c r="I330" s="493">
        <f t="shared" ref="I330" si="355">SUM(I294:I301,I308:I315,,I322:I329)</f>
        <v>54456531.179562904</v>
      </c>
      <c r="J330" s="493">
        <f t="shared" ref="J330" si="356">SUM(J294:J301,J308:J315,,J322:J329)</f>
        <v>54456531.179562904</v>
      </c>
      <c r="K330" s="493">
        <f t="shared" ref="K330" si="357">SUM(K294:K301,K308:K315,,K322:K329)</f>
        <v>54456531.179562904</v>
      </c>
      <c r="L330" s="493">
        <f t="shared" ref="L330" si="358">SUM(L294:L301,L308:L315,,L322:L329)</f>
        <v>54456531.179562904</v>
      </c>
      <c r="M330" s="493">
        <f t="shared" ref="M330" si="359">SUM(M294:M301,M308:M315,,M322:M329)</f>
        <v>54456531.179562904</v>
      </c>
      <c r="N330" s="493">
        <f t="shared" ref="N330" si="360">SUM(N294:N301,N308:N315,,N322:N329)</f>
        <v>54456531.179562904</v>
      </c>
      <c r="O330" s="493">
        <f t="shared" ref="O330" si="361">SUM(O294:O301,O308:O315,,O322:O329)</f>
        <v>54456531.179562904</v>
      </c>
      <c r="P330" s="493">
        <f t="shared" ref="P330" si="362">SUM(P294:P301,P308:P315,,P322:P329)</f>
        <v>54456531.179562904</v>
      </c>
      <c r="Q330" s="493">
        <f t="shared" ref="Q330" si="363">SUM(Q294:Q301,Q308:Q315,,Q322:Q329)</f>
        <v>54456531.179562904</v>
      </c>
      <c r="R330" s="493">
        <f t="shared" ref="R330" si="364">SUM(R294:R301,R308:R315,,R322:R329)</f>
        <v>54456531.179562904</v>
      </c>
      <c r="S330" s="493">
        <f t="shared" ref="S330" si="365">SUM(S294:S301,S308:S315,,S322:S329)</f>
        <v>54456531.179562904</v>
      </c>
      <c r="T330" s="493">
        <f t="shared" ref="T330" si="366">SUM(T294:T301,T308:T315,,T322:T329)</f>
        <v>54456531.179562904</v>
      </c>
      <c r="U330" s="493">
        <f t="shared" ref="U330" si="367">SUM(U294:U301,U308:U315,,U322:U329)</f>
        <v>54456531.179562904</v>
      </c>
      <c r="V330" s="493">
        <f t="shared" ref="V330" si="368">SUM(V294:V301,V308:V315,,V322:V329)</f>
        <v>54456531.179562904</v>
      </c>
      <c r="W330" s="493">
        <f t="shared" ref="W330" si="369">SUM(W294:W301,W308:W315,,W322:W329)</f>
        <v>54456531.179562904</v>
      </c>
      <c r="X330" s="493">
        <f t="shared" ref="X330" si="370">SUM(X294:X301,X308:X315,,X322:X329)</f>
        <v>54456531.179562904</v>
      </c>
      <c r="Y330" s="493">
        <f t="shared" ref="Y330" si="371">SUM(Y294:Y301,Y308:Y315,,Y322:Y329)</f>
        <v>54456531.179562904</v>
      </c>
      <c r="Z330" s="493">
        <f t="shared" ref="Z330" si="372">SUM(Z294:Z301,Z308:Z315,,Z322:Z329)</f>
        <v>54456531.179562904</v>
      </c>
      <c r="AA330" s="493">
        <f t="shared" ref="AA330" si="373">SUM(AA294:AA301,AA308:AA315,,AA322:AA329)</f>
        <v>54456531.179562904</v>
      </c>
      <c r="AB330" s="493">
        <f t="shared" ref="AB330" si="374">SUM(AB294:AB301,AB308:AB315,,AB322:AB329)</f>
        <v>54456531.179562904</v>
      </c>
      <c r="AC330" s="493">
        <f t="shared" ref="AC330" si="375">SUM(AC294:AC301,AC308:AC315,,AC322:AC329)</f>
        <v>54456531.179562904</v>
      </c>
      <c r="AD330" s="493">
        <f t="shared" ref="AD330" si="376">SUM(AD294:AD301,AD308:AD315,,AD322:AD329)</f>
        <v>54456531.179562904</v>
      </c>
      <c r="AE330" s="493">
        <f t="shared" ref="AE330" si="377">SUM(AE294:AE301,AE308:AE315,,AE322:AE329)</f>
        <v>54456531.179562904</v>
      </c>
      <c r="AF330" s="493">
        <f t="shared" ref="AF330" si="378">SUM(AF294:AF301,AF308:AF315,,AF322:AF329)</f>
        <v>54456531.179562904</v>
      </c>
      <c r="AG330" s="493">
        <f t="shared" ref="AG330" si="379">SUM(AG294:AG301,AG308:AG315,,AG322:AG329)</f>
        <v>54456531.179562904</v>
      </c>
      <c r="AH330" s="493">
        <f t="shared" ref="AH330" si="380">SUM(AH294:AH301,AH308:AH315,,AH322:AH329)</f>
        <v>54456531.179562904</v>
      </c>
      <c r="AI330" s="535">
        <f t="shared" ref="AI330" si="381">SUM(AI294:AI301,AI308:AI315,,AI322:AI329)</f>
        <v>544565311.79562902</v>
      </c>
      <c r="AJ330" s="535">
        <f t="shared" ref="AJ330" si="382">SUM(AJ294:AJ301,AJ308:AJ315,,AJ322:AJ329)</f>
        <v>1089130623.5912583</v>
      </c>
      <c r="AK330" s="497">
        <f t="shared" ref="AK330" si="383">SUM(AK294:AK301,AK308:AK315,,AK322:AK329)</f>
        <v>1633695935.3868873</v>
      </c>
    </row>
    <row r="331" spans="1:37" ht="11.5" x14ac:dyDescent="0.25">
      <c r="A331" s="1410" t="s">
        <v>1091</v>
      </c>
      <c r="B331" s="1403"/>
      <c r="C331" s="1404" t="s">
        <v>37</v>
      </c>
      <c r="D331" s="1397">
        <f>D287*1.1-D330</f>
        <v>0</v>
      </c>
      <c r="E331" s="1397">
        <f>E287*1.1-E330</f>
        <v>230312448.77280042</v>
      </c>
      <c r="F331" s="1397">
        <f t="shared" ref="F331" si="384">F287*1.1-F330</f>
        <v>230312448.77280042</v>
      </c>
      <c r="G331" s="1397">
        <f t="shared" ref="G331" si="385">G287*1.1-G330</f>
        <v>230312448.77280042</v>
      </c>
      <c r="H331" s="1397">
        <f t="shared" ref="H331" si="386">H287*1.1-H330</f>
        <v>230312448.77280042</v>
      </c>
      <c r="I331" s="1397">
        <f t="shared" ref="I331" si="387">I287*1.1-I330</f>
        <v>230312448.77280042</v>
      </c>
      <c r="J331" s="1397">
        <f t="shared" ref="J331" si="388">J287*1.1-J330</f>
        <v>230312448.77280042</v>
      </c>
      <c r="K331" s="1397">
        <f t="shared" ref="K331" si="389">K287*1.1-K330</f>
        <v>230312448.77280042</v>
      </c>
      <c r="L331" s="1397">
        <f t="shared" ref="L331" si="390">L287*1.1-L330</f>
        <v>230312448.77280042</v>
      </c>
      <c r="M331" s="1397">
        <f t="shared" ref="M331" si="391">M287*1.1-M330</f>
        <v>230312448.77280042</v>
      </c>
      <c r="N331" s="1397">
        <f t="shared" ref="N331" si="392">N287*1.1-N330</f>
        <v>230312448.77280042</v>
      </c>
      <c r="O331" s="1397">
        <f t="shared" ref="O331" si="393">O287*1.1-O330</f>
        <v>230312448.77280042</v>
      </c>
      <c r="P331" s="1397">
        <f t="shared" ref="P331" si="394">P287*1.1-P330</f>
        <v>230312448.77280042</v>
      </c>
      <c r="Q331" s="1397">
        <f t="shared" ref="Q331" si="395">Q287*1.1-Q330</f>
        <v>230312448.77280042</v>
      </c>
      <c r="R331" s="1397">
        <f t="shared" ref="R331" si="396">R287*1.1-R330</f>
        <v>230312448.77280042</v>
      </c>
      <c r="S331" s="1397">
        <f t="shared" ref="S331" si="397">S287*1.1-S330</f>
        <v>230312448.77280042</v>
      </c>
      <c r="T331" s="1397">
        <f t="shared" ref="T331" si="398">T287*1.1-T330</f>
        <v>230312448.77280042</v>
      </c>
      <c r="U331" s="1397">
        <f t="shared" ref="U331" si="399">U287*1.1-U330</f>
        <v>230312448.77280042</v>
      </c>
      <c r="V331" s="1397">
        <f t="shared" ref="V331" si="400">V287*1.1-V330</f>
        <v>230312448.77280042</v>
      </c>
      <c r="W331" s="1397">
        <f t="shared" ref="W331" si="401">W287*1.1-W330</f>
        <v>230312448.77280042</v>
      </c>
      <c r="X331" s="1397">
        <f t="shared" ref="X331" si="402">X287*1.1-X330</f>
        <v>230312448.77280042</v>
      </c>
      <c r="Y331" s="1397">
        <f t="shared" ref="Y331" si="403">Y287*1.1-Y330</f>
        <v>230312448.77280042</v>
      </c>
      <c r="Z331" s="1397">
        <f t="shared" ref="Z331" si="404">Z287*1.1-Z330</f>
        <v>230312448.77280042</v>
      </c>
      <c r="AA331" s="1397">
        <f t="shared" ref="AA331" si="405">AA287*1.1-AA330</f>
        <v>230312448.77280042</v>
      </c>
      <c r="AB331" s="1397">
        <f t="shared" ref="AB331" si="406">AB287*1.1-AB330</f>
        <v>230312448.77280042</v>
      </c>
      <c r="AC331" s="1397">
        <f t="shared" ref="AC331" si="407">AC287*1.1-AC330</f>
        <v>230312448.77280042</v>
      </c>
      <c r="AD331" s="1397">
        <f t="shared" ref="AD331" si="408">AD287*1.1-AD330</f>
        <v>230312448.77280042</v>
      </c>
      <c r="AE331" s="1397">
        <f t="shared" ref="AE331" si="409">AE287*1.1-AE330</f>
        <v>230312448.77280042</v>
      </c>
      <c r="AF331" s="1397">
        <f t="shared" ref="AF331" si="410">AF287*1.1-AF330</f>
        <v>230312448.77280042</v>
      </c>
      <c r="AG331" s="1397">
        <f t="shared" ref="AG331" si="411">AG287*1.1-AG330</f>
        <v>230312448.77280042</v>
      </c>
      <c r="AH331" s="1397">
        <f t="shared" ref="AH331" si="412">AH287*1.1-AH330</f>
        <v>230312448.77280042</v>
      </c>
      <c r="AI331" s="1405">
        <f t="shared" ref="AI331:AK331" si="413">AI287-AI330</f>
        <v>2044243596.8622189</v>
      </c>
      <c r="AJ331" s="1405">
        <f t="shared" si="413"/>
        <v>4088487193.7244368</v>
      </c>
      <c r="AK331" s="1406">
        <f t="shared" si="413"/>
        <v>6132730790.5866537</v>
      </c>
    </row>
    <row r="332" spans="1:37" ht="11.5" x14ac:dyDescent="0.25">
      <c r="A332" s="439" t="str">
        <f>B37</f>
        <v>一般管理費</v>
      </c>
      <c r="B332" s="416"/>
      <c r="C332" s="451" t="s">
        <v>37</v>
      </c>
      <c r="D332" s="493"/>
      <c r="E332" s="493">
        <f t="shared" ref="E332:AH332" si="414">E37</f>
        <v>24080517.37096734</v>
      </c>
      <c r="F332" s="493">
        <f t="shared" si="414"/>
        <v>24080517.37096734</v>
      </c>
      <c r="G332" s="493">
        <f t="shared" si="414"/>
        <v>24080517.37096734</v>
      </c>
      <c r="H332" s="493">
        <f t="shared" si="414"/>
        <v>24080517.37096734</v>
      </c>
      <c r="I332" s="493">
        <f t="shared" si="414"/>
        <v>24080517.37096734</v>
      </c>
      <c r="J332" s="493">
        <f t="shared" si="414"/>
        <v>24080517.37096734</v>
      </c>
      <c r="K332" s="493">
        <f t="shared" si="414"/>
        <v>24080517.37096734</v>
      </c>
      <c r="L332" s="493">
        <f t="shared" si="414"/>
        <v>24080517.37096734</v>
      </c>
      <c r="M332" s="493">
        <f t="shared" si="414"/>
        <v>24080517.37096734</v>
      </c>
      <c r="N332" s="493">
        <f t="shared" si="414"/>
        <v>24080517.37096734</v>
      </c>
      <c r="O332" s="493">
        <f t="shared" si="414"/>
        <v>24080517.37096734</v>
      </c>
      <c r="P332" s="493">
        <f t="shared" si="414"/>
        <v>24080517.37096734</v>
      </c>
      <c r="Q332" s="493">
        <f t="shared" si="414"/>
        <v>24080517.37096734</v>
      </c>
      <c r="R332" s="493">
        <f t="shared" si="414"/>
        <v>24080517.37096734</v>
      </c>
      <c r="S332" s="493">
        <f t="shared" si="414"/>
        <v>24080517.37096734</v>
      </c>
      <c r="T332" s="493">
        <f t="shared" si="414"/>
        <v>24080517.37096734</v>
      </c>
      <c r="U332" s="493">
        <f t="shared" si="414"/>
        <v>24080517.37096734</v>
      </c>
      <c r="V332" s="493">
        <f t="shared" si="414"/>
        <v>24080517.37096734</v>
      </c>
      <c r="W332" s="493">
        <f t="shared" si="414"/>
        <v>24080517.37096734</v>
      </c>
      <c r="X332" s="493">
        <f t="shared" si="414"/>
        <v>24080517.37096734</v>
      </c>
      <c r="Y332" s="493">
        <f t="shared" si="414"/>
        <v>24080517.37096734</v>
      </c>
      <c r="Z332" s="493">
        <f t="shared" si="414"/>
        <v>24080517.37096734</v>
      </c>
      <c r="AA332" s="493">
        <f t="shared" si="414"/>
        <v>24080517.37096734</v>
      </c>
      <c r="AB332" s="493">
        <f t="shared" si="414"/>
        <v>24080517.37096734</v>
      </c>
      <c r="AC332" s="493">
        <f t="shared" si="414"/>
        <v>24080517.37096734</v>
      </c>
      <c r="AD332" s="493">
        <f t="shared" si="414"/>
        <v>24080517.37096734</v>
      </c>
      <c r="AE332" s="493">
        <f t="shared" si="414"/>
        <v>24080517.37096734</v>
      </c>
      <c r="AF332" s="493">
        <f t="shared" si="414"/>
        <v>24080517.37096734</v>
      </c>
      <c r="AG332" s="493">
        <f t="shared" si="414"/>
        <v>24080517.37096734</v>
      </c>
      <c r="AH332" s="493">
        <f t="shared" si="414"/>
        <v>24080517.37096734</v>
      </c>
      <c r="AI332" s="535">
        <f>SUM(D332:N332)</f>
        <v>240805173.70967335</v>
      </c>
      <c r="AJ332" s="535">
        <f>SUM(D332:X332)</f>
        <v>481610347.41934663</v>
      </c>
      <c r="AK332" s="497">
        <f>SUM(D332:AH332)</f>
        <v>722415521.12902033</v>
      </c>
    </row>
    <row r="333" spans="1:37" ht="11.5" x14ac:dyDescent="0.25">
      <c r="A333" s="488" t="str">
        <f>地域経済性分析・初期条件!$G$37</f>
        <v>情報通信業</v>
      </c>
      <c r="C333" s="452"/>
      <c r="D333" s="493"/>
      <c r="E333" s="465"/>
      <c r="F333" s="466"/>
      <c r="G333" s="465"/>
      <c r="H333" s="465"/>
      <c r="I333" s="465"/>
      <c r="J333" s="465"/>
      <c r="K333" s="465"/>
      <c r="L333" s="465"/>
      <c r="M333" s="465"/>
      <c r="N333" s="465"/>
      <c r="O333" s="465"/>
      <c r="P333" s="465"/>
      <c r="Q333" s="465"/>
      <c r="R333" s="465"/>
      <c r="S333" s="465"/>
      <c r="T333" s="465"/>
      <c r="U333" s="465"/>
      <c r="V333" s="465"/>
      <c r="W333" s="465"/>
      <c r="X333" s="465"/>
      <c r="Y333" s="465"/>
      <c r="Z333" s="465"/>
      <c r="AA333" s="465"/>
      <c r="AB333" s="465"/>
      <c r="AC333" s="465"/>
      <c r="AD333" s="465"/>
      <c r="AE333" s="465"/>
      <c r="AF333" s="465"/>
      <c r="AG333" s="465"/>
      <c r="AH333" s="465"/>
      <c r="AI333" s="535"/>
      <c r="AJ333" s="535"/>
      <c r="AK333" s="497"/>
    </row>
    <row r="334" spans="1:37" ht="11.5" x14ac:dyDescent="0.25">
      <c r="A334" s="533" t="str">
        <f>A333&amp;B334</f>
        <v>情報通信業売上（税別）</v>
      </c>
      <c r="B334" s="439" t="s">
        <v>1092</v>
      </c>
      <c r="C334" s="451" t="s">
        <v>37</v>
      </c>
      <c r="D334" s="493">
        <f>D332*地域経済性分析・初期条件!$F$37</f>
        <v>0</v>
      </c>
      <c r="E334" s="493">
        <f>E332*地域経済性分析・初期条件!$F$37</f>
        <v>4013419.5618278896</v>
      </c>
      <c r="F334" s="493">
        <f>F332*地域経済性分析・初期条件!$F$37</f>
        <v>4013419.5618278896</v>
      </c>
      <c r="G334" s="493">
        <f>G332*地域経済性分析・初期条件!$F$37</f>
        <v>4013419.5618278896</v>
      </c>
      <c r="H334" s="493">
        <f>H332*地域経済性分析・初期条件!$F$37</f>
        <v>4013419.5618278896</v>
      </c>
      <c r="I334" s="493">
        <f>I332*地域経済性分析・初期条件!$F$37</f>
        <v>4013419.5618278896</v>
      </c>
      <c r="J334" s="493">
        <f>J332*地域経済性分析・初期条件!$F$37</f>
        <v>4013419.5618278896</v>
      </c>
      <c r="K334" s="493">
        <f>K332*地域経済性分析・初期条件!$F$37</f>
        <v>4013419.5618278896</v>
      </c>
      <c r="L334" s="493">
        <f>L332*地域経済性分析・初期条件!$F$37</f>
        <v>4013419.5618278896</v>
      </c>
      <c r="M334" s="493">
        <f>M332*地域経済性分析・初期条件!$F$37</f>
        <v>4013419.5618278896</v>
      </c>
      <c r="N334" s="493">
        <f>N332*地域経済性分析・初期条件!$F$37</f>
        <v>4013419.5618278896</v>
      </c>
      <c r="O334" s="493">
        <f>O332*地域経済性分析・初期条件!$F$37</f>
        <v>4013419.5618278896</v>
      </c>
      <c r="P334" s="493">
        <f>P332*地域経済性分析・初期条件!$F$37</f>
        <v>4013419.5618278896</v>
      </c>
      <c r="Q334" s="493">
        <f>Q332*地域経済性分析・初期条件!$F$37</f>
        <v>4013419.5618278896</v>
      </c>
      <c r="R334" s="493">
        <f>R332*地域経済性分析・初期条件!$F$37</f>
        <v>4013419.5618278896</v>
      </c>
      <c r="S334" s="493">
        <f>S332*地域経済性分析・初期条件!$F$37</f>
        <v>4013419.5618278896</v>
      </c>
      <c r="T334" s="493">
        <f>T332*地域経済性分析・初期条件!$F$37</f>
        <v>4013419.5618278896</v>
      </c>
      <c r="U334" s="493">
        <f>U332*地域経済性分析・初期条件!$F$37</f>
        <v>4013419.5618278896</v>
      </c>
      <c r="V334" s="493">
        <f>V332*地域経済性分析・初期条件!$F$37</f>
        <v>4013419.5618278896</v>
      </c>
      <c r="W334" s="493">
        <f>W332*地域経済性分析・初期条件!$F$37</f>
        <v>4013419.5618278896</v>
      </c>
      <c r="X334" s="493">
        <f>X332*地域経済性分析・初期条件!$F$37</f>
        <v>4013419.5618278896</v>
      </c>
      <c r="Y334" s="493">
        <f>Y332*地域経済性分析・初期条件!$F$37</f>
        <v>4013419.5618278896</v>
      </c>
      <c r="Z334" s="493">
        <f>Z332*地域経済性分析・初期条件!$F$37</f>
        <v>4013419.5618278896</v>
      </c>
      <c r="AA334" s="493">
        <f>AA332*地域経済性分析・初期条件!$F$37</f>
        <v>4013419.5618278896</v>
      </c>
      <c r="AB334" s="493">
        <f>AB332*地域経済性分析・初期条件!$F$37</f>
        <v>4013419.5618278896</v>
      </c>
      <c r="AC334" s="493">
        <f>AC332*地域経済性分析・初期条件!$F$37</f>
        <v>4013419.5618278896</v>
      </c>
      <c r="AD334" s="493">
        <f>AD332*地域経済性分析・初期条件!$F$37</f>
        <v>4013419.5618278896</v>
      </c>
      <c r="AE334" s="493">
        <f>AE332*地域経済性分析・初期条件!$F$37</f>
        <v>4013419.5618278896</v>
      </c>
      <c r="AF334" s="493">
        <f>AF332*地域経済性分析・初期条件!$F$37</f>
        <v>4013419.5618278896</v>
      </c>
      <c r="AG334" s="493">
        <f>AG332*地域経済性分析・初期条件!$F$37</f>
        <v>4013419.5618278896</v>
      </c>
      <c r="AH334" s="493">
        <f>AH332*地域経済性分析・初期条件!$F$37</f>
        <v>4013419.5618278896</v>
      </c>
      <c r="AI334" s="535">
        <f t="shared" ref="AI334:AI342" si="415">SUM(D334:N334)</f>
        <v>40134195.618278898</v>
      </c>
      <c r="AJ334" s="535">
        <f t="shared" ref="AJ334:AJ342" si="416">SUM(D334:X334)</f>
        <v>80268391.236557782</v>
      </c>
      <c r="AK334" s="497">
        <f t="shared" ref="AK334:AK342" si="417">SUM(D334:AH334)</f>
        <v>120402586.85483661</v>
      </c>
    </row>
    <row r="335" spans="1:37" ht="11.5" x14ac:dyDescent="0.25">
      <c r="A335" s="533"/>
      <c r="B335" s="439" t="s">
        <v>1136</v>
      </c>
      <c r="C335" s="451" t="s">
        <v>37</v>
      </c>
      <c r="D335" s="493">
        <f>D334*波及効果シート!$D$72</f>
        <v>0</v>
      </c>
      <c r="E335" s="493">
        <f>E334*波及効果シート!$D$72</f>
        <v>44147.615180106783</v>
      </c>
      <c r="F335" s="493">
        <f>F334*波及効果シート!$D$72</f>
        <v>44147.615180106783</v>
      </c>
      <c r="G335" s="493">
        <f>G334*波及効果シート!$D$72</f>
        <v>44147.615180106783</v>
      </c>
      <c r="H335" s="493">
        <f>H334*波及効果シート!$D$72</f>
        <v>44147.615180106783</v>
      </c>
      <c r="I335" s="493">
        <f>I334*波及効果シート!$D$72</f>
        <v>44147.615180106783</v>
      </c>
      <c r="J335" s="493">
        <f>J334*波及効果シート!$D$72</f>
        <v>44147.615180106783</v>
      </c>
      <c r="K335" s="493">
        <f>K334*波及効果シート!$D$72</f>
        <v>44147.615180106783</v>
      </c>
      <c r="L335" s="493">
        <f>L334*波及効果シート!$D$72</f>
        <v>44147.615180106783</v>
      </c>
      <c r="M335" s="493">
        <f>M334*波及効果シート!$D$72</f>
        <v>44147.615180106783</v>
      </c>
      <c r="N335" s="493">
        <f>N334*波及効果シート!$D$72</f>
        <v>44147.615180106783</v>
      </c>
      <c r="O335" s="493">
        <f>O334*波及効果シート!$D$72</f>
        <v>44147.615180106783</v>
      </c>
      <c r="P335" s="493">
        <f>P334*波及効果シート!$D$72</f>
        <v>44147.615180106783</v>
      </c>
      <c r="Q335" s="493">
        <f>Q334*波及効果シート!$D$72</f>
        <v>44147.615180106783</v>
      </c>
      <c r="R335" s="493">
        <f>R334*波及効果シート!$D$72</f>
        <v>44147.615180106783</v>
      </c>
      <c r="S335" s="493">
        <f>S334*波及効果シート!$D$72</f>
        <v>44147.615180106783</v>
      </c>
      <c r="T335" s="493">
        <f>T334*波及効果シート!$D$72</f>
        <v>44147.615180106783</v>
      </c>
      <c r="U335" s="493">
        <f>U334*波及効果シート!$D$72</f>
        <v>44147.615180106783</v>
      </c>
      <c r="V335" s="493">
        <f>V334*波及効果シート!$D$72</f>
        <v>44147.615180106783</v>
      </c>
      <c r="W335" s="493">
        <f>W334*波及効果シート!$D$72</f>
        <v>44147.615180106783</v>
      </c>
      <c r="X335" s="493">
        <f>X334*波及効果シート!$D$72</f>
        <v>44147.615180106783</v>
      </c>
      <c r="Y335" s="493">
        <f>Y334*波及効果シート!$D$72</f>
        <v>44147.615180106783</v>
      </c>
      <c r="Z335" s="493">
        <f>Z334*波及効果シート!$D$72</f>
        <v>44147.615180106783</v>
      </c>
      <c r="AA335" s="493">
        <f>AA334*波及効果シート!$D$72</f>
        <v>44147.615180106783</v>
      </c>
      <c r="AB335" s="493">
        <f>AB334*波及効果シート!$D$72</f>
        <v>44147.615180106783</v>
      </c>
      <c r="AC335" s="493">
        <f>AC334*波及効果シート!$D$72</f>
        <v>44147.615180106783</v>
      </c>
      <c r="AD335" s="493">
        <f>AD334*波及効果シート!$D$72</f>
        <v>44147.615180106783</v>
      </c>
      <c r="AE335" s="493">
        <f>AE334*波及効果シート!$D$72</f>
        <v>44147.615180106783</v>
      </c>
      <c r="AF335" s="493">
        <f>AF334*波及効果シート!$D$72</f>
        <v>44147.615180106783</v>
      </c>
      <c r="AG335" s="493">
        <f>AG334*波及効果シート!$D$72</f>
        <v>44147.615180106783</v>
      </c>
      <c r="AH335" s="493">
        <f>AH334*波及効果シート!$D$72</f>
        <v>44147.615180106783</v>
      </c>
      <c r="AI335" s="535">
        <f t="shared" ref="AI335:AI336" si="418">SUM(D335:N335)</f>
        <v>441476.15180106781</v>
      </c>
      <c r="AJ335" s="535">
        <f t="shared" ref="AJ335:AJ336" si="419">SUM(D335:X335)</f>
        <v>882952.30360213609</v>
      </c>
      <c r="AK335" s="497">
        <f t="shared" ref="AK335:AK336" si="420">SUM(D335:AH335)</f>
        <v>1324428.4554032043</v>
      </c>
    </row>
    <row r="336" spans="1:37" ht="11.5" x14ac:dyDescent="0.25">
      <c r="A336" s="533"/>
      <c r="B336" s="439" t="s">
        <v>1137</v>
      </c>
      <c r="C336" s="452" t="s">
        <v>37</v>
      </c>
      <c r="D336" s="493">
        <f>D334*波及効果シート!$D$74</f>
        <v>0</v>
      </c>
      <c r="E336" s="493">
        <f>E334*波及効果シート!$D$74</f>
        <v>44147.615180106783</v>
      </c>
      <c r="F336" s="493">
        <f>F334*波及効果シート!$D$74</f>
        <v>44147.615180106783</v>
      </c>
      <c r="G336" s="493">
        <f>G334*波及効果シート!$D$74</f>
        <v>44147.615180106783</v>
      </c>
      <c r="H336" s="493">
        <f>H334*波及効果シート!$D$74</f>
        <v>44147.615180106783</v>
      </c>
      <c r="I336" s="493">
        <f>I334*波及効果シート!$D$74</f>
        <v>44147.615180106783</v>
      </c>
      <c r="J336" s="493">
        <f>J334*波及効果シート!$D$74</f>
        <v>44147.615180106783</v>
      </c>
      <c r="K336" s="493">
        <f>K334*波及効果シート!$D$74</f>
        <v>44147.615180106783</v>
      </c>
      <c r="L336" s="493">
        <f>L334*波及効果シート!$D$74</f>
        <v>44147.615180106783</v>
      </c>
      <c r="M336" s="493">
        <f>M334*波及効果シート!$D$74</f>
        <v>44147.615180106783</v>
      </c>
      <c r="N336" s="493">
        <f>N334*波及効果シート!$D$74</f>
        <v>44147.615180106783</v>
      </c>
      <c r="O336" s="493">
        <f>O334*波及効果シート!$D$74</f>
        <v>44147.615180106783</v>
      </c>
      <c r="P336" s="493">
        <f>P334*波及効果シート!$D$74</f>
        <v>44147.615180106783</v>
      </c>
      <c r="Q336" s="493">
        <f>Q334*波及効果シート!$D$74</f>
        <v>44147.615180106783</v>
      </c>
      <c r="R336" s="493">
        <f>R334*波及効果シート!$D$74</f>
        <v>44147.615180106783</v>
      </c>
      <c r="S336" s="493">
        <f>S334*波及効果シート!$D$74</f>
        <v>44147.615180106783</v>
      </c>
      <c r="T336" s="493">
        <f>T334*波及効果シート!$D$74</f>
        <v>44147.615180106783</v>
      </c>
      <c r="U336" s="493">
        <f>U334*波及効果シート!$D$74</f>
        <v>44147.615180106783</v>
      </c>
      <c r="V336" s="493">
        <f>V334*波及効果シート!$D$74</f>
        <v>44147.615180106783</v>
      </c>
      <c r="W336" s="493">
        <f>W334*波及効果シート!$D$74</f>
        <v>44147.615180106783</v>
      </c>
      <c r="X336" s="493">
        <f>X334*波及効果シート!$D$74</f>
        <v>44147.615180106783</v>
      </c>
      <c r="Y336" s="493">
        <f>Y334*波及効果シート!$D$74</f>
        <v>44147.615180106783</v>
      </c>
      <c r="Z336" s="493">
        <f>Z334*波及効果シート!$D$74</f>
        <v>44147.615180106783</v>
      </c>
      <c r="AA336" s="493">
        <f>AA334*波及効果シート!$D$74</f>
        <v>44147.615180106783</v>
      </c>
      <c r="AB336" s="493">
        <f>AB334*波及効果シート!$D$74</f>
        <v>44147.615180106783</v>
      </c>
      <c r="AC336" s="493">
        <f>AC334*波及効果シート!$D$74</f>
        <v>44147.615180106783</v>
      </c>
      <c r="AD336" s="493">
        <f>AD334*波及効果シート!$D$74</f>
        <v>44147.615180106783</v>
      </c>
      <c r="AE336" s="493">
        <f>AE334*波及効果シート!$D$74</f>
        <v>44147.615180106783</v>
      </c>
      <c r="AF336" s="493">
        <f>AF334*波及効果シート!$D$74</f>
        <v>44147.615180106783</v>
      </c>
      <c r="AG336" s="493">
        <f>AG334*波及効果シート!$D$74</f>
        <v>44147.615180106783</v>
      </c>
      <c r="AH336" s="493">
        <f>AH334*波及効果シート!$D$74</f>
        <v>44147.615180106783</v>
      </c>
      <c r="AI336" s="535">
        <f t="shared" si="418"/>
        <v>441476.15180106781</v>
      </c>
      <c r="AJ336" s="535">
        <f t="shared" si="419"/>
        <v>882952.30360213609</v>
      </c>
      <c r="AK336" s="497">
        <f t="shared" si="420"/>
        <v>1324428.4554032043</v>
      </c>
    </row>
    <row r="337" spans="1:37" ht="11.5" x14ac:dyDescent="0.25">
      <c r="A337" s="533" t="str">
        <f>A333&amp;B337</f>
        <v>情報通信業所得税（国税）</v>
      </c>
      <c r="B337" s="439" t="s">
        <v>351</v>
      </c>
      <c r="C337" s="452" t="s">
        <v>333</v>
      </c>
      <c r="D337" s="493">
        <f>D334*地域経済性分析・初期条件!$P$37</f>
        <v>0</v>
      </c>
      <c r="E337" s="493">
        <f>E334*地域経済性分析・初期条件!$P$37</f>
        <v>802683.912365578</v>
      </c>
      <c r="F337" s="493">
        <f>F334*地域経済性分析・初期条件!$P$37</f>
        <v>802683.912365578</v>
      </c>
      <c r="G337" s="493">
        <f>G334*地域経済性分析・初期条件!$P$37</f>
        <v>802683.912365578</v>
      </c>
      <c r="H337" s="493">
        <f>H334*地域経済性分析・初期条件!$P$37</f>
        <v>802683.912365578</v>
      </c>
      <c r="I337" s="493">
        <f>I334*地域経済性分析・初期条件!$P$37</f>
        <v>802683.912365578</v>
      </c>
      <c r="J337" s="493">
        <f>J334*地域経済性分析・初期条件!$P$37</f>
        <v>802683.912365578</v>
      </c>
      <c r="K337" s="493">
        <f>K334*地域経済性分析・初期条件!$P$37</f>
        <v>802683.912365578</v>
      </c>
      <c r="L337" s="493">
        <f>L334*地域経済性分析・初期条件!$P$37</f>
        <v>802683.912365578</v>
      </c>
      <c r="M337" s="493">
        <f>M334*地域経済性分析・初期条件!$P$37</f>
        <v>802683.912365578</v>
      </c>
      <c r="N337" s="493">
        <f>N334*地域経済性分析・初期条件!$P$37</f>
        <v>802683.912365578</v>
      </c>
      <c r="O337" s="493">
        <f>O334*地域経済性分析・初期条件!$P$37</f>
        <v>802683.912365578</v>
      </c>
      <c r="P337" s="493">
        <f>P334*地域経済性分析・初期条件!$P$37</f>
        <v>802683.912365578</v>
      </c>
      <c r="Q337" s="493">
        <f>Q334*地域経済性分析・初期条件!$P$37</f>
        <v>802683.912365578</v>
      </c>
      <c r="R337" s="493">
        <f>R334*地域経済性分析・初期条件!$P$37</f>
        <v>802683.912365578</v>
      </c>
      <c r="S337" s="493">
        <f>S334*地域経済性分析・初期条件!$P$37</f>
        <v>802683.912365578</v>
      </c>
      <c r="T337" s="493">
        <f>T334*地域経済性分析・初期条件!$P$37</f>
        <v>802683.912365578</v>
      </c>
      <c r="U337" s="493">
        <f>U334*地域経済性分析・初期条件!$P$37</f>
        <v>802683.912365578</v>
      </c>
      <c r="V337" s="493">
        <f>V334*地域経済性分析・初期条件!$P$37</f>
        <v>802683.912365578</v>
      </c>
      <c r="W337" s="493">
        <f>W334*地域経済性分析・初期条件!$P$37</f>
        <v>802683.912365578</v>
      </c>
      <c r="X337" s="493">
        <f>X334*地域経済性分析・初期条件!$P$37</f>
        <v>802683.912365578</v>
      </c>
      <c r="Y337" s="493">
        <f>Y334*地域経済性分析・初期条件!$P$37</f>
        <v>802683.912365578</v>
      </c>
      <c r="Z337" s="493">
        <f>Z334*地域経済性分析・初期条件!$P$37</f>
        <v>802683.912365578</v>
      </c>
      <c r="AA337" s="493">
        <f>AA334*地域経済性分析・初期条件!$P$37</f>
        <v>802683.912365578</v>
      </c>
      <c r="AB337" s="493">
        <f>AB334*地域経済性分析・初期条件!$P$37</f>
        <v>802683.912365578</v>
      </c>
      <c r="AC337" s="493">
        <f>AC334*地域経済性分析・初期条件!$P$37</f>
        <v>802683.912365578</v>
      </c>
      <c r="AD337" s="493">
        <f>AD334*地域経済性分析・初期条件!$P$37</f>
        <v>802683.912365578</v>
      </c>
      <c r="AE337" s="493">
        <f>AE334*地域経済性分析・初期条件!$P$37</f>
        <v>802683.912365578</v>
      </c>
      <c r="AF337" s="493">
        <f>AF334*地域経済性分析・初期条件!$P$37</f>
        <v>802683.912365578</v>
      </c>
      <c r="AG337" s="493">
        <f>AG334*地域経済性分析・初期条件!$P$37</f>
        <v>802683.912365578</v>
      </c>
      <c r="AH337" s="493">
        <f>AH334*地域経済性分析・初期条件!$P$37</f>
        <v>802683.912365578</v>
      </c>
      <c r="AI337" s="535">
        <f t="shared" si="415"/>
        <v>8026839.1236557802</v>
      </c>
      <c r="AJ337" s="535">
        <f t="shared" si="416"/>
        <v>16053678.24731156</v>
      </c>
      <c r="AK337" s="497">
        <f t="shared" si="417"/>
        <v>24080517.37096734</v>
      </c>
    </row>
    <row r="338" spans="1:37" ht="11.5" x14ac:dyDescent="0.25">
      <c r="A338" s="533" t="str">
        <f>A333&amp;B338</f>
        <v>情報通信業法人税（国税）</v>
      </c>
      <c r="B338" s="439" t="s">
        <v>350</v>
      </c>
      <c r="C338" s="452" t="s">
        <v>333</v>
      </c>
      <c r="D338" s="493">
        <f>D334*地域経済性分析・初期条件!$Q$37</f>
        <v>0</v>
      </c>
      <c r="E338" s="493">
        <f>E334*地域経済性分析・初期条件!$Q$37</f>
        <v>602012.93427418347</v>
      </c>
      <c r="F338" s="493">
        <f>F334*地域経済性分析・初期条件!$Q$37</f>
        <v>602012.93427418347</v>
      </c>
      <c r="G338" s="493">
        <f>G334*地域経済性分析・初期条件!$Q$37</f>
        <v>602012.93427418347</v>
      </c>
      <c r="H338" s="493">
        <f>H334*地域経済性分析・初期条件!$Q$37</f>
        <v>602012.93427418347</v>
      </c>
      <c r="I338" s="493">
        <f>I334*地域経済性分析・初期条件!$Q$37</f>
        <v>602012.93427418347</v>
      </c>
      <c r="J338" s="493">
        <f>J334*地域経済性分析・初期条件!$Q$37</f>
        <v>602012.93427418347</v>
      </c>
      <c r="K338" s="493">
        <f>K334*地域経済性分析・初期条件!$Q$37</f>
        <v>602012.93427418347</v>
      </c>
      <c r="L338" s="493">
        <f>L334*地域経済性分析・初期条件!$Q$37</f>
        <v>602012.93427418347</v>
      </c>
      <c r="M338" s="493">
        <f>M334*地域経済性分析・初期条件!$Q$37</f>
        <v>602012.93427418347</v>
      </c>
      <c r="N338" s="493">
        <f>N334*地域経済性分析・初期条件!$Q$37</f>
        <v>602012.93427418347</v>
      </c>
      <c r="O338" s="493">
        <f>O334*地域経済性分析・初期条件!$Q$37</f>
        <v>602012.93427418347</v>
      </c>
      <c r="P338" s="493">
        <f>P334*地域経済性分析・初期条件!$Q$37</f>
        <v>602012.93427418347</v>
      </c>
      <c r="Q338" s="493">
        <f>Q334*地域経済性分析・初期条件!$Q$37</f>
        <v>602012.93427418347</v>
      </c>
      <c r="R338" s="493">
        <f>R334*地域経済性分析・初期条件!$Q$37</f>
        <v>602012.93427418347</v>
      </c>
      <c r="S338" s="493">
        <f>S334*地域経済性分析・初期条件!$Q$37</f>
        <v>602012.93427418347</v>
      </c>
      <c r="T338" s="493">
        <f>T334*地域経済性分析・初期条件!$Q$37</f>
        <v>602012.93427418347</v>
      </c>
      <c r="U338" s="493">
        <f>U334*地域経済性分析・初期条件!$Q$37</f>
        <v>602012.93427418347</v>
      </c>
      <c r="V338" s="493">
        <f>V334*地域経済性分析・初期条件!$Q$37</f>
        <v>602012.93427418347</v>
      </c>
      <c r="W338" s="493">
        <f>W334*地域経済性分析・初期条件!$Q$37</f>
        <v>602012.93427418347</v>
      </c>
      <c r="X338" s="493">
        <f>X334*地域経済性分析・初期条件!$Q$37</f>
        <v>602012.93427418347</v>
      </c>
      <c r="Y338" s="493">
        <f>Y334*地域経済性分析・初期条件!$Q$37</f>
        <v>602012.93427418347</v>
      </c>
      <c r="Z338" s="493">
        <f>Z334*地域経済性分析・初期条件!$Q$37</f>
        <v>602012.93427418347</v>
      </c>
      <c r="AA338" s="493">
        <f>AA334*地域経済性分析・初期条件!$Q$37</f>
        <v>602012.93427418347</v>
      </c>
      <c r="AB338" s="493">
        <f>AB334*地域経済性分析・初期条件!$Q$37</f>
        <v>602012.93427418347</v>
      </c>
      <c r="AC338" s="493">
        <f>AC334*地域経済性分析・初期条件!$Q$37</f>
        <v>602012.93427418347</v>
      </c>
      <c r="AD338" s="493">
        <f>AD334*地域経済性分析・初期条件!$Q$37</f>
        <v>602012.93427418347</v>
      </c>
      <c r="AE338" s="493">
        <f>AE334*地域経済性分析・初期条件!$Q$37</f>
        <v>602012.93427418347</v>
      </c>
      <c r="AF338" s="493">
        <f>AF334*地域経済性分析・初期条件!$Q$37</f>
        <v>602012.93427418347</v>
      </c>
      <c r="AG338" s="493">
        <f>AG334*地域経済性分析・初期条件!$Q$37</f>
        <v>602012.93427418347</v>
      </c>
      <c r="AH338" s="493">
        <f>AH334*地域経済性分析・初期条件!$Q$37</f>
        <v>602012.93427418347</v>
      </c>
      <c r="AI338" s="535">
        <f t="shared" si="415"/>
        <v>6020129.3427418349</v>
      </c>
      <c r="AJ338" s="535">
        <f t="shared" si="416"/>
        <v>12040258.68548367</v>
      </c>
      <c r="AK338" s="497">
        <f t="shared" si="417"/>
        <v>18060388.0282255</v>
      </c>
    </row>
    <row r="339" spans="1:37" ht="11.5" x14ac:dyDescent="0.25">
      <c r="A339" s="533" t="str">
        <f>A333&amp;B339</f>
        <v>情報通信業従業員の可処分所得（一次）</v>
      </c>
      <c r="B339" s="439" t="s">
        <v>329</v>
      </c>
      <c r="C339" s="451" t="s">
        <v>37</v>
      </c>
      <c r="D339" s="493">
        <f>D334*地域経済性分析・初期条件!$H$37</f>
        <v>0</v>
      </c>
      <c r="E339" s="493">
        <f>E334*地域経済性分析・初期条件!$H$37</f>
        <v>456645.62696137937</v>
      </c>
      <c r="F339" s="493">
        <f>F334*地域経済性分析・初期条件!$H$37</f>
        <v>456645.62696137937</v>
      </c>
      <c r="G339" s="493">
        <f>G334*地域経済性分析・初期条件!$H$37</f>
        <v>456645.62696137937</v>
      </c>
      <c r="H339" s="493">
        <f>H334*地域経済性分析・初期条件!$H$37</f>
        <v>456645.62696137937</v>
      </c>
      <c r="I339" s="493">
        <f>I334*地域経済性分析・初期条件!$H$37</f>
        <v>456645.62696137937</v>
      </c>
      <c r="J339" s="493">
        <f>J334*地域経済性分析・初期条件!$H$37</f>
        <v>456645.62696137937</v>
      </c>
      <c r="K339" s="493">
        <f>K334*地域経済性分析・初期条件!$H$37</f>
        <v>456645.62696137937</v>
      </c>
      <c r="L339" s="493">
        <f>L334*地域経済性分析・初期条件!$H$37</f>
        <v>456645.62696137937</v>
      </c>
      <c r="M339" s="493">
        <f>M334*地域経済性分析・初期条件!$H$37</f>
        <v>456645.62696137937</v>
      </c>
      <c r="N339" s="493">
        <f>N334*地域経済性分析・初期条件!$H$37</f>
        <v>456645.62696137937</v>
      </c>
      <c r="O339" s="493">
        <f>O334*地域経済性分析・初期条件!$H$37</f>
        <v>456645.62696137937</v>
      </c>
      <c r="P339" s="493">
        <f>P334*地域経済性分析・初期条件!$H$37</f>
        <v>456645.62696137937</v>
      </c>
      <c r="Q339" s="493">
        <f>Q334*地域経済性分析・初期条件!$H$37</f>
        <v>456645.62696137937</v>
      </c>
      <c r="R339" s="493">
        <f>R334*地域経済性分析・初期条件!$H$37</f>
        <v>456645.62696137937</v>
      </c>
      <c r="S339" s="493">
        <f>S334*地域経済性分析・初期条件!$H$37</f>
        <v>456645.62696137937</v>
      </c>
      <c r="T339" s="493">
        <f>T334*地域経済性分析・初期条件!$H$37</f>
        <v>456645.62696137937</v>
      </c>
      <c r="U339" s="493">
        <f>U334*地域経済性分析・初期条件!$H$37</f>
        <v>456645.62696137937</v>
      </c>
      <c r="V339" s="493">
        <f>V334*地域経済性分析・初期条件!$H$37</f>
        <v>456645.62696137937</v>
      </c>
      <c r="W339" s="493">
        <f>W334*地域経済性分析・初期条件!$H$37</f>
        <v>456645.62696137937</v>
      </c>
      <c r="X339" s="493">
        <f>X334*地域経済性分析・初期条件!$H$37</f>
        <v>456645.62696137937</v>
      </c>
      <c r="Y339" s="493">
        <f>Y334*地域経済性分析・初期条件!$H$37</f>
        <v>456645.62696137937</v>
      </c>
      <c r="Z339" s="493">
        <f>Z334*地域経済性分析・初期条件!$H$37</f>
        <v>456645.62696137937</v>
      </c>
      <c r="AA339" s="493">
        <f>AA334*地域経済性分析・初期条件!$H$37</f>
        <v>456645.62696137937</v>
      </c>
      <c r="AB339" s="493">
        <f>AB334*地域経済性分析・初期条件!$H$37</f>
        <v>456645.62696137937</v>
      </c>
      <c r="AC339" s="493">
        <f>AC334*地域経済性分析・初期条件!$H$37</f>
        <v>456645.62696137937</v>
      </c>
      <c r="AD339" s="493">
        <f>AD334*地域経済性分析・初期条件!$H$37</f>
        <v>456645.62696137937</v>
      </c>
      <c r="AE339" s="493">
        <f>AE334*地域経済性分析・初期条件!$H$37</f>
        <v>456645.62696137937</v>
      </c>
      <c r="AF339" s="493">
        <f>AF334*地域経済性分析・初期条件!$H$37</f>
        <v>456645.62696137937</v>
      </c>
      <c r="AG339" s="493">
        <f>AG334*地域経済性分析・初期条件!$H$37</f>
        <v>456645.62696137937</v>
      </c>
      <c r="AH339" s="493">
        <f>AH334*地域経済性分析・初期条件!$H$37</f>
        <v>456645.62696137937</v>
      </c>
      <c r="AI339" s="535">
        <f t="shared" si="415"/>
        <v>4566456.2696137941</v>
      </c>
      <c r="AJ339" s="535">
        <f t="shared" si="416"/>
        <v>9132912.5392275881</v>
      </c>
      <c r="AK339" s="497">
        <f t="shared" si="417"/>
        <v>13699368.808841391</v>
      </c>
    </row>
    <row r="340" spans="1:37" ht="11.5" x14ac:dyDescent="0.25">
      <c r="A340" s="533" t="str">
        <f>A333&amp;B340</f>
        <v>情報通信業企業の税引後利益（一次）</v>
      </c>
      <c r="B340" s="439" t="s">
        <v>330</v>
      </c>
      <c r="C340" s="451" t="s">
        <v>37</v>
      </c>
      <c r="D340" s="493">
        <f>D334*地域経済性分析・初期条件!$I$37</f>
        <v>0</v>
      </c>
      <c r="E340" s="493">
        <f>E334*地域経済性分析・初期条件!$I$37</f>
        <v>288985.64788849012</v>
      </c>
      <c r="F340" s="493">
        <f>F334*地域経済性分析・初期条件!$I$37</f>
        <v>288985.64788849012</v>
      </c>
      <c r="G340" s="493">
        <f>G334*地域経済性分析・初期条件!$I$37</f>
        <v>288985.64788849012</v>
      </c>
      <c r="H340" s="493">
        <f>H334*地域経済性分析・初期条件!$I$37</f>
        <v>288985.64788849012</v>
      </c>
      <c r="I340" s="493">
        <f>I334*地域経済性分析・初期条件!$I$37</f>
        <v>288985.64788849012</v>
      </c>
      <c r="J340" s="493">
        <f>J334*地域経済性分析・初期条件!$I$37</f>
        <v>288985.64788849012</v>
      </c>
      <c r="K340" s="493">
        <f>K334*地域経済性分析・初期条件!$I$37</f>
        <v>288985.64788849012</v>
      </c>
      <c r="L340" s="493">
        <f>L334*地域経済性分析・初期条件!$I$37</f>
        <v>288985.64788849012</v>
      </c>
      <c r="M340" s="493">
        <f>M334*地域経済性分析・初期条件!$I$37</f>
        <v>288985.64788849012</v>
      </c>
      <c r="N340" s="493">
        <f>N334*地域経済性分析・初期条件!$I$37</f>
        <v>288985.64788849012</v>
      </c>
      <c r="O340" s="493">
        <f>O334*地域経済性分析・初期条件!$I$37</f>
        <v>288985.64788849012</v>
      </c>
      <c r="P340" s="493">
        <f>P334*地域経済性分析・初期条件!$I$37</f>
        <v>288985.64788849012</v>
      </c>
      <c r="Q340" s="493">
        <f>Q334*地域経済性分析・初期条件!$I$37</f>
        <v>288985.64788849012</v>
      </c>
      <c r="R340" s="493">
        <f>R334*地域経済性分析・初期条件!$I$37</f>
        <v>288985.64788849012</v>
      </c>
      <c r="S340" s="493">
        <f>S334*地域経済性分析・初期条件!$I$37</f>
        <v>288985.64788849012</v>
      </c>
      <c r="T340" s="493">
        <f>T334*地域経済性分析・初期条件!$I$37</f>
        <v>288985.64788849012</v>
      </c>
      <c r="U340" s="493">
        <f>U334*地域経済性分析・初期条件!$I$37</f>
        <v>288985.64788849012</v>
      </c>
      <c r="V340" s="493">
        <f>V334*地域経済性分析・初期条件!$I$37</f>
        <v>288985.64788849012</v>
      </c>
      <c r="W340" s="493">
        <f>W334*地域経済性分析・初期条件!$I$37</f>
        <v>288985.64788849012</v>
      </c>
      <c r="X340" s="493">
        <f>X334*地域経済性分析・初期条件!$I$37</f>
        <v>288985.64788849012</v>
      </c>
      <c r="Y340" s="493">
        <f>Y334*地域経済性分析・初期条件!$I$37</f>
        <v>288985.64788849012</v>
      </c>
      <c r="Z340" s="493">
        <f>Z334*地域経済性分析・初期条件!$I$37</f>
        <v>288985.64788849012</v>
      </c>
      <c r="AA340" s="493">
        <f>AA334*地域経済性分析・初期条件!$I$37</f>
        <v>288985.64788849012</v>
      </c>
      <c r="AB340" s="493">
        <f>AB334*地域経済性分析・初期条件!$I$37</f>
        <v>288985.64788849012</v>
      </c>
      <c r="AC340" s="493">
        <f>AC334*地域経済性分析・初期条件!$I$37</f>
        <v>288985.64788849012</v>
      </c>
      <c r="AD340" s="493">
        <f>AD334*地域経済性分析・初期条件!$I$37</f>
        <v>288985.64788849012</v>
      </c>
      <c r="AE340" s="493">
        <f>AE334*地域経済性分析・初期条件!$I$37</f>
        <v>288985.64788849012</v>
      </c>
      <c r="AF340" s="493">
        <f>AF334*地域経済性分析・初期条件!$I$37</f>
        <v>288985.64788849012</v>
      </c>
      <c r="AG340" s="493">
        <f>AG334*地域経済性分析・初期条件!$I$37</f>
        <v>288985.64788849012</v>
      </c>
      <c r="AH340" s="493">
        <f>AH334*地域経済性分析・初期条件!$I$37</f>
        <v>288985.64788849012</v>
      </c>
      <c r="AI340" s="535">
        <f t="shared" si="415"/>
        <v>2889856.4788849005</v>
      </c>
      <c r="AJ340" s="535">
        <f t="shared" si="416"/>
        <v>5779712.9577698009</v>
      </c>
      <c r="AK340" s="497">
        <f t="shared" si="417"/>
        <v>8669569.4366547018</v>
      </c>
    </row>
    <row r="341" spans="1:37" ht="11.5" x14ac:dyDescent="0.25">
      <c r="A341" s="533" t="str">
        <f>A333&amp;B341</f>
        <v>情報通信業都道府県税収（一次）</v>
      </c>
      <c r="B341" s="439" t="s">
        <v>331</v>
      </c>
      <c r="C341" s="451" t="s">
        <v>37</v>
      </c>
      <c r="D341" s="493">
        <f>D334*地域経済性分析・初期条件!$J$37</f>
        <v>0</v>
      </c>
      <c r="E341" s="493">
        <f>E334*地域経済性分析・初期条件!$J$37</f>
        <v>78282.012913665152</v>
      </c>
      <c r="F341" s="493">
        <f>F334*地域経済性分析・初期条件!$J$37</f>
        <v>78282.012913665152</v>
      </c>
      <c r="G341" s="493">
        <f>G334*地域経済性分析・初期条件!$J$37</f>
        <v>78282.012913665152</v>
      </c>
      <c r="H341" s="493">
        <f>H334*地域経済性分析・初期条件!$J$37</f>
        <v>78282.012913665152</v>
      </c>
      <c r="I341" s="493">
        <f>I334*地域経済性分析・初期条件!$J$37</f>
        <v>78282.012913665152</v>
      </c>
      <c r="J341" s="493">
        <f>J334*地域経済性分析・初期条件!$J$37</f>
        <v>78282.012913665152</v>
      </c>
      <c r="K341" s="493">
        <f>K334*地域経済性分析・初期条件!$J$37</f>
        <v>78282.012913665152</v>
      </c>
      <c r="L341" s="493">
        <f>L334*地域経済性分析・初期条件!$J$37</f>
        <v>78282.012913665152</v>
      </c>
      <c r="M341" s="493">
        <f>M334*地域経済性分析・初期条件!$J$37</f>
        <v>78282.012913665152</v>
      </c>
      <c r="N341" s="493">
        <f>N334*地域経済性分析・初期条件!$J$37</f>
        <v>78282.012913665152</v>
      </c>
      <c r="O341" s="493">
        <f>O334*地域経済性分析・初期条件!$J$37</f>
        <v>78282.012913665152</v>
      </c>
      <c r="P341" s="493">
        <f>P334*地域経済性分析・初期条件!$J$37</f>
        <v>78282.012913665152</v>
      </c>
      <c r="Q341" s="493">
        <f>Q334*地域経済性分析・初期条件!$J$37</f>
        <v>78282.012913665152</v>
      </c>
      <c r="R341" s="493">
        <f>R334*地域経済性分析・初期条件!$J$37</f>
        <v>78282.012913665152</v>
      </c>
      <c r="S341" s="493">
        <f>S334*地域経済性分析・初期条件!$J$37</f>
        <v>78282.012913665152</v>
      </c>
      <c r="T341" s="493">
        <f>T334*地域経済性分析・初期条件!$J$37</f>
        <v>78282.012913665152</v>
      </c>
      <c r="U341" s="493">
        <f>U334*地域経済性分析・初期条件!$J$37</f>
        <v>78282.012913665152</v>
      </c>
      <c r="V341" s="493">
        <f>V334*地域経済性分析・初期条件!$J$37</f>
        <v>78282.012913665152</v>
      </c>
      <c r="W341" s="493">
        <f>W334*地域経済性分析・初期条件!$J$37</f>
        <v>78282.012913665152</v>
      </c>
      <c r="X341" s="493">
        <f>X334*地域経済性分析・初期条件!$J$37</f>
        <v>78282.012913665152</v>
      </c>
      <c r="Y341" s="493">
        <f>Y334*地域経済性分析・初期条件!$J$37</f>
        <v>78282.012913665152</v>
      </c>
      <c r="Z341" s="493">
        <f>Z334*地域経済性分析・初期条件!$J$37</f>
        <v>78282.012913665152</v>
      </c>
      <c r="AA341" s="493">
        <f>AA334*地域経済性分析・初期条件!$J$37</f>
        <v>78282.012913665152</v>
      </c>
      <c r="AB341" s="493">
        <f>AB334*地域経済性分析・初期条件!$J$37</f>
        <v>78282.012913665152</v>
      </c>
      <c r="AC341" s="493">
        <f>AC334*地域経済性分析・初期条件!$J$37</f>
        <v>78282.012913665152</v>
      </c>
      <c r="AD341" s="493">
        <f>AD334*地域経済性分析・初期条件!$J$37</f>
        <v>78282.012913665152</v>
      </c>
      <c r="AE341" s="493">
        <f>AE334*地域経済性分析・初期条件!$J$37</f>
        <v>78282.012913665152</v>
      </c>
      <c r="AF341" s="493">
        <f>AF334*地域経済性分析・初期条件!$J$37</f>
        <v>78282.012913665152</v>
      </c>
      <c r="AG341" s="493">
        <f>AG334*地域経済性分析・初期条件!$J$37</f>
        <v>78282.012913665152</v>
      </c>
      <c r="AH341" s="493">
        <f>AH334*地域経済性分析・初期条件!$J$37</f>
        <v>78282.012913665152</v>
      </c>
      <c r="AI341" s="535">
        <f t="shared" si="415"/>
        <v>782820.12913665152</v>
      </c>
      <c r="AJ341" s="535">
        <f t="shared" si="416"/>
        <v>1565640.2582733035</v>
      </c>
      <c r="AK341" s="497">
        <f t="shared" si="417"/>
        <v>2348460.3874099562</v>
      </c>
    </row>
    <row r="342" spans="1:37" ht="11.5" x14ac:dyDescent="0.25">
      <c r="A342" s="533" t="str">
        <f>A333&amp;B342</f>
        <v>情報通信業市町村税収（一次）</v>
      </c>
      <c r="B342" s="439" t="s">
        <v>332</v>
      </c>
      <c r="C342" s="452" t="s">
        <v>37</v>
      </c>
      <c r="D342" s="493">
        <f>D334*地域経済性分析・初期条件!$K$37</f>
        <v>0</v>
      </c>
      <c r="E342" s="493">
        <f>E334*地域経済性分析・初期条件!$K$37</f>
        <v>31344.273603875288</v>
      </c>
      <c r="F342" s="493">
        <f>F334*地域経済性分析・初期条件!$K$37</f>
        <v>31344.273603875288</v>
      </c>
      <c r="G342" s="493">
        <f>G334*地域経済性分析・初期条件!$K$37</f>
        <v>31344.273603875288</v>
      </c>
      <c r="H342" s="493">
        <f>H334*地域経済性分析・初期条件!$K$37</f>
        <v>31344.273603875288</v>
      </c>
      <c r="I342" s="493">
        <f>I334*地域経済性分析・初期条件!$K$37</f>
        <v>31344.273603875288</v>
      </c>
      <c r="J342" s="493">
        <f>J334*地域経済性分析・初期条件!$K$37</f>
        <v>31344.273603875288</v>
      </c>
      <c r="K342" s="493">
        <f>K334*地域経済性分析・初期条件!$K$37</f>
        <v>31344.273603875288</v>
      </c>
      <c r="L342" s="493">
        <f>L334*地域経済性分析・初期条件!$K$37</f>
        <v>31344.273603875288</v>
      </c>
      <c r="M342" s="493">
        <f>M334*地域経済性分析・初期条件!$K$37</f>
        <v>31344.273603875288</v>
      </c>
      <c r="N342" s="493">
        <f>N334*地域経済性分析・初期条件!$K$37</f>
        <v>31344.273603875288</v>
      </c>
      <c r="O342" s="493">
        <f>O334*地域経済性分析・初期条件!$K$37</f>
        <v>31344.273603875288</v>
      </c>
      <c r="P342" s="493">
        <f>P334*地域経済性分析・初期条件!$K$37</f>
        <v>31344.273603875288</v>
      </c>
      <c r="Q342" s="493">
        <f>Q334*地域経済性分析・初期条件!$K$37</f>
        <v>31344.273603875288</v>
      </c>
      <c r="R342" s="493">
        <f>R334*地域経済性分析・初期条件!$K$37</f>
        <v>31344.273603875288</v>
      </c>
      <c r="S342" s="493">
        <f>S334*地域経済性分析・初期条件!$K$37</f>
        <v>31344.273603875288</v>
      </c>
      <c r="T342" s="493">
        <f>T334*地域経済性分析・初期条件!$K$37</f>
        <v>31344.273603875288</v>
      </c>
      <c r="U342" s="493">
        <f>U334*地域経済性分析・初期条件!$K$37</f>
        <v>31344.273603875288</v>
      </c>
      <c r="V342" s="493">
        <f>V334*地域経済性分析・初期条件!$K$37</f>
        <v>31344.273603875288</v>
      </c>
      <c r="W342" s="493">
        <f>W334*地域経済性分析・初期条件!$K$37</f>
        <v>31344.273603875288</v>
      </c>
      <c r="X342" s="493">
        <f>X334*地域経済性分析・初期条件!$K$37</f>
        <v>31344.273603875288</v>
      </c>
      <c r="Y342" s="493">
        <f>Y334*地域経済性分析・初期条件!$K$37</f>
        <v>31344.273603875288</v>
      </c>
      <c r="Z342" s="493">
        <f>Z334*地域経済性分析・初期条件!$K$37</f>
        <v>31344.273603875288</v>
      </c>
      <c r="AA342" s="493">
        <f>AA334*地域経済性分析・初期条件!$K$37</f>
        <v>31344.273603875288</v>
      </c>
      <c r="AB342" s="493">
        <f>AB334*地域経済性分析・初期条件!$K$37</f>
        <v>31344.273603875288</v>
      </c>
      <c r="AC342" s="493">
        <f>AC334*地域経済性分析・初期条件!$K$37</f>
        <v>31344.273603875288</v>
      </c>
      <c r="AD342" s="493">
        <f>AD334*地域経済性分析・初期条件!$K$37</f>
        <v>31344.273603875288</v>
      </c>
      <c r="AE342" s="493">
        <f>AE334*地域経済性分析・初期条件!$K$37</f>
        <v>31344.273603875288</v>
      </c>
      <c r="AF342" s="493">
        <f>AF334*地域経済性分析・初期条件!$K$37</f>
        <v>31344.273603875288</v>
      </c>
      <c r="AG342" s="493">
        <f>AG334*地域経済性分析・初期条件!$K$37</f>
        <v>31344.273603875288</v>
      </c>
      <c r="AH342" s="493">
        <f>AH334*地域経済性分析・初期条件!$K$37</f>
        <v>31344.273603875288</v>
      </c>
      <c r="AI342" s="535">
        <f t="shared" si="415"/>
        <v>313442.73603875289</v>
      </c>
      <c r="AJ342" s="535">
        <f t="shared" si="416"/>
        <v>626885.4720775059</v>
      </c>
      <c r="AK342" s="497">
        <f t="shared" si="417"/>
        <v>940328.20811625896</v>
      </c>
    </row>
    <row r="343" spans="1:37" ht="11.5" x14ac:dyDescent="0.25">
      <c r="A343" s="533" t="str">
        <f>A333&amp;B343</f>
        <v>情報通信業従業員の可処分所得（二次以降）</v>
      </c>
      <c r="B343" s="439" t="s">
        <v>334</v>
      </c>
      <c r="C343" s="452" t="s">
        <v>333</v>
      </c>
      <c r="D343" s="493">
        <f>D334*地域経済性分析・初期条件!$L$37</f>
        <v>0</v>
      </c>
      <c r="E343" s="493">
        <f>E334*地域経済性分析・初期条件!$L$37</f>
        <v>0</v>
      </c>
      <c r="F343" s="493">
        <f>F334*地域経済性分析・初期条件!$L$37</f>
        <v>0</v>
      </c>
      <c r="G343" s="493">
        <f>G334*地域経済性分析・初期条件!$L$37</f>
        <v>0</v>
      </c>
      <c r="H343" s="493">
        <f>H334*地域経済性分析・初期条件!$L$37</f>
        <v>0</v>
      </c>
      <c r="I343" s="493">
        <f>I334*地域経済性分析・初期条件!$L$37</f>
        <v>0</v>
      </c>
      <c r="J343" s="493">
        <f>J334*地域経済性分析・初期条件!$L$37</f>
        <v>0</v>
      </c>
      <c r="K343" s="493">
        <f>K334*地域経済性分析・初期条件!$L$37</f>
        <v>0</v>
      </c>
      <c r="L343" s="493">
        <f>L334*地域経済性分析・初期条件!$L$37</f>
        <v>0</v>
      </c>
      <c r="M343" s="493">
        <f>M334*地域経済性分析・初期条件!$L$37</f>
        <v>0</v>
      </c>
      <c r="N343" s="493">
        <f>N334*地域経済性分析・初期条件!$L$37</f>
        <v>0</v>
      </c>
      <c r="O343" s="493">
        <f>O334*地域経済性分析・初期条件!$L$37</f>
        <v>0</v>
      </c>
      <c r="P343" s="493">
        <f>P334*地域経済性分析・初期条件!$L$37</f>
        <v>0</v>
      </c>
      <c r="Q343" s="493">
        <f>Q334*地域経済性分析・初期条件!$L$37</f>
        <v>0</v>
      </c>
      <c r="R343" s="493">
        <f>R334*地域経済性分析・初期条件!$L$37</f>
        <v>0</v>
      </c>
      <c r="S343" s="493">
        <f>S334*地域経済性分析・初期条件!$L$37</f>
        <v>0</v>
      </c>
      <c r="T343" s="493">
        <f>T334*地域経済性分析・初期条件!$L$37</f>
        <v>0</v>
      </c>
      <c r="U343" s="493">
        <f>U334*地域経済性分析・初期条件!$L$37</f>
        <v>0</v>
      </c>
      <c r="V343" s="493">
        <f>V334*地域経済性分析・初期条件!$L$37</f>
        <v>0</v>
      </c>
      <c r="W343" s="493">
        <f>W334*地域経済性分析・初期条件!$L$37</f>
        <v>0</v>
      </c>
      <c r="X343" s="493">
        <f>X334*地域経済性分析・初期条件!$L$37</f>
        <v>0</v>
      </c>
      <c r="Y343" s="493">
        <f>Y334*地域経済性分析・初期条件!$L$37</f>
        <v>0</v>
      </c>
      <c r="Z343" s="493">
        <f>Z334*地域経済性分析・初期条件!$L$37</f>
        <v>0</v>
      </c>
      <c r="AA343" s="493">
        <f>AA334*地域経済性分析・初期条件!$L$37</f>
        <v>0</v>
      </c>
      <c r="AB343" s="493">
        <f>AB334*地域経済性分析・初期条件!$L$37</f>
        <v>0</v>
      </c>
      <c r="AC343" s="493">
        <f>AC334*地域経済性分析・初期条件!$L$37</f>
        <v>0</v>
      </c>
      <c r="AD343" s="493">
        <f>AD334*地域経済性分析・初期条件!$L$37</f>
        <v>0</v>
      </c>
      <c r="AE343" s="493">
        <f>AE334*地域経済性分析・初期条件!$L$37</f>
        <v>0</v>
      </c>
      <c r="AF343" s="493">
        <f>AF334*地域経済性分析・初期条件!$L$37</f>
        <v>0</v>
      </c>
      <c r="AG343" s="493">
        <f>AG334*地域経済性分析・初期条件!$L$37</f>
        <v>0</v>
      </c>
      <c r="AH343" s="493">
        <f>AH334*地域経済性分析・初期条件!$L$37</f>
        <v>0</v>
      </c>
      <c r="AI343" s="535">
        <f>SUM(D343:N343)</f>
        <v>0</v>
      </c>
      <c r="AJ343" s="535">
        <f>SUM(D343:X343)</f>
        <v>0</v>
      </c>
      <c r="AK343" s="497">
        <f>SUM(D343:AH343)</f>
        <v>0</v>
      </c>
    </row>
    <row r="344" spans="1:37" ht="11.5" x14ac:dyDescent="0.25">
      <c r="A344" s="533" t="str">
        <f>A333&amp;B344</f>
        <v>情報通信業企業の税引後利益（二次以降）</v>
      </c>
      <c r="B344" s="439" t="s">
        <v>335</v>
      </c>
      <c r="C344" s="452" t="s">
        <v>333</v>
      </c>
      <c r="D344" s="493">
        <f>D334*地域経済性分析・初期条件!$M$37</f>
        <v>0</v>
      </c>
      <c r="E344" s="493">
        <f>E334*地域経済性分析・初期条件!$M$37</f>
        <v>0</v>
      </c>
      <c r="F344" s="493">
        <f>F334*地域経済性分析・初期条件!$M$37</f>
        <v>0</v>
      </c>
      <c r="G344" s="493">
        <f>G334*地域経済性分析・初期条件!$M$37</f>
        <v>0</v>
      </c>
      <c r="H344" s="493">
        <f>H334*地域経済性分析・初期条件!$M$37</f>
        <v>0</v>
      </c>
      <c r="I344" s="493">
        <f>I334*地域経済性分析・初期条件!$M$37</f>
        <v>0</v>
      </c>
      <c r="J344" s="493">
        <f>J334*地域経済性分析・初期条件!$M$37</f>
        <v>0</v>
      </c>
      <c r="K344" s="493">
        <f>K334*地域経済性分析・初期条件!$M$37</f>
        <v>0</v>
      </c>
      <c r="L344" s="493">
        <f>L334*地域経済性分析・初期条件!$M$37</f>
        <v>0</v>
      </c>
      <c r="M344" s="493">
        <f>M334*地域経済性分析・初期条件!$M$37</f>
        <v>0</v>
      </c>
      <c r="N344" s="493">
        <f>N334*地域経済性分析・初期条件!$M$37</f>
        <v>0</v>
      </c>
      <c r="O344" s="493">
        <f>O334*地域経済性分析・初期条件!$M$37</f>
        <v>0</v>
      </c>
      <c r="P344" s="493">
        <f>P334*地域経済性分析・初期条件!$M$37</f>
        <v>0</v>
      </c>
      <c r="Q344" s="493">
        <f>Q334*地域経済性分析・初期条件!$M$37</f>
        <v>0</v>
      </c>
      <c r="R344" s="493">
        <f>R334*地域経済性分析・初期条件!$M$37</f>
        <v>0</v>
      </c>
      <c r="S344" s="493">
        <f>S334*地域経済性分析・初期条件!$M$37</f>
        <v>0</v>
      </c>
      <c r="T344" s="493">
        <f>T334*地域経済性分析・初期条件!$M$37</f>
        <v>0</v>
      </c>
      <c r="U344" s="493">
        <f>U334*地域経済性分析・初期条件!$M$37</f>
        <v>0</v>
      </c>
      <c r="V344" s="493">
        <f>V334*地域経済性分析・初期条件!$M$37</f>
        <v>0</v>
      </c>
      <c r="W344" s="493">
        <f>W334*地域経済性分析・初期条件!$M$37</f>
        <v>0</v>
      </c>
      <c r="X344" s="493">
        <f>X334*地域経済性分析・初期条件!$M$37</f>
        <v>0</v>
      </c>
      <c r="Y344" s="493">
        <f>Y334*地域経済性分析・初期条件!$M$37</f>
        <v>0</v>
      </c>
      <c r="Z344" s="493">
        <f>Z334*地域経済性分析・初期条件!$M$37</f>
        <v>0</v>
      </c>
      <c r="AA344" s="493">
        <f>AA334*地域経済性分析・初期条件!$M$37</f>
        <v>0</v>
      </c>
      <c r="AB344" s="493">
        <f>AB334*地域経済性分析・初期条件!$M$37</f>
        <v>0</v>
      </c>
      <c r="AC344" s="493">
        <f>AC334*地域経済性分析・初期条件!$M$37</f>
        <v>0</v>
      </c>
      <c r="AD344" s="493">
        <f>AD334*地域経済性分析・初期条件!$M$37</f>
        <v>0</v>
      </c>
      <c r="AE344" s="493">
        <f>AE334*地域経済性分析・初期条件!$M$37</f>
        <v>0</v>
      </c>
      <c r="AF344" s="493">
        <f>AF334*地域経済性分析・初期条件!$M$37</f>
        <v>0</v>
      </c>
      <c r="AG344" s="493">
        <f>AG334*地域経済性分析・初期条件!$M$37</f>
        <v>0</v>
      </c>
      <c r="AH344" s="493">
        <f>AH334*地域経済性分析・初期条件!$M$37</f>
        <v>0</v>
      </c>
      <c r="AI344" s="535">
        <f>SUM(D344:N344)</f>
        <v>0</v>
      </c>
      <c r="AJ344" s="535">
        <f>SUM(D344:X344)</f>
        <v>0</v>
      </c>
      <c r="AK344" s="497">
        <f>SUM(D344:AH344)</f>
        <v>0</v>
      </c>
    </row>
    <row r="345" spans="1:37" ht="11.5" x14ac:dyDescent="0.25">
      <c r="A345" s="533" t="str">
        <f>A333&amp;B345</f>
        <v>情報通信業都道府県税収（二次以降）</v>
      </c>
      <c r="B345" s="439" t="s">
        <v>336</v>
      </c>
      <c r="C345" s="452" t="s">
        <v>333</v>
      </c>
      <c r="D345" s="493">
        <f>D334*地域経済性分析・初期条件!$N$37</f>
        <v>0</v>
      </c>
      <c r="E345" s="493">
        <f>E334*地域経済性分析・初期条件!$N$37</f>
        <v>0</v>
      </c>
      <c r="F345" s="493">
        <f>F334*地域経済性分析・初期条件!$N$37</f>
        <v>0</v>
      </c>
      <c r="G345" s="493">
        <f>G334*地域経済性分析・初期条件!$N$37</f>
        <v>0</v>
      </c>
      <c r="H345" s="493">
        <f>H334*地域経済性分析・初期条件!$N$37</f>
        <v>0</v>
      </c>
      <c r="I345" s="493">
        <f>I334*地域経済性分析・初期条件!$N$37</f>
        <v>0</v>
      </c>
      <c r="J345" s="493">
        <f>J334*地域経済性分析・初期条件!$N$37</f>
        <v>0</v>
      </c>
      <c r="K345" s="493">
        <f>K334*地域経済性分析・初期条件!$N$37</f>
        <v>0</v>
      </c>
      <c r="L345" s="493">
        <f>L334*地域経済性分析・初期条件!$N$37</f>
        <v>0</v>
      </c>
      <c r="M345" s="493">
        <f>M334*地域経済性分析・初期条件!$N$37</f>
        <v>0</v>
      </c>
      <c r="N345" s="493">
        <f>N334*地域経済性分析・初期条件!$N$37</f>
        <v>0</v>
      </c>
      <c r="O345" s="493">
        <f>O334*地域経済性分析・初期条件!$N$37</f>
        <v>0</v>
      </c>
      <c r="P345" s="493">
        <f>P334*地域経済性分析・初期条件!$N$37</f>
        <v>0</v>
      </c>
      <c r="Q345" s="493">
        <f>Q334*地域経済性分析・初期条件!$N$37</f>
        <v>0</v>
      </c>
      <c r="R345" s="493">
        <f>R334*地域経済性分析・初期条件!$N$37</f>
        <v>0</v>
      </c>
      <c r="S345" s="493">
        <f>S334*地域経済性分析・初期条件!$N$37</f>
        <v>0</v>
      </c>
      <c r="T345" s="493">
        <f>T334*地域経済性分析・初期条件!$N$37</f>
        <v>0</v>
      </c>
      <c r="U345" s="493">
        <f>U334*地域経済性分析・初期条件!$N$37</f>
        <v>0</v>
      </c>
      <c r="V345" s="493">
        <f>V334*地域経済性分析・初期条件!$N$37</f>
        <v>0</v>
      </c>
      <c r="W345" s="493">
        <f>W334*地域経済性分析・初期条件!$N$37</f>
        <v>0</v>
      </c>
      <c r="X345" s="493">
        <f>X334*地域経済性分析・初期条件!$N$37</f>
        <v>0</v>
      </c>
      <c r="Y345" s="493">
        <f>Y334*地域経済性分析・初期条件!$N$37</f>
        <v>0</v>
      </c>
      <c r="Z345" s="493">
        <f>Z334*地域経済性分析・初期条件!$N$37</f>
        <v>0</v>
      </c>
      <c r="AA345" s="493">
        <f>AA334*地域経済性分析・初期条件!$N$37</f>
        <v>0</v>
      </c>
      <c r="AB345" s="493">
        <f>AB334*地域経済性分析・初期条件!$N$37</f>
        <v>0</v>
      </c>
      <c r="AC345" s="493">
        <f>AC334*地域経済性分析・初期条件!$N$37</f>
        <v>0</v>
      </c>
      <c r="AD345" s="493">
        <f>AD334*地域経済性分析・初期条件!$N$37</f>
        <v>0</v>
      </c>
      <c r="AE345" s="493">
        <f>AE334*地域経済性分析・初期条件!$N$37</f>
        <v>0</v>
      </c>
      <c r="AF345" s="493">
        <f>AF334*地域経済性分析・初期条件!$N$37</f>
        <v>0</v>
      </c>
      <c r="AG345" s="493">
        <f>AG334*地域経済性分析・初期条件!$N$37</f>
        <v>0</v>
      </c>
      <c r="AH345" s="493">
        <f>AH334*地域経済性分析・初期条件!$N$37</f>
        <v>0</v>
      </c>
      <c r="AI345" s="535">
        <f>SUM(D345:N345)</f>
        <v>0</v>
      </c>
      <c r="AJ345" s="535">
        <f>SUM(D345:X345)</f>
        <v>0</v>
      </c>
      <c r="AK345" s="497">
        <f>SUM(D345:AH345)</f>
        <v>0</v>
      </c>
    </row>
    <row r="346" spans="1:37" ht="11.5" x14ac:dyDescent="0.25">
      <c r="A346" s="533" t="str">
        <f>A333&amp;B346</f>
        <v>情報通信業市町村税収（二次以降）</v>
      </c>
      <c r="B346" s="439" t="s">
        <v>337</v>
      </c>
      <c r="C346" s="452" t="s">
        <v>333</v>
      </c>
      <c r="D346" s="493">
        <f>D334*地域経済性分析・初期条件!$O$37</f>
        <v>0</v>
      </c>
      <c r="E346" s="493">
        <f>E334*地域経済性分析・初期条件!$O$37</f>
        <v>0</v>
      </c>
      <c r="F346" s="493">
        <f>F334*地域経済性分析・初期条件!$O$37</f>
        <v>0</v>
      </c>
      <c r="G346" s="493">
        <f>G334*地域経済性分析・初期条件!$O$37</f>
        <v>0</v>
      </c>
      <c r="H346" s="493">
        <f>H334*地域経済性分析・初期条件!$O$37</f>
        <v>0</v>
      </c>
      <c r="I346" s="493">
        <f>I334*地域経済性分析・初期条件!$O$37</f>
        <v>0</v>
      </c>
      <c r="J346" s="493">
        <f>J334*地域経済性分析・初期条件!$O$37</f>
        <v>0</v>
      </c>
      <c r="K346" s="493">
        <f>K334*地域経済性分析・初期条件!$O$37</f>
        <v>0</v>
      </c>
      <c r="L346" s="493">
        <f>L334*地域経済性分析・初期条件!$O$37</f>
        <v>0</v>
      </c>
      <c r="M346" s="493">
        <f>M334*地域経済性分析・初期条件!$O$37</f>
        <v>0</v>
      </c>
      <c r="N346" s="493">
        <f>N334*地域経済性分析・初期条件!$O$37</f>
        <v>0</v>
      </c>
      <c r="O346" s="493">
        <f>O334*地域経済性分析・初期条件!$O$37</f>
        <v>0</v>
      </c>
      <c r="P346" s="493">
        <f>P334*地域経済性分析・初期条件!$O$37</f>
        <v>0</v>
      </c>
      <c r="Q346" s="493">
        <f>Q334*地域経済性分析・初期条件!$O$37</f>
        <v>0</v>
      </c>
      <c r="R346" s="493">
        <f>R334*地域経済性分析・初期条件!$O$37</f>
        <v>0</v>
      </c>
      <c r="S346" s="493">
        <f>S334*地域経済性分析・初期条件!$O$37</f>
        <v>0</v>
      </c>
      <c r="T346" s="493">
        <f>T334*地域経済性分析・初期条件!$O$37</f>
        <v>0</v>
      </c>
      <c r="U346" s="493">
        <f>U334*地域経済性分析・初期条件!$O$37</f>
        <v>0</v>
      </c>
      <c r="V346" s="493">
        <f>V334*地域経済性分析・初期条件!$O$37</f>
        <v>0</v>
      </c>
      <c r="W346" s="493">
        <f>W334*地域経済性分析・初期条件!$O$37</f>
        <v>0</v>
      </c>
      <c r="X346" s="493">
        <f>X334*地域経済性分析・初期条件!$O$37</f>
        <v>0</v>
      </c>
      <c r="Y346" s="493">
        <f>Y334*地域経済性分析・初期条件!$O$37</f>
        <v>0</v>
      </c>
      <c r="Z346" s="493">
        <f>Z334*地域経済性分析・初期条件!$O$37</f>
        <v>0</v>
      </c>
      <c r="AA346" s="493">
        <f>AA334*地域経済性分析・初期条件!$O$37</f>
        <v>0</v>
      </c>
      <c r="AB346" s="493">
        <f>AB334*地域経済性分析・初期条件!$O$37</f>
        <v>0</v>
      </c>
      <c r="AC346" s="493">
        <f>AC334*地域経済性分析・初期条件!$O$37</f>
        <v>0</v>
      </c>
      <c r="AD346" s="493">
        <f>AD334*地域経済性分析・初期条件!$O$37</f>
        <v>0</v>
      </c>
      <c r="AE346" s="493">
        <f>AE334*地域経済性分析・初期条件!$O$37</f>
        <v>0</v>
      </c>
      <c r="AF346" s="493">
        <f>AF334*地域経済性分析・初期条件!$O$37</f>
        <v>0</v>
      </c>
      <c r="AG346" s="493">
        <f>AG334*地域経済性分析・初期条件!$O$37</f>
        <v>0</v>
      </c>
      <c r="AH346" s="493">
        <f>AH334*地域経済性分析・初期条件!$O$37</f>
        <v>0</v>
      </c>
      <c r="AI346" s="535">
        <f>SUM(D346:N346)</f>
        <v>0</v>
      </c>
      <c r="AJ346" s="535">
        <f>SUM(D346:X346)</f>
        <v>0</v>
      </c>
      <c r="AK346" s="497">
        <f>SUM(D346:AH346)</f>
        <v>0</v>
      </c>
    </row>
    <row r="347" spans="1:37" ht="11.5" x14ac:dyDescent="0.25">
      <c r="A347" s="488" t="str">
        <f>地域経済性分析・初期条件!$G$38</f>
        <v>損害保険業</v>
      </c>
      <c r="C347" s="452"/>
      <c r="D347" s="493"/>
      <c r="E347" s="493"/>
      <c r="F347" s="465"/>
      <c r="G347" s="465"/>
      <c r="H347" s="465"/>
      <c r="I347" s="465"/>
      <c r="J347" s="465"/>
      <c r="K347" s="465"/>
      <c r="L347" s="465"/>
      <c r="M347" s="465"/>
      <c r="N347" s="465"/>
      <c r="O347" s="465"/>
      <c r="P347" s="465"/>
      <c r="Q347" s="465"/>
      <c r="R347" s="465"/>
      <c r="S347" s="465"/>
      <c r="T347" s="465"/>
      <c r="U347" s="465"/>
      <c r="V347" s="465"/>
      <c r="W347" s="465"/>
      <c r="X347" s="465"/>
      <c r="Y347" s="465"/>
      <c r="Z347" s="465"/>
      <c r="AA347" s="465"/>
      <c r="AB347" s="465"/>
      <c r="AC347" s="465"/>
      <c r="AD347" s="465"/>
      <c r="AE347" s="465"/>
      <c r="AF347" s="465"/>
      <c r="AG347" s="465"/>
      <c r="AH347" s="465"/>
      <c r="AI347" s="535"/>
      <c r="AJ347" s="535"/>
      <c r="AK347" s="497"/>
    </row>
    <row r="348" spans="1:37" ht="11.5" x14ac:dyDescent="0.25">
      <c r="A348" s="533" t="str">
        <f>A347&amp;B348</f>
        <v>損害保険業売上（税別）</v>
      </c>
      <c r="B348" s="439" t="s">
        <v>1092</v>
      </c>
      <c r="C348" s="451" t="s">
        <v>37</v>
      </c>
      <c r="D348" s="493">
        <f>D332*地域経済性分析・初期条件!$F$38</f>
        <v>0</v>
      </c>
      <c r="E348" s="493">
        <f>E332*地域経済性分析・初期条件!$F$38</f>
        <v>4013419.5618278896</v>
      </c>
      <c r="F348" s="493">
        <f>F332*地域経済性分析・初期条件!$F$38</f>
        <v>4013419.5618278896</v>
      </c>
      <c r="G348" s="493">
        <f>G332*地域経済性分析・初期条件!$F$38</f>
        <v>4013419.5618278896</v>
      </c>
      <c r="H348" s="493">
        <f>H332*地域経済性分析・初期条件!$F$38</f>
        <v>4013419.5618278896</v>
      </c>
      <c r="I348" s="493">
        <f>I332*地域経済性分析・初期条件!$F$38</f>
        <v>4013419.5618278896</v>
      </c>
      <c r="J348" s="493">
        <f>J332*地域経済性分析・初期条件!$F$38</f>
        <v>4013419.5618278896</v>
      </c>
      <c r="K348" s="493">
        <f>K332*地域経済性分析・初期条件!$F$38</f>
        <v>4013419.5618278896</v>
      </c>
      <c r="L348" s="493">
        <f>L332*地域経済性分析・初期条件!$F$38</f>
        <v>4013419.5618278896</v>
      </c>
      <c r="M348" s="493">
        <f>M332*地域経済性分析・初期条件!$F$38</f>
        <v>4013419.5618278896</v>
      </c>
      <c r="N348" s="493">
        <f>N332*地域経済性分析・初期条件!$F$38</f>
        <v>4013419.5618278896</v>
      </c>
      <c r="O348" s="493">
        <f>O332*地域経済性分析・初期条件!$F$38</f>
        <v>4013419.5618278896</v>
      </c>
      <c r="P348" s="493">
        <f>P332*地域経済性分析・初期条件!$F$38</f>
        <v>4013419.5618278896</v>
      </c>
      <c r="Q348" s="493">
        <f>Q332*地域経済性分析・初期条件!$F$38</f>
        <v>4013419.5618278896</v>
      </c>
      <c r="R348" s="493">
        <f>R332*地域経済性分析・初期条件!$F$38</f>
        <v>4013419.5618278896</v>
      </c>
      <c r="S348" s="493">
        <f>S332*地域経済性分析・初期条件!$F$38</f>
        <v>4013419.5618278896</v>
      </c>
      <c r="T348" s="493">
        <f>T332*地域経済性分析・初期条件!$F$38</f>
        <v>4013419.5618278896</v>
      </c>
      <c r="U348" s="493">
        <f>U332*地域経済性分析・初期条件!$F$38</f>
        <v>4013419.5618278896</v>
      </c>
      <c r="V348" s="493">
        <f>V332*地域経済性分析・初期条件!$F$38</f>
        <v>4013419.5618278896</v>
      </c>
      <c r="W348" s="493">
        <f>W332*地域経済性分析・初期条件!$F$38</f>
        <v>4013419.5618278896</v>
      </c>
      <c r="X348" s="493">
        <f>X332*地域経済性分析・初期条件!$F$38</f>
        <v>4013419.5618278896</v>
      </c>
      <c r="Y348" s="493">
        <f>Y332*地域経済性分析・初期条件!$F$38</f>
        <v>4013419.5618278896</v>
      </c>
      <c r="Z348" s="493">
        <f>Z332*地域経済性分析・初期条件!$F$38</f>
        <v>4013419.5618278896</v>
      </c>
      <c r="AA348" s="493">
        <f>AA332*地域経済性分析・初期条件!$F$38</f>
        <v>4013419.5618278896</v>
      </c>
      <c r="AB348" s="493">
        <f>AB332*地域経済性分析・初期条件!$F$38</f>
        <v>4013419.5618278896</v>
      </c>
      <c r="AC348" s="493">
        <f>AC332*地域経済性分析・初期条件!$F$38</f>
        <v>4013419.5618278896</v>
      </c>
      <c r="AD348" s="493">
        <f>AD332*地域経済性分析・初期条件!$F$38</f>
        <v>4013419.5618278896</v>
      </c>
      <c r="AE348" s="493">
        <f>AE332*地域経済性分析・初期条件!$F$38</f>
        <v>4013419.5618278896</v>
      </c>
      <c r="AF348" s="493">
        <f>AF332*地域経済性分析・初期条件!$F$38</f>
        <v>4013419.5618278896</v>
      </c>
      <c r="AG348" s="493">
        <f>AG332*地域経済性分析・初期条件!$F$38</f>
        <v>4013419.5618278896</v>
      </c>
      <c r="AH348" s="493">
        <f>AH332*地域経済性分析・初期条件!$F$38</f>
        <v>4013419.5618278896</v>
      </c>
      <c r="AI348" s="535">
        <f t="shared" ref="AI348:AI356" si="421">SUM(D348:N348)</f>
        <v>40134195.618278898</v>
      </c>
      <c r="AJ348" s="535">
        <f>SUM(D348:X348)</f>
        <v>80268391.236557782</v>
      </c>
      <c r="AK348" s="497">
        <f>SUM(D348:AH348)</f>
        <v>120402586.85483661</v>
      </c>
    </row>
    <row r="349" spans="1:37" ht="11.5" x14ac:dyDescent="0.25">
      <c r="A349" s="533"/>
      <c r="B349" s="439" t="s">
        <v>1136</v>
      </c>
      <c r="C349" s="451" t="s">
        <v>37</v>
      </c>
      <c r="D349" s="493">
        <f>D348*波及効果シート!$D$72</f>
        <v>0</v>
      </c>
      <c r="E349" s="493">
        <f>E348*波及効果シート!$D$72</f>
        <v>44147.615180106783</v>
      </c>
      <c r="F349" s="493">
        <f>F348*波及効果シート!$D$72</f>
        <v>44147.615180106783</v>
      </c>
      <c r="G349" s="493">
        <f>G348*波及効果シート!$D$72</f>
        <v>44147.615180106783</v>
      </c>
      <c r="H349" s="493">
        <f>H348*波及効果シート!$D$72</f>
        <v>44147.615180106783</v>
      </c>
      <c r="I349" s="493">
        <f>I348*波及効果シート!$D$72</f>
        <v>44147.615180106783</v>
      </c>
      <c r="J349" s="493">
        <f>J348*波及効果シート!$D$72</f>
        <v>44147.615180106783</v>
      </c>
      <c r="K349" s="493">
        <f>K348*波及効果シート!$D$72</f>
        <v>44147.615180106783</v>
      </c>
      <c r="L349" s="493">
        <f>L348*波及効果シート!$D$72</f>
        <v>44147.615180106783</v>
      </c>
      <c r="M349" s="493">
        <f>M348*波及効果シート!$D$72</f>
        <v>44147.615180106783</v>
      </c>
      <c r="N349" s="493">
        <f>N348*波及効果シート!$D$72</f>
        <v>44147.615180106783</v>
      </c>
      <c r="O349" s="493">
        <f>O348*波及効果シート!$D$72</f>
        <v>44147.615180106783</v>
      </c>
      <c r="P349" s="493">
        <f>P348*波及効果シート!$D$72</f>
        <v>44147.615180106783</v>
      </c>
      <c r="Q349" s="493">
        <f>Q348*波及効果シート!$D$72</f>
        <v>44147.615180106783</v>
      </c>
      <c r="R349" s="493">
        <f>R348*波及効果シート!$D$72</f>
        <v>44147.615180106783</v>
      </c>
      <c r="S349" s="493">
        <f>S348*波及効果シート!$D$72</f>
        <v>44147.615180106783</v>
      </c>
      <c r="T349" s="493">
        <f>T348*波及効果シート!$D$72</f>
        <v>44147.615180106783</v>
      </c>
      <c r="U349" s="493">
        <f>U348*波及効果シート!$D$72</f>
        <v>44147.615180106783</v>
      </c>
      <c r="V349" s="493">
        <f>V348*波及効果シート!$D$72</f>
        <v>44147.615180106783</v>
      </c>
      <c r="W349" s="493">
        <f>W348*波及効果シート!$D$72</f>
        <v>44147.615180106783</v>
      </c>
      <c r="X349" s="493">
        <f>X348*波及効果シート!$D$72</f>
        <v>44147.615180106783</v>
      </c>
      <c r="Y349" s="493">
        <f>Y348*波及効果シート!$D$72</f>
        <v>44147.615180106783</v>
      </c>
      <c r="Z349" s="493">
        <f>Z348*波及効果シート!$D$72</f>
        <v>44147.615180106783</v>
      </c>
      <c r="AA349" s="493">
        <f>AA348*波及効果シート!$D$72</f>
        <v>44147.615180106783</v>
      </c>
      <c r="AB349" s="493">
        <f>AB348*波及効果シート!$D$72</f>
        <v>44147.615180106783</v>
      </c>
      <c r="AC349" s="493">
        <f>AC348*波及効果シート!$D$72</f>
        <v>44147.615180106783</v>
      </c>
      <c r="AD349" s="493">
        <f>AD348*波及効果シート!$D$72</f>
        <v>44147.615180106783</v>
      </c>
      <c r="AE349" s="493">
        <f>AE348*波及効果シート!$D$72</f>
        <v>44147.615180106783</v>
      </c>
      <c r="AF349" s="493">
        <f>AF348*波及効果シート!$D$72</f>
        <v>44147.615180106783</v>
      </c>
      <c r="AG349" s="493">
        <f>AG348*波及効果シート!$D$72</f>
        <v>44147.615180106783</v>
      </c>
      <c r="AH349" s="493">
        <f>AH348*波及効果シート!$D$72</f>
        <v>44147.615180106783</v>
      </c>
      <c r="AI349" s="535">
        <f t="shared" ref="AI349:AI350" si="422">SUM(D349:N349)</f>
        <v>441476.15180106781</v>
      </c>
      <c r="AJ349" s="535">
        <f t="shared" ref="AJ349:AJ350" si="423">SUM(D349:X349)</f>
        <v>882952.30360213609</v>
      </c>
      <c r="AK349" s="497">
        <f t="shared" ref="AK349:AK350" si="424">SUM(D349:AH349)</f>
        <v>1324428.4554032043</v>
      </c>
    </row>
    <row r="350" spans="1:37" ht="11.5" x14ac:dyDescent="0.25">
      <c r="A350" s="533"/>
      <c r="B350" s="439" t="s">
        <v>1137</v>
      </c>
      <c r="C350" s="452" t="s">
        <v>37</v>
      </c>
      <c r="D350" s="493">
        <f>D348*波及効果シート!$D$74</f>
        <v>0</v>
      </c>
      <c r="E350" s="493">
        <f>E348*波及効果シート!$D$74</f>
        <v>44147.615180106783</v>
      </c>
      <c r="F350" s="493">
        <f>F348*波及効果シート!$D$74</f>
        <v>44147.615180106783</v>
      </c>
      <c r="G350" s="493">
        <f>G348*波及効果シート!$D$74</f>
        <v>44147.615180106783</v>
      </c>
      <c r="H350" s="493">
        <f>H348*波及効果シート!$D$74</f>
        <v>44147.615180106783</v>
      </c>
      <c r="I350" s="493">
        <f>I348*波及効果シート!$D$74</f>
        <v>44147.615180106783</v>
      </c>
      <c r="J350" s="493">
        <f>J348*波及効果シート!$D$74</f>
        <v>44147.615180106783</v>
      </c>
      <c r="K350" s="493">
        <f>K348*波及効果シート!$D$74</f>
        <v>44147.615180106783</v>
      </c>
      <c r="L350" s="493">
        <f>L348*波及効果シート!$D$74</f>
        <v>44147.615180106783</v>
      </c>
      <c r="M350" s="493">
        <f>M348*波及効果シート!$D$74</f>
        <v>44147.615180106783</v>
      </c>
      <c r="N350" s="493">
        <f>N348*波及効果シート!$D$74</f>
        <v>44147.615180106783</v>
      </c>
      <c r="O350" s="493">
        <f>O348*波及効果シート!$D$74</f>
        <v>44147.615180106783</v>
      </c>
      <c r="P350" s="493">
        <f>P348*波及効果シート!$D$74</f>
        <v>44147.615180106783</v>
      </c>
      <c r="Q350" s="493">
        <f>Q348*波及効果シート!$D$74</f>
        <v>44147.615180106783</v>
      </c>
      <c r="R350" s="493">
        <f>R348*波及効果シート!$D$74</f>
        <v>44147.615180106783</v>
      </c>
      <c r="S350" s="493">
        <f>S348*波及効果シート!$D$74</f>
        <v>44147.615180106783</v>
      </c>
      <c r="T350" s="493">
        <f>T348*波及効果シート!$D$74</f>
        <v>44147.615180106783</v>
      </c>
      <c r="U350" s="493">
        <f>U348*波及効果シート!$D$74</f>
        <v>44147.615180106783</v>
      </c>
      <c r="V350" s="493">
        <f>V348*波及効果シート!$D$74</f>
        <v>44147.615180106783</v>
      </c>
      <c r="W350" s="493">
        <f>W348*波及効果シート!$D$74</f>
        <v>44147.615180106783</v>
      </c>
      <c r="X350" s="493">
        <f>X348*波及効果シート!$D$74</f>
        <v>44147.615180106783</v>
      </c>
      <c r="Y350" s="493">
        <f>Y348*波及効果シート!$D$74</f>
        <v>44147.615180106783</v>
      </c>
      <c r="Z350" s="493">
        <f>Z348*波及効果シート!$D$74</f>
        <v>44147.615180106783</v>
      </c>
      <c r="AA350" s="493">
        <f>AA348*波及効果シート!$D$74</f>
        <v>44147.615180106783</v>
      </c>
      <c r="AB350" s="493">
        <f>AB348*波及効果シート!$D$74</f>
        <v>44147.615180106783</v>
      </c>
      <c r="AC350" s="493">
        <f>AC348*波及効果シート!$D$74</f>
        <v>44147.615180106783</v>
      </c>
      <c r="AD350" s="493">
        <f>AD348*波及効果シート!$D$74</f>
        <v>44147.615180106783</v>
      </c>
      <c r="AE350" s="493">
        <f>AE348*波及効果シート!$D$74</f>
        <v>44147.615180106783</v>
      </c>
      <c r="AF350" s="493">
        <f>AF348*波及効果シート!$D$74</f>
        <v>44147.615180106783</v>
      </c>
      <c r="AG350" s="493">
        <f>AG348*波及効果シート!$D$74</f>
        <v>44147.615180106783</v>
      </c>
      <c r="AH350" s="493">
        <f>AH348*波及効果シート!$D$74</f>
        <v>44147.615180106783</v>
      </c>
      <c r="AI350" s="535">
        <f t="shared" si="422"/>
        <v>441476.15180106781</v>
      </c>
      <c r="AJ350" s="535">
        <f t="shared" si="423"/>
        <v>882952.30360213609</v>
      </c>
      <c r="AK350" s="497">
        <f t="shared" si="424"/>
        <v>1324428.4554032043</v>
      </c>
    </row>
    <row r="351" spans="1:37" ht="11.5" x14ac:dyDescent="0.25">
      <c r="A351" s="533" t="str">
        <f>A347&amp;B351</f>
        <v>損害保険業所得税（国税）</v>
      </c>
      <c r="B351" s="439" t="s">
        <v>351</v>
      </c>
      <c r="C351" s="452" t="s">
        <v>333</v>
      </c>
      <c r="D351" s="493">
        <f>D348*地域経済性分析・初期条件!$P$38</f>
        <v>0</v>
      </c>
      <c r="E351" s="493">
        <f>E348*地域経済性分析・初期条件!$P$38</f>
        <v>802683.912365578</v>
      </c>
      <c r="F351" s="493">
        <f>F348*地域経済性分析・初期条件!$P$38</f>
        <v>802683.912365578</v>
      </c>
      <c r="G351" s="493">
        <f>G348*地域経済性分析・初期条件!$P$38</f>
        <v>802683.912365578</v>
      </c>
      <c r="H351" s="493">
        <f>H348*地域経済性分析・初期条件!$P$38</f>
        <v>802683.912365578</v>
      </c>
      <c r="I351" s="493">
        <f>I348*地域経済性分析・初期条件!$P$38</f>
        <v>802683.912365578</v>
      </c>
      <c r="J351" s="493">
        <f>J348*地域経済性分析・初期条件!$P$38</f>
        <v>802683.912365578</v>
      </c>
      <c r="K351" s="493">
        <f>K348*地域経済性分析・初期条件!$P$38</f>
        <v>802683.912365578</v>
      </c>
      <c r="L351" s="493">
        <f>L348*地域経済性分析・初期条件!$P$38</f>
        <v>802683.912365578</v>
      </c>
      <c r="M351" s="493">
        <f>M348*地域経済性分析・初期条件!$P$38</f>
        <v>802683.912365578</v>
      </c>
      <c r="N351" s="493">
        <f>N348*地域経済性分析・初期条件!$P$38</f>
        <v>802683.912365578</v>
      </c>
      <c r="O351" s="493">
        <f>O348*地域経済性分析・初期条件!$P$38</f>
        <v>802683.912365578</v>
      </c>
      <c r="P351" s="493">
        <f>P348*地域経済性分析・初期条件!$P$38</f>
        <v>802683.912365578</v>
      </c>
      <c r="Q351" s="493">
        <f>Q348*地域経済性分析・初期条件!$P$38</f>
        <v>802683.912365578</v>
      </c>
      <c r="R351" s="493">
        <f>R348*地域経済性分析・初期条件!$P$38</f>
        <v>802683.912365578</v>
      </c>
      <c r="S351" s="493">
        <f>S348*地域経済性分析・初期条件!$P$38</f>
        <v>802683.912365578</v>
      </c>
      <c r="T351" s="493">
        <f>T348*地域経済性分析・初期条件!$P$38</f>
        <v>802683.912365578</v>
      </c>
      <c r="U351" s="493">
        <f>U348*地域経済性分析・初期条件!$P$38</f>
        <v>802683.912365578</v>
      </c>
      <c r="V351" s="493">
        <f>V348*地域経済性分析・初期条件!$P$38</f>
        <v>802683.912365578</v>
      </c>
      <c r="W351" s="493">
        <f>W348*地域経済性分析・初期条件!$P$38</f>
        <v>802683.912365578</v>
      </c>
      <c r="X351" s="493">
        <f>X348*地域経済性分析・初期条件!$P$38</f>
        <v>802683.912365578</v>
      </c>
      <c r="Y351" s="493">
        <f>Y348*地域経済性分析・初期条件!$P$38</f>
        <v>802683.912365578</v>
      </c>
      <c r="Z351" s="493">
        <f>Z348*地域経済性分析・初期条件!$P$38</f>
        <v>802683.912365578</v>
      </c>
      <c r="AA351" s="493">
        <f>AA348*地域経済性分析・初期条件!$P$38</f>
        <v>802683.912365578</v>
      </c>
      <c r="AB351" s="493">
        <f>AB348*地域経済性分析・初期条件!$P$38</f>
        <v>802683.912365578</v>
      </c>
      <c r="AC351" s="493">
        <f>AC348*地域経済性分析・初期条件!$P$38</f>
        <v>802683.912365578</v>
      </c>
      <c r="AD351" s="493">
        <f>AD348*地域経済性分析・初期条件!$P$38</f>
        <v>802683.912365578</v>
      </c>
      <c r="AE351" s="493">
        <f>AE348*地域経済性分析・初期条件!$P$38</f>
        <v>802683.912365578</v>
      </c>
      <c r="AF351" s="493">
        <f>AF348*地域経済性分析・初期条件!$P$38</f>
        <v>802683.912365578</v>
      </c>
      <c r="AG351" s="493">
        <f>AG348*地域経済性分析・初期条件!$P$38</f>
        <v>802683.912365578</v>
      </c>
      <c r="AH351" s="493">
        <f>AH348*地域経済性分析・初期条件!$P$38</f>
        <v>802683.912365578</v>
      </c>
      <c r="AI351" s="535">
        <f t="shared" si="421"/>
        <v>8026839.1236557802</v>
      </c>
      <c r="AJ351" s="535">
        <f>SUM(D351:X351)</f>
        <v>16053678.24731156</v>
      </c>
      <c r="AK351" s="497">
        <f>SUM(D351:AH351)</f>
        <v>24080517.37096734</v>
      </c>
    </row>
    <row r="352" spans="1:37" ht="11.5" x14ac:dyDescent="0.25">
      <c r="A352" s="533" t="str">
        <f>A347&amp;B352</f>
        <v>損害保険業法人税（国税）</v>
      </c>
      <c r="B352" s="439" t="s">
        <v>350</v>
      </c>
      <c r="C352" s="452" t="s">
        <v>333</v>
      </c>
      <c r="D352" s="493">
        <f>D348*地域経済性分析・初期条件!$Q$38</f>
        <v>0</v>
      </c>
      <c r="E352" s="493">
        <f>E348*地域経済性分析・初期条件!$Q$38</f>
        <v>602012.93427418347</v>
      </c>
      <c r="F352" s="493">
        <f>F348*地域経済性分析・初期条件!$Q$38</f>
        <v>602012.93427418347</v>
      </c>
      <c r="G352" s="493">
        <f>G348*地域経済性分析・初期条件!$Q$38</f>
        <v>602012.93427418347</v>
      </c>
      <c r="H352" s="493">
        <f>H348*地域経済性分析・初期条件!$Q$38</f>
        <v>602012.93427418347</v>
      </c>
      <c r="I352" s="493">
        <f>I348*地域経済性分析・初期条件!$Q$38</f>
        <v>602012.93427418347</v>
      </c>
      <c r="J352" s="493">
        <f>J348*地域経済性分析・初期条件!$Q$38</f>
        <v>602012.93427418347</v>
      </c>
      <c r="K352" s="493">
        <f>K348*地域経済性分析・初期条件!$Q$38</f>
        <v>602012.93427418347</v>
      </c>
      <c r="L352" s="493">
        <f>L348*地域経済性分析・初期条件!$Q$38</f>
        <v>602012.93427418347</v>
      </c>
      <c r="M352" s="493">
        <f>M348*地域経済性分析・初期条件!$Q$38</f>
        <v>602012.93427418347</v>
      </c>
      <c r="N352" s="493">
        <f>N348*地域経済性分析・初期条件!$Q$38</f>
        <v>602012.93427418347</v>
      </c>
      <c r="O352" s="493">
        <f>O348*地域経済性分析・初期条件!$Q$38</f>
        <v>602012.93427418347</v>
      </c>
      <c r="P352" s="493">
        <f>P348*地域経済性分析・初期条件!$Q$38</f>
        <v>602012.93427418347</v>
      </c>
      <c r="Q352" s="493">
        <f>Q348*地域経済性分析・初期条件!$Q$38</f>
        <v>602012.93427418347</v>
      </c>
      <c r="R352" s="493">
        <f>R348*地域経済性分析・初期条件!$Q$38</f>
        <v>602012.93427418347</v>
      </c>
      <c r="S352" s="493">
        <f>S348*地域経済性分析・初期条件!$Q$38</f>
        <v>602012.93427418347</v>
      </c>
      <c r="T352" s="493">
        <f>T348*地域経済性分析・初期条件!$Q$38</f>
        <v>602012.93427418347</v>
      </c>
      <c r="U352" s="493">
        <f>U348*地域経済性分析・初期条件!$Q$38</f>
        <v>602012.93427418347</v>
      </c>
      <c r="V352" s="493">
        <f>V348*地域経済性分析・初期条件!$Q$38</f>
        <v>602012.93427418347</v>
      </c>
      <c r="W352" s="493">
        <f>W348*地域経済性分析・初期条件!$Q$38</f>
        <v>602012.93427418347</v>
      </c>
      <c r="X352" s="493">
        <f>X348*地域経済性分析・初期条件!$Q$38</f>
        <v>602012.93427418347</v>
      </c>
      <c r="Y352" s="493">
        <f>Y348*地域経済性分析・初期条件!$Q$38</f>
        <v>602012.93427418347</v>
      </c>
      <c r="Z352" s="493">
        <f>Z348*地域経済性分析・初期条件!$Q$38</f>
        <v>602012.93427418347</v>
      </c>
      <c r="AA352" s="493">
        <f>AA348*地域経済性分析・初期条件!$Q$38</f>
        <v>602012.93427418347</v>
      </c>
      <c r="AB352" s="493">
        <f>AB348*地域経済性分析・初期条件!$Q$38</f>
        <v>602012.93427418347</v>
      </c>
      <c r="AC352" s="493">
        <f>AC348*地域経済性分析・初期条件!$Q$38</f>
        <v>602012.93427418347</v>
      </c>
      <c r="AD352" s="493">
        <f>AD348*地域経済性分析・初期条件!$Q$38</f>
        <v>602012.93427418347</v>
      </c>
      <c r="AE352" s="493">
        <f>AE348*地域経済性分析・初期条件!$Q$38</f>
        <v>602012.93427418347</v>
      </c>
      <c r="AF352" s="493">
        <f>AF348*地域経済性分析・初期条件!$Q$38</f>
        <v>602012.93427418347</v>
      </c>
      <c r="AG352" s="493">
        <f>AG348*地域経済性分析・初期条件!$Q$38</f>
        <v>602012.93427418347</v>
      </c>
      <c r="AH352" s="493">
        <f>AH348*地域経済性分析・初期条件!$Q$38</f>
        <v>602012.93427418347</v>
      </c>
      <c r="AI352" s="535">
        <f t="shared" si="421"/>
        <v>6020129.3427418349</v>
      </c>
      <c r="AJ352" s="535">
        <f>SUM(D352:X352)</f>
        <v>12040258.68548367</v>
      </c>
      <c r="AK352" s="497">
        <f>SUM(D352:AH352)</f>
        <v>18060388.0282255</v>
      </c>
    </row>
    <row r="353" spans="1:37" ht="11.5" x14ac:dyDescent="0.25">
      <c r="A353" s="533" t="str">
        <f>A347&amp;B353</f>
        <v>損害保険業従業員の可処分所得（一次）</v>
      </c>
      <c r="B353" s="439" t="s">
        <v>329</v>
      </c>
      <c r="C353" s="451" t="s">
        <v>37</v>
      </c>
      <c r="D353" s="493">
        <f>D348*地域経済性分析・初期条件!$H$38</f>
        <v>0</v>
      </c>
      <c r="E353" s="493">
        <f>E348*地域経済性分析・初期条件!$H$38</f>
        <v>197260.52223213794</v>
      </c>
      <c r="F353" s="493">
        <f>F348*地域経済性分析・初期条件!$H$38</f>
        <v>197260.52223213794</v>
      </c>
      <c r="G353" s="493">
        <f>G348*地域経済性分析・初期条件!$H$38</f>
        <v>197260.52223213794</v>
      </c>
      <c r="H353" s="493">
        <f>H348*地域経済性分析・初期条件!$H$38</f>
        <v>197260.52223213794</v>
      </c>
      <c r="I353" s="493">
        <f>I348*地域経済性分析・初期条件!$H$38</f>
        <v>197260.52223213794</v>
      </c>
      <c r="J353" s="493">
        <f>J348*地域経済性分析・初期条件!$H$38</f>
        <v>197260.52223213794</v>
      </c>
      <c r="K353" s="493">
        <f>K348*地域経済性分析・初期条件!$H$38</f>
        <v>197260.52223213794</v>
      </c>
      <c r="L353" s="493">
        <f>L348*地域経済性分析・初期条件!$H$38</f>
        <v>197260.52223213794</v>
      </c>
      <c r="M353" s="493">
        <f>M348*地域経済性分析・初期条件!$H$38</f>
        <v>197260.52223213794</v>
      </c>
      <c r="N353" s="493">
        <f>N348*地域経済性分析・初期条件!$H$38</f>
        <v>197260.52223213794</v>
      </c>
      <c r="O353" s="493">
        <f>O348*地域経済性分析・初期条件!$H$38</f>
        <v>197260.52223213794</v>
      </c>
      <c r="P353" s="493">
        <f>P348*地域経済性分析・初期条件!$H$38</f>
        <v>197260.52223213794</v>
      </c>
      <c r="Q353" s="493">
        <f>Q348*地域経済性分析・初期条件!$H$38</f>
        <v>197260.52223213794</v>
      </c>
      <c r="R353" s="493">
        <f>R348*地域経済性分析・初期条件!$H$38</f>
        <v>197260.52223213794</v>
      </c>
      <c r="S353" s="493">
        <f>S348*地域経済性分析・初期条件!$H$38</f>
        <v>197260.52223213794</v>
      </c>
      <c r="T353" s="493">
        <f>T348*地域経済性分析・初期条件!$H$38</f>
        <v>197260.52223213794</v>
      </c>
      <c r="U353" s="493">
        <f>U348*地域経済性分析・初期条件!$H$38</f>
        <v>197260.52223213794</v>
      </c>
      <c r="V353" s="493">
        <f>V348*地域経済性分析・初期条件!$H$38</f>
        <v>197260.52223213794</v>
      </c>
      <c r="W353" s="493">
        <f>W348*地域経済性分析・初期条件!$H$38</f>
        <v>197260.52223213794</v>
      </c>
      <c r="X353" s="493">
        <f>X348*地域経済性分析・初期条件!$H$38</f>
        <v>197260.52223213794</v>
      </c>
      <c r="Y353" s="493">
        <f>Y348*地域経済性分析・初期条件!$H$38</f>
        <v>197260.52223213794</v>
      </c>
      <c r="Z353" s="493">
        <f>Z348*地域経済性分析・初期条件!$H$38</f>
        <v>197260.52223213794</v>
      </c>
      <c r="AA353" s="493">
        <f>AA348*地域経済性分析・初期条件!$H$38</f>
        <v>197260.52223213794</v>
      </c>
      <c r="AB353" s="493">
        <f>AB348*地域経済性分析・初期条件!$H$38</f>
        <v>197260.52223213794</v>
      </c>
      <c r="AC353" s="493">
        <f>AC348*地域経済性分析・初期条件!$H$38</f>
        <v>197260.52223213794</v>
      </c>
      <c r="AD353" s="493">
        <f>AD348*地域経済性分析・初期条件!$H$38</f>
        <v>197260.52223213794</v>
      </c>
      <c r="AE353" s="493">
        <f>AE348*地域経済性分析・初期条件!$H$38</f>
        <v>197260.52223213794</v>
      </c>
      <c r="AF353" s="493">
        <f>AF348*地域経済性分析・初期条件!$H$38</f>
        <v>197260.52223213794</v>
      </c>
      <c r="AG353" s="493">
        <f>AG348*地域経済性分析・初期条件!$H$38</f>
        <v>197260.52223213794</v>
      </c>
      <c r="AH353" s="493">
        <f>AH348*地域経済性分析・初期条件!$H$38</f>
        <v>197260.52223213794</v>
      </c>
      <c r="AI353" s="535">
        <f t="shared" si="421"/>
        <v>1972605.222321379</v>
      </c>
      <c r="AJ353" s="535">
        <f t="shared" ref="AJ353:AJ360" si="425">SUM(D353:X353)</f>
        <v>3945210.4446427599</v>
      </c>
      <c r="AK353" s="497">
        <f t="shared" ref="AK353:AK360" si="426">SUM(D353:AH353)</f>
        <v>5917815.666964137</v>
      </c>
    </row>
    <row r="354" spans="1:37" ht="11.5" x14ac:dyDescent="0.25">
      <c r="A354" s="533" t="str">
        <f>A347&amp;B354</f>
        <v>損害保険業企業の税引後利益（一次）</v>
      </c>
      <c r="B354" s="439" t="s">
        <v>330</v>
      </c>
      <c r="C354" s="451" t="s">
        <v>37</v>
      </c>
      <c r="D354" s="493">
        <f>D348*地域経済性分析・初期条件!$I$38</f>
        <v>0</v>
      </c>
      <c r="E354" s="493">
        <f>E348*地域経済性分析・初期条件!$I$38</f>
        <v>215193.60532243655</v>
      </c>
      <c r="F354" s="493">
        <f>F348*地域経済性分析・初期条件!$I$38</f>
        <v>215193.60532243655</v>
      </c>
      <c r="G354" s="493">
        <f>G348*地域経済性分析・初期条件!$I$38</f>
        <v>215193.60532243655</v>
      </c>
      <c r="H354" s="493">
        <f>H348*地域経済性分析・初期条件!$I$38</f>
        <v>215193.60532243655</v>
      </c>
      <c r="I354" s="493">
        <f>I348*地域経済性分析・初期条件!$I$38</f>
        <v>215193.60532243655</v>
      </c>
      <c r="J354" s="493">
        <f>J348*地域経済性分析・初期条件!$I$38</f>
        <v>215193.60532243655</v>
      </c>
      <c r="K354" s="493">
        <f>K348*地域経済性分析・初期条件!$I$38</f>
        <v>215193.60532243655</v>
      </c>
      <c r="L354" s="493">
        <f>L348*地域経済性分析・初期条件!$I$38</f>
        <v>215193.60532243655</v>
      </c>
      <c r="M354" s="493">
        <f>M348*地域経済性分析・初期条件!$I$38</f>
        <v>215193.60532243655</v>
      </c>
      <c r="N354" s="493">
        <f>N348*地域経済性分析・初期条件!$I$38</f>
        <v>215193.60532243655</v>
      </c>
      <c r="O354" s="493">
        <f>O348*地域経済性分析・初期条件!$I$38</f>
        <v>215193.60532243655</v>
      </c>
      <c r="P354" s="493">
        <f>P348*地域経済性分析・初期条件!$I$38</f>
        <v>215193.60532243655</v>
      </c>
      <c r="Q354" s="493">
        <f>Q348*地域経済性分析・初期条件!$I$38</f>
        <v>215193.60532243655</v>
      </c>
      <c r="R354" s="493">
        <f>R348*地域経済性分析・初期条件!$I$38</f>
        <v>215193.60532243655</v>
      </c>
      <c r="S354" s="493">
        <f>S348*地域経済性分析・初期条件!$I$38</f>
        <v>215193.60532243655</v>
      </c>
      <c r="T354" s="493">
        <f>T348*地域経済性分析・初期条件!$I$38</f>
        <v>215193.60532243655</v>
      </c>
      <c r="U354" s="493">
        <f>U348*地域経済性分析・初期条件!$I$38</f>
        <v>215193.60532243655</v>
      </c>
      <c r="V354" s="493">
        <f>V348*地域経済性分析・初期条件!$I$38</f>
        <v>215193.60532243655</v>
      </c>
      <c r="W354" s="493">
        <f>W348*地域経済性分析・初期条件!$I$38</f>
        <v>215193.60532243655</v>
      </c>
      <c r="X354" s="493">
        <f>X348*地域経済性分析・初期条件!$I$38</f>
        <v>215193.60532243655</v>
      </c>
      <c r="Y354" s="493">
        <f>Y348*地域経済性分析・初期条件!$I$38</f>
        <v>215193.60532243655</v>
      </c>
      <c r="Z354" s="493">
        <f>Z348*地域経済性分析・初期条件!$I$38</f>
        <v>215193.60532243655</v>
      </c>
      <c r="AA354" s="493">
        <f>AA348*地域経済性分析・初期条件!$I$38</f>
        <v>215193.60532243655</v>
      </c>
      <c r="AB354" s="493">
        <f>AB348*地域経済性分析・初期条件!$I$38</f>
        <v>215193.60532243655</v>
      </c>
      <c r="AC354" s="493">
        <f>AC348*地域経済性分析・初期条件!$I$38</f>
        <v>215193.60532243655</v>
      </c>
      <c r="AD354" s="493">
        <f>AD348*地域経済性分析・初期条件!$I$38</f>
        <v>215193.60532243655</v>
      </c>
      <c r="AE354" s="493">
        <f>AE348*地域経済性分析・初期条件!$I$38</f>
        <v>215193.60532243655</v>
      </c>
      <c r="AF354" s="493">
        <f>AF348*地域経済性分析・初期条件!$I$38</f>
        <v>215193.60532243655</v>
      </c>
      <c r="AG354" s="493">
        <f>AG348*地域経済性分析・初期条件!$I$38</f>
        <v>215193.60532243655</v>
      </c>
      <c r="AH354" s="493">
        <f>AH348*地域経済性分析・初期条件!$I$38</f>
        <v>215193.60532243655</v>
      </c>
      <c r="AI354" s="535">
        <f t="shared" si="421"/>
        <v>2151936.0532243648</v>
      </c>
      <c r="AJ354" s="535">
        <f t="shared" si="425"/>
        <v>4303872.1064487295</v>
      </c>
      <c r="AK354" s="497">
        <f t="shared" si="426"/>
        <v>6455808.1596730938</v>
      </c>
    </row>
    <row r="355" spans="1:37" ht="11.5" x14ac:dyDescent="0.25">
      <c r="A355" s="533" t="str">
        <f>A347&amp;B355</f>
        <v>損害保険業都道府県税収（一次）</v>
      </c>
      <c r="B355" s="439" t="s">
        <v>331</v>
      </c>
      <c r="C355" s="451" t="s">
        <v>37</v>
      </c>
      <c r="D355" s="493">
        <f>D348*地域経済性分析・初期条件!$J$38</f>
        <v>0</v>
      </c>
      <c r="E355" s="493">
        <f>E348*地域経済性分析・初期条件!$J$38</f>
        <v>45744.874504482788</v>
      </c>
      <c r="F355" s="493">
        <f>F348*地域経済性分析・初期条件!$J$38</f>
        <v>45744.874504482788</v>
      </c>
      <c r="G355" s="493">
        <f>G348*地域経済性分析・初期条件!$J$38</f>
        <v>45744.874504482788</v>
      </c>
      <c r="H355" s="493">
        <f>H348*地域経済性分析・初期条件!$J$38</f>
        <v>45744.874504482788</v>
      </c>
      <c r="I355" s="493">
        <f>I348*地域経済性分析・初期条件!$J$38</f>
        <v>45744.874504482788</v>
      </c>
      <c r="J355" s="493">
        <f>J348*地域経済性分析・初期条件!$J$38</f>
        <v>45744.874504482788</v>
      </c>
      <c r="K355" s="493">
        <f>K348*地域経済性分析・初期条件!$J$38</f>
        <v>45744.874504482788</v>
      </c>
      <c r="L355" s="493">
        <f>L348*地域経済性分析・初期条件!$J$38</f>
        <v>45744.874504482788</v>
      </c>
      <c r="M355" s="493">
        <f>M348*地域経済性分析・初期条件!$J$38</f>
        <v>45744.874504482788</v>
      </c>
      <c r="N355" s="493">
        <f>N348*地域経済性分析・初期条件!$J$38</f>
        <v>45744.874504482788</v>
      </c>
      <c r="O355" s="493">
        <f>O348*地域経済性分析・初期条件!$J$38</f>
        <v>45744.874504482788</v>
      </c>
      <c r="P355" s="493">
        <f>P348*地域経済性分析・初期条件!$J$38</f>
        <v>45744.874504482788</v>
      </c>
      <c r="Q355" s="493">
        <f>Q348*地域経済性分析・初期条件!$J$38</f>
        <v>45744.874504482788</v>
      </c>
      <c r="R355" s="493">
        <f>R348*地域経済性分析・初期条件!$J$38</f>
        <v>45744.874504482788</v>
      </c>
      <c r="S355" s="493">
        <f>S348*地域経済性分析・初期条件!$J$38</f>
        <v>45744.874504482788</v>
      </c>
      <c r="T355" s="493">
        <f>T348*地域経済性分析・初期条件!$J$38</f>
        <v>45744.874504482788</v>
      </c>
      <c r="U355" s="493">
        <f>U348*地域経済性分析・初期条件!$J$38</f>
        <v>45744.874504482788</v>
      </c>
      <c r="V355" s="493">
        <f>V348*地域経済性分析・初期条件!$J$38</f>
        <v>45744.874504482788</v>
      </c>
      <c r="W355" s="493">
        <f>W348*地域経済性分析・初期条件!$J$38</f>
        <v>45744.874504482788</v>
      </c>
      <c r="X355" s="493">
        <f>X348*地域経済性分析・初期条件!$J$38</f>
        <v>45744.874504482788</v>
      </c>
      <c r="Y355" s="493">
        <f>Y348*地域経済性分析・初期条件!$J$38</f>
        <v>45744.874504482788</v>
      </c>
      <c r="Z355" s="493">
        <f>Z348*地域経済性分析・初期条件!$J$38</f>
        <v>45744.874504482788</v>
      </c>
      <c r="AA355" s="493">
        <f>AA348*地域経済性分析・初期条件!$J$38</f>
        <v>45744.874504482788</v>
      </c>
      <c r="AB355" s="493">
        <f>AB348*地域経済性分析・初期条件!$J$38</f>
        <v>45744.874504482788</v>
      </c>
      <c r="AC355" s="493">
        <f>AC348*地域経済性分析・初期条件!$J$38</f>
        <v>45744.874504482788</v>
      </c>
      <c r="AD355" s="493">
        <f>AD348*地域経済性分析・初期条件!$J$38</f>
        <v>45744.874504482788</v>
      </c>
      <c r="AE355" s="493">
        <f>AE348*地域経済性分析・初期条件!$J$38</f>
        <v>45744.874504482788</v>
      </c>
      <c r="AF355" s="493">
        <f>AF348*地域経済性分析・初期条件!$J$38</f>
        <v>45744.874504482788</v>
      </c>
      <c r="AG355" s="493">
        <f>AG348*地域経済性分析・初期条件!$J$38</f>
        <v>45744.874504482788</v>
      </c>
      <c r="AH355" s="493">
        <f>AH348*地域経済性分析・初期条件!$J$38</f>
        <v>45744.874504482788</v>
      </c>
      <c r="AI355" s="535">
        <f t="shared" si="421"/>
        <v>457448.74504482787</v>
      </c>
      <c r="AJ355" s="535">
        <f t="shared" si="425"/>
        <v>914897.4900896562</v>
      </c>
      <c r="AK355" s="497">
        <f t="shared" si="426"/>
        <v>1372346.2351344845</v>
      </c>
    </row>
    <row r="356" spans="1:37" ht="11.5" x14ac:dyDescent="0.25">
      <c r="A356" s="533" t="str">
        <f>A347&amp;B356</f>
        <v>損害保険業市町村税収（一次）</v>
      </c>
      <c r="B356" s="439" t="s">
        <v>332</v>
      </c>
      <c r="C356" s="452" t="s">
        <v>37</v>
      </c>
      <c r="D356" s="493">
        <f>D348*地域経済性分析・初期条件!$K$38</f>
        <v>0</v>
      </c>
      <c r="E356" s="493">
        <f>E348*地域経済性分析・初期条件!$K$38</f>
        <v>14926.228541155058</v>
      </c>
      <c r="F356" s="493">
        <f>F348*地域経済性分析・初期条件!$K$38</f>
        <v>14926.228541155058</v>
      </c>
      <c r="G356" s="493">
        <f>G348*地域経済性分析・初期条件!$K$38</f>
        <v>14926.228541155058</v>
      </c>
      <c r="H356" s="493">
        <f>H348*地域経済性分析・初期条件!$K$38</f>
        <v>14926.228541155058</v>
      </c>
      <c r="I356" s="493">
        <f>I348*地域経済性分析・初期条件!$K$38</f>
        <v>14926.228541155058</v>
      </c>
      <c r="J356" s="493">
        <f>J348*地域経済性分析・初期条件!$K$38</f>
        <v>14926.228541155058</v>
      </c>
      <c r="K356" s="493">
        <f>K348*地域経済性分析・初期条件!$K$38</f>
        <v>14926.228541155058</v>
      </c>
      <c r="L356" s="493">
        <f>L348*地域経済性分析・初期条件!$K$38</f>
        <v>14926.228541155058</v>
      </c>
      <c r="M356" s="493">
        <f>M348*地域経済性分析・初期条件!$K$38</f>
        <v>14926.228541155058</v>
      </c>
      <c r="N356" s="493">
        <f>N348*地域経済性分析・初期条件!$K$38</f>
        <v>14926.228541155058</v>
      </c>
      <c r="O356" s="493">
        <f>O348*地域経済性分析・初期条件!$K$38</f>
        <v>14926.228541155058</v>
      </c>
      <c r="P356" s="493">
        <f>P348*地域経済性分析・初期条件!$K$38</f>
        <v>14926.228541155058</v>
      </c>
      <c r="Q356" s="493">
        <f>Q348*地域経済性分析・初期条件!$K$38</f>
        <v>14926.228541155058</v>
      </c>
      <c r="R356" s="493">
        <f>R348*地域経済性分析・初期条件!$K$38</f>
        <v>14926.228541155058</v>
      </c>
      <c r="S356" s="493">
        <f>S348*地域経済性分析・初期条件!$K$38</f>
        <v>14926.228541155058</v>
      </c>
      <c r="T356" s="493">
        <f>T348*地域経済性分析・初期条件!$K$38</f>
        <v>14926.228541155058</v>
      </c>
      <c r="U356" s="493">
        <f>U348*地域経済性分析・初期条件!$K$38</f>
        <v>14926.228541155058</v>
      </c>
      <c r="V356" s="493">
        <f>V348*地域経済性分析・初期条件!$K$38</f>
        <v>14926.228541155058</v>
      </c>
      <c r="W356" s="493">
        <f>W348*地域経済性分析・初期条件!$K$38</f>
        <v>14926.228541155058</v>
      </c>
      <c r="X356" s="493">
        <f>X348*地域経済性分析・初期条件!$K$38</f>
        <v>14926.228541155058</v>
      </c>
      <c r="Y356" s="493">
        <f>Y348*地域経済性分析・初期条件!$K$38</f>
        <v>14926.228541155058</v>
      </c>
      <c r="Z356" s="493">
        <f>Z348*地域経済性分析・初期条件!$K$38</f>
        <v>14926.228541155058</v>
      </c>
      <c r="AA356" s="493">
        <f>AA348*地域経済性分析・初期条件!$K$38</f>
        <v>14926.228541155058</v>
      </c>
      <c r="AB356" s="493">
        <f>AB348*地域経済性分析・初期条件!$K$38</f>
        <v>14926.228541155058</v>
      </c>
      <c r="AC356" s="493">
        <f>AC348*地域経済性分析・初期条件!$K$38</f>
        <v>14926.228541155058</v>
      </c>
      <c r="AD356" s="493">
        <f>AD348*地域経済性分析・初期条件!$K$38</f>
        <v>14926.228541155058</v>
      </c>
      <c r="AE356" s="493">
        <f>AE348*地域経済性分析・初期条件!$K$38</f>
        <v>14926.228541155058</v>
      </c>
      <c r="AF356" s="493">
        <f>AF348*地域経済性分析・初期条件!$K$38</f>
        <v>14926.228541155058</v>
      </c>
      <c r="AG356" s="493">
        <f>AG348*地域経済性分析・初期条件!$K$38</f>
        <v>14926.228541155058</v>
      </c>
      <c r="AH356" s="493">
        <f>AH348*地域経済性分析・初期条件!$K$38</f>
        <v>14926.228541155058</v>
      </c>
      <c r="AI356" s="535">
        <f t="shared" si="421"/>
        <v>149262.28541155058</v>
      </c>
      <c r="AJ356" s="535">
        <f t="shared" si="425"/>
        <v>298524.57082310115</v>
      </c>
      <c r="AK356" s="497">
        <f t="shared" si="426"/>
        <v>447786.8562346517</v>
      </c>
    </row>
    <row r="357" spans="1:37" ht="11.5" x14ac:dyDescent="0.25">
      <c r="A357" s="533" t="str">
        <f>A347&amp;B357</f>
        <v>損害保険業従業員の可処分所得（二次以降）</v>
      </c>
      <c r="B357" s="439" t="s">
        <v>334</v>
      </c>
      <c r="C357" s="452" t="s">
        <v>333</v>
      </c>
      <c r="D357" s="493">
        <f>D348*地域経済性分析・初期条件!$L$38</f>
        <v>0</v>
      </c>
      <c r="E357" s="493">
        <f>E348*地域経済性分析・初期条件!$L$38</f>
        <v>167918.96905509292</v>
      </c>
      <c r="F357" s="493">
        <f>F348*地域経済性分析・初期条件!$L$38</f>
        <v>167918.96905509292</v>
      </c>
      <c r="G357" s="493">
        <f>G348*地域経済性分析・初期条件!$L$38</f>
        <v>167918.96905509292</v>
      </c>
      <c r="H357" s="493">
        <f>H348*地域経済性分析・初期条件!$L$38</f>
        <v>167918.96905509292</v>
      </c>
      <c r="I357" s="493">
        <f>I348*地域経済性分析・初期条件!$L$38</f>
        <v>167918.96905509292</v>
      </c>
      <c r="J357" s="493">
        <f>J348*地域経済性分析・初期条件!$L$38</f>
        <v>167918.96905509292</v>
      </c>
      <c r="K357" s="493">
        <f>K348*地域経済性分析・初期条件!$L$38</f>
        <v>167918.96905509292</v>
      </c>
      <c r="L357" s="493">
        <f>L348*地域経済性分析・初期条件!$L$38</f>
        <v>167918.96905509292</v>
      </c>
      <c r="M357" s="493">
        <f>M348*地域経済性分析・初期条件!$L$38</f>
        <v>167918.96905509292</v>
      </c>
      <c r="N357" s="493">
        <f>N348*地域経済性分析・初期条件!$L$38</f>
        <v>167918.96905509292</v>
      </c>
      <c r="O357" s="493">
        <f>O348*地域経済性分析・初期条件!$L$38</f>
        <v>167918.96905509292</v>
      </c>
      <c r="P357" s="493">
        <f>P348*地域経済性分析・初期条件!$L$38</f>
        <v>167918.96905509292</v>
      </c>
      <c r="Q357" s="493">
        <f>Q348*地域経済性分析・初期条件!$L$38</f>
        <v>167918.96905509292</v>
      </c>
      <c r="R357" s="493">
        <f>R348*地域経済性分析・初期条件!$L$38</f>
        <v>167918.96905509292</v>
      </c>
      <c r="S357" s="493">
        <f>S348*地域経済性分析・初期条件!$L$38</f>
        <v>167918.96905509292</v>
      </c>
      <c r="T357" s="493">
        <f>T348*地域経済性分析・初期条件!$L$38</f>
        <v>167918.96905509292</v>
      </c>
      <c r="U357" s="493">
        <f>U348*地域経済性分析・初期条件!$L$38</f>
        <v>167918.96905509292</v>
      </c>
      <c r="V357" s="493">
        <f>V348*地域経済性分析・初期条件!$L$38</f>
        <v>167918.96905509292</v>
      </c>
      <c r="W357" s="493">
        <f>W348*地域経済性分析・初期条件!$L$38</f>
        <v>167918.96905509292</v>
      </c>
      <c r="X357" s="493">
        <f>X348*地域経済性分析・初期条件!$L$38</f>
        <v>167918.96905509292</v>
      </c>
      <c r="Y357" s="493">
        <f>Y348*地域経済性分析・初期条件!$L$38</f>
        <v>167918.96905509292</v>
      </c>
      <c r="Z357" s="493">
        <f>Z348*地域経済性分析・初期条件!$L$38</f>
        <v>167918.96905509292</v>
      </c>
      <c r="AA357" s="493">
        <f>AA348*地域経済性分析・初期条件!$L$38</f>
        <v>167918.96905509292</v>
      </c>
      <c r="AB357" s="493">
        <f>AB348*地域経済性分析・初期条件!$L$38</f>
        <v>167918.96905509292</v>
      </c>
      <c r="AC357" s="493">
        <f>AC348*地域経済性分析・初期条件!$L$38</f>
        <v>167918.96905509292</v>
      </c>
      <c r="AD357" s="493">
        <f>AD348*地域経済性分析・初期条件!$L$38</f>
        <v>167918.96905509292</v>
      </c>
      <c r="AE357" s="493">
        <f>AE348*地域経済性分析・初期条件!$L$38</f>
        <v>167918.96905509292</v>
      </c>
      <c r="AF357" s="493">
        <f>AF348*地域経済性分析・初期条件!$L$38</f>
        <v>167918.96905509292</v>
      </c>
      <c r="AG357" s="493">
        <f>AG348*地域経済性分析・初期条件!$L$38</f>
        <v>167918.96905509292</v>
      </c>
      <c r="AH357" s="493">
        <f>AH348*地域経済性分析・初期条件!$L$38</f>
        <v>167918.96905509292</v>
      </c>
      <c r="AI357" s="535">
        <f>SUM(D357:N357)</f>
        <v>1679189.6905509292</v>
      </c>
      <c r="AJ357" s="535">
        <f t="shared" si="425"/>
        <v>3358379.3811018583</v>
      </c>
      <c r="AK357" s="497">
        <f t="shared" si="426"/>
        <v>5037569.0716527877</v>
      </c>
    </row>
    <row r="358" spans="1:37" ht="11.5" x14ac:dyDescent="0.25">
      <c r="A358" s="533" t="str">
        <f>A347&amp;B358</f>
        <v>損害保険業企業の税引後利益（二次以降）</v>
      </c>
      <c r="B358" s="439" t="s">
        <v>335</v>
      </c>
      <c r="C358" s="452" t="s">
        <v>333</v>
      </c>
      <c r="D358" s="493">
        <f>D348*地域経済性分析・初期条件!$M$38</f>
        <v>0</v>
      </c>
      <c r="E358" s="493">
        <f>E348*地域経済性分析・初期条件!$M$38</f>
        <v>197813.39848571367</v>
      </c>
      <c r="F358" s="493">
        <f>F348*地域経済性分析・初期条件!$M$38</f>
        <v>197813.39848571367</v>
      </c>
      <c r="G358" s="493">
        <f>G348*地域経済性分析・初期条件!$M$38</f>
        <v>197813.39848571367</v>
      </c>
      <c r="H358" s="493">
        <f>H348*地域経済性分析・初期条件!$M$38</f>
        <v>197813.39848571367</v>
      </c>
      <c r="I358" s="493">
        <f>I348*地域経済性分析・初期条件!$M$38</f>
        <v>197813.39848571367</v>
      </c>
      <c r="J358" s="493">
        <f>J348*地域経済性分析・初期条件!$M$38</f>
        <v>197813.39848571367</v>
      </c>
      <c r="K358" s="493">
        <f>K348*地域経済性分析・初期条件!$M$38</f>
        <v>197813.39848571367</v>
      </c>
      <c r="L358" s="493">
        <f>L348*地域経済性分析・初期条件!$M$38</f>
        <v>197813.39848571367</v>
      </c>
      <c r="M358" s="493">
        <f>M348*地域経済性分析・初期条件!$M$38</f>
        <v>197813.39848571367</v>
      </c>
      <c r="N358" s="493">
        <f>N348*地域経済性分析・初期条件!$M$38</f>
        <v>197813.39848571367</v>
      </c>
      <c r="O358" s="493">
        <f>O348*地域経済性分析・初期条件!$M$38</f>
        <v>197813.39848571367</v>
      </c>
      <c r="P358" s="493">
        <f>P348*地域経済性分析・初期条件!$M$38</f>
        <v>197813.39848571367</v>
      </c>
      <c r="Q358" s="493">
        <f>Q348*地域経済性分析・初期条件!$M$38</f>
        <v>197813.39848571367</v>
      </c>
      <c r="R358" s="493">
        <f>R348*地域経済性分析・初期条件!$M$38</f>
        <v>197813.39848571367</v>
      </c>
      <c r="S358" s="493">
        <f>S348*地域経済性分析・初期条件!$M$38</f>
        <v>197813.39848571367</v>
      </c>
      <c r="T358" s="493">
        <f>T348*地域経済性分析・初期条件!$M$38</f>
        <v>197813.39848571367</v>
      </c>
      <c r="U358" s="493">
        <f>U348*地域経済性分析・初期条件!$M$38</f>
        <v>197813.39848571367</v>
      </c>
      <c r="V358" s="493">
        <f>V348*地域経済性分析・初期条件!$M$38</f>
        <v>197813.39848571367</v>
      </c>
      <c r="W358" s="493">
        <f>W348*地域経済性分析・初期条件!$M$38</f>
        <v>197813.39848571367</v>
      </c>
      <c r="X358" s="493">
        <f>X348*地域経済性分析・初期条件!$M$38</f>
        <v>197813.39848571367</v>
      </c>
      <c r="Y358" s="493">
        <f>Y348*地域経済性分析・初期条件!$M$38</f>
        <v>197813.39848571367</v>
      </c>
      <c r="Z358" s="493">
        <f>Z348*地域経済性分析・初期条件!$M$38</f>
        <v>197813.39848571367</v>
      </c>
      <c r="AA358" s="493">
        <f>AA348*地域経済性分析・初期条件!$M$38</f>
        <v>197813.39848571367</v>
      </c>
      <c r="AB358" s="493">
        <f>AB348*地域経済性分析・初期条件!$M$38</f>
        <v>197813.39848571367</v>
      </c>
      <c r="AC358" s="493">
        <f>AC348*地域経済性分析・初期条件!$M$38</f>
        <v>197813.39848571367</v>
      </c>
      <c r="AD358" s="493">
        <f>AD348*地域経済性分析・初期条件!$M$38</f>
        <v>197813.39848571367</v>
      </c>
      <c r="AE358" s="493">
        <f>AE348*地域経済性分析・初期条件!$M$38</f>
        <v>197813.39848571367</v>
      </c>
      <c r="AF358" s="493">
        <f>AF348*地域経済性分析・初期条件!$M$38</f>
        <v>197813.39848571367</v>
      </c>
      <c r="AG358" s="493">
        <f>AG348*地域経済性分析・初期条件!$M$38</f>
        <v>197813.39848571367</v>
      </c>
      <c r="AH358" s="493">
        <f>AH348*地域経済性分析・初期条件!$M$38</f>
        <v>197813.39848571367</v>
      </c>
      <c r="AI358" s="535">
        <f>SUM(D358:N358)</f>
        <v>1978133.9848571366</v>
      </c>
      <c r="AJ358" s="535">
        <f t="shared" si="425"/>
        <v>3956267.9697142732</v>
      </c>
      <c r="AK358" s="497">
        <f t="shared" si="426"/>
        <v>5934401.9545714101</v>
      </c>
    </row>
    <row r="359" spans="1:37" ht="11.5" x14ac:dyDescent="0.25">
      <c r="A359" s="533" t="str">
        <f>A347&amp;B359</f>
        <v>損害保険業都道府県税収（二次以降）</v>
      </c>
      <c r="B359" s="439" t="s">
        <v>336</v>
      </c>
      <c r="C359" s="452" t="s">
        <v>333</v>
      </c>
      <c r="D359" s="493">
        <f>D348*地域経済性分析・初期条件!$N$38</f>
        <v>0</v>
      </c>
      <c r="E359" s="493">
        <f>E348*地域経済性分析・初期条件!$N$38</f>
        <v>40871.793056876559</v>
      </c>
      <c r="F359" s="493">
        <f>F348*地域経済性分析・初期条件!$N$38</f>
        <v>40871.793056876559</v>
      </c>
      <c r="G359" s="493">
        <f>G348*地域経済性分析・初期条件!$N$38</f>
        <v>40871.793056876559</v>
      </c>
      <c r="H359" s="493">
        <f>H348*地域経済性分析・初期条件!$N$38</f>
        <v>40871.793056876559</v>
      </c>
      <c r="I359" s="493">
        <f>I348*地域経済性分析・初期条件!$N$38</f>
        <v>40871.793056876559</v>
      </c>
      <c r="J359" s="493">
        <f>J348*地域経済性分析・初期条件!$N$38</f>
        <v>40871.793056876559</v>
      </c>
      <c r="K359" s="493">
        <f>K348*地域経済性分析・初期条件!$N$38</f>
        <v>40871.793056876559</v>
      </c>
      <c r="L359" s="493">
        <f>L348*地域経済性分析・初期条件!$N$38</f>
        <v>40871.793056876559</v>
      </c>
      <c r="M359" s="493">
        <f>M348*地域経済性分析・初期条件!$N$38</f>
        <v>40871.793056876559</v>
      </c>
      <c r="N359" s="493">
        <f>N348*地域経済性分析・初期条件!$N$38</f>
        <v>40871.793056876559</v>
      </c>
      <c r="O359" s="493">
        <f>O348*地域経済性分析・初期条件!$N$38</f>
        <v>40871.793056876559</v>
      </c>
      <c r="P359" s="493">
        <f>P348*地域経済性分析・初期条件!$N$38</f>
        <v>40871.793056876559</v>
      </c>
      <c r="Q359" s="493">
        <f>Q348*地域経済性分析・初期条件!$N$38</f>
        <v>40871.793056876559</v>
      </c>
      <c r="R359" s="493">
        <f>R348*地域経済性分析・初期条件!$N$38</f>
        <v>40871.793056876559</v>
      </c>
      <c r="S359" s="493">
        <f>S348*地域経済性分析・初期条件!$N$38</f>
        <v>40871.793056876559</v>
      </c>
      <c r="T359" s="493">
        <f>T348*地域経済性分析・初期条件!$N$38</f>
        <v>40871.793056876559</v>
      </c>
      <c r="U359" s="493">
        <f>U348*地域経済性分析・初期条件!$N$38</f>
        <v>40871.793056876559</v>
      </c>
      <c r="V359" s="493">
        <f>V348*地域経済性分析・初期条件!$N$38</f>
        <v>40871.793056876559</v>
      </c>
      <c r="W359" s="493">
        <f>W348*地域経済性分析・初期条件!$N$38</f>
        <v>40871.793056876559</v>
      </c>
      <c r="X359" s="493">
        <f>X348*地域経済性分析・初期条件!$N$38</f>
        <v>40871.793056876559</v>
      </c>
      <c r="Y359" s="493">
        <f>Y348*地域経済性分析・初期条件!$N$38</f>
        <v>40871.793056876559</v>
      </c>
      <c r="Z359" s="493">
        <f>Z348*地域経済性分析・初期条件!$N$38</f>
        <v>40871.793056876559</v>
      </c>
      <c r="AA359" s="493">
        <f>AA348*地域経済性分析・初期条件!$N$38</f>
        <v>40871.793056876559</v>
      </c>
      <c r="AB359" s="493">
        <f>AB348*地域経済性分析・初期条件!$N$38</f>
        <v>40871.793056876559</v>
      </c>
      <c r="AC359" s="493">
        <f>AC348*地域経済性分析・初期条件!$N$38</f>
        <v>40871.793056876559</v>
      </c>
      <c r="AD359" s="493">
        <f>AD348*地域経済性分析・初期条件!$N$38</f>
        <v>40871.793056876559</v>
      </c>
      <c r="AE359" s="493">
        <f>AE348*地域経済性分析・初期条件!$N$38</f>
        <v>40871.793056876559</v>
      </c>
      <c r="AF359" s="493">
        <f>AF348*地域経済性分析・初期条件!$N$38</f>
        <v>40871.793056876559</v>
      </c>
      <c r="AG359" s="493">
        <f>AG348*地域経済性分析・初期条件!$N$38</f>
        <v>40871.793056876559</v>
      </c>
      <c r="AH359" s="493">
        <f>AH348*地域経済性分析・初期条件!$N$38</f>
        <v>40871.793056876559</v>
      </c>
      <c r="AI359" s="535">
        <f>SUM(D359:N359)</f>
        <v>408717.93056876567</v>
      </c>
      <c r="AJ359" s="535">
        <f t="shared" si="425"/>
        <v>817435.861137531</v>
      </c>
      <c r="AK359" s="497">
        <f t="shared" si="426"/>
        <v>1226153.7917062966</v>
      </c>
    </row>
    <row r="360" spans="1:37" ht="11.5" x14ac:dyDescent="0.25">
      <c r="A360" s="533" t="str">
        <f>A347&amp;B360</f>
        <v>損害保険業市町村税収（二次以降）</v>
      </c>
      <c r="B360" s="439" t="s">
        <v>337</v>
      </c>
      <c r="C360" s="452" t="s">
        <v>333</v>
      </c>
      <c r="D360" s="493">
        <f>D348*地域経済性分析・初期条件!$O$38</f>
        <v>0</v>
      </c>
      <c r="E360" s="493">
        <f>E348*地域経済性分析・初期条件!$O$38</f>
        <v>12930.448862157713</v>
      </c>
      <c r="F360" s="493">
        <f>F348*地域経済性分析・初期条件!$O$38</f>
        <v>12930.448862157713</v>
      </c>
      <c r="G360" s="493">
        <f>G348*地域経済性分析・初期条件!$O$38</f>
        <v>12930.448862157713</v>
      </c>
      <c r="H360" s="493">
        <f>H348*地域経済性分析・初期条件!$O$38</f>
        <v>12930.448862157713</v>
      </c>
      <c r="I360" s="493">
        <f>I348*地域経済性分析・初期条件!$O$38</f>
        <v>12930.448862157713</v>
      </c>
      <c r="J360" s="493">
        <f>J348*地域経済性分析・初期条件!$O$38</f>
        <v>12930.448862157713</v>
      </c>
      <c r="K360" s="493">
        <f>K348*地域経済性分析・初期条件!$O$38</f>
        <v>12930.448862157713</v>
      </c>
      <c r="L360" s="493">
        <f>L348*地域経済性分析・初期条件!$O$38</f>
        <v>12930.448862157713</v>
      </c>
      <c r="M360" s="493">
        <f>M348*地域経済性分析・初期条件!$O$38</f>
        <v>12930.448862157713</v>
      </c>
      <c r="N360" s="493">
        <f>N348*地域経済性分析・初期条件!$O$38</f>
        <v>12930.448862157713</v>
      </c>
      <c r="O360" s="493">
        <f>O348*地域経済性分析・初期条件!$O$38</f>
        <v>12930.448862157713</v>
      </c>
      <c r="P360" s="493">
        <f>P348*地域経済性分析・初期条件!$O$38</f>
        <v>12930.448862157713</v>
      </c>
      <c r="Q360" s="493">
        <f>Q348*地域経済性分析・初期条件!$O$38</f>
        <v>12930.448862157713</v>
      </c>
      <c r="R360" s="493">
        <f>R348*地域経済性分析・初期条件!$O$38</f>
        <v>12930.448862157713</v>
      </c>
      <c r="S360" s="493">
        <f>S348*地域経済性分析・初期条件!$O$38</f>
        <v>12930.448862157713</v>
      </c>
      <c r="T360" s="493">
        <f>T348*地域経済性分析・初期条件!$O$38</f>
        <v>12930.448862157713</v>
      </c>
      <c r="U360" s="493">
        <f>U348*地域経済性分析・初期条件!$O$38</f>
        <v>12930.448862157713</v>
      </c>
      <c r="V360" s="493">
        <f>V348*地域経済性分析・初期条件!$O$38</f>
        <v>12930.448862157713</v>
      </c>
      <c r="W360" s="493">
        <f>W348*地域経済性分析・初期条件!$O$38</f>
        <v>12930.448862157713</v>
      </c>
      <c r="X360" s="493">
        <f>X348*地域経済性分析・初期条件!$O$38</f>
        <v>12930.448862157713</v>
      </c>
      <c r="Y360" s="493">
        <f>Y348*地域経済性分析・初期条件!$O$38</f>
        <v>12930.448862157713</v>
      </c>
      <c r="Z360" s="493">
        <f>Z348*地域経済性分析・初期条件!$O$38</f>
        <v>12930.448862157713</v>
      </c>
      <c r="AA360" s="493">
        <f>AA348*地域経済性分析・初期条件!$O$38</f>
        <v>12930.448862157713</v>
      </c>
      <c r="AB360" s="493">
        <f>AB348*地域経済性分析・初期条件!$O$38</f>
        <v>12930.448862157713</v>
      </c>
      <c r="AC360" s="493">
        <f>AC348*地域経済性分析・初期条件!$O$38</f>
        <v>12930.448862157713</v>
      </c>
      <c r="AD360" s="493">
        <f>AD348*地域経済性分析・初期条件!$O$38</f>
        <v>12930.448862157713</v>
      </c>
      <c r="AE360" s="493">
        <f>AE348*地域経済性分析・初期条件!$O$38</f>
        <v>12930.448862157713</v>
      </c>
      <c r="AF360" s="493">
        <f>AF348*地域経済性分析・初期条件!$O$38</f>
        <v>12930.448862157713</v>
      </c>
      <c r="AG360" s="493">
        <f>AG348*地域経済性分析・初期条件!$O$38</f>
        <v>12930.448862157713</v>
      </c>
      <c r="AH360" s="493">
        <f>AH348*地域経済性分析・初期条件!$O$38</f>
        <v>12930.448862157713</v>
      </c>
      <c r="AI360" s="535">
        <f>SUM(D360:N360)</f>
        <v>129304.48862157715</v>
      </c>
      <c r="AJ360" s="535">
        <f t="shared" si="425"/>
        <v>258608.97724315419</v>
      </c>
      <c r="AK360" s="497">
        <f t="shared" si="426"/>
        <v>387913.46586473123</v>
      </c>
    </row>
    <row r="361" spans="1:37" ht="11.5" x14ac:dyDescent="0.25">
      <c r="A361" s="488" t="str">
        <f>地域経済性分析・初期条件!$G$39</f>
        <v>不動産業</v>
      </c>
      <c r="C361" s="452"/>
      <c r="D361" s="493"/>
      <c r="E361" s="493"/>
      <c r="F361" s="465"/>
      <c r="G361" s="465"/>
      <c r="H361" s="465"/>
      <c r="I361" s="465"/>
      <c r="J361" s="465"/>
      <c r="K361" s="465"/>
      <c r="L361" s="465"/>
      <c r="M361" s="465"/>
      <c r="N361" s="465"/>
      <c r="O361" s="465"/>
      <c r="P361" s="465"/>
      <c r="Q361" s="465"/>
      <c r="R361" s="465"/>
      <c r="S361" s="465"/>
      <c r="T361" s="465"/>
      <c r="U361" s="465"/>
      <c r="V361" s="465"/>
      <c r="W361" s="465"/>
      <c r="X361" s="465"/>
      <c r="Y361" s="465"/>
      <c r="Z361" s="465"/>
      <c r="AA361" s="465"/>
      <c r="AB361" s="465"/>
      <c r="AC361" s="465"/>
      <c r="AD361" s="465"/>
      <c r="AE361" s="465"/>
      <c r="AF361" s="465"/>
      <c r="AG361" s="465"/>
      <c r="AH361" s="465"/>
      <c r="AI361" s="535"/>
      <c r="AJ361" s="535"/>
      <c r="AK361" s="497"/>
    </row>
    <row r="362" spans="1:37" ht="11.5" x14ac:dyDescent="0.25">
      <c r="A362" s="533" t="str">
        <f>A361&amp;B362</f>
        <v>不動産業売上（税別）</v>
      </c>
      <c r="B362" s="439" t="s">
        <v>1092</v>
      </c>
      <c r="C362" s="451" t="s">
        <v>37</v>
      </c>
      <c r="D362" s="493">
        <f>D332*地域経済性分析・初期条件!$F$39</f>
        <v>0</v>
      </c>
      <c r="E362" s="493">
        <f>E332*地域経済性分析・初期条件!$F$39</f>
        <v>4013419.5618278896</v>
      </c>
      <c r="F362" s="493">
        <f>F332*地域経済性分析・初期条件!$F$39</f>
        <v>4013419.5618278896</v>
      </c>
      <c r="G362" s="493">
        <f>G332*地域経済性分析・初期条件!$F$39</f>
        <v>4013419.5618278896</v>
      </c>
      <c r="H362" s="493">
        <f>H332*地域経済性分析・初期条件!$F$39</f>
        <v>4013419.5618278896</v>
      </c>
      <c r="I362" s="493">
        <f>I332*地域経済性分析・初期条件!$F$39</f>
        <v>4013419.5618278896</v>
      </c>
      <c r="J362" s="493">
        <f>J332*地域経済性分析・初期条件!$F$39</f>
        <v>4013419.5618278896</v>
      </c>
      <c r="K362" s="493">
        <f>K332*地域経済性分析・初期条件!$F$39</f>
        <v>4013419.5618278896</v>
      </c>
      <c r="L362" s="493">
        <f>L332*地域経済性分析・初期条件!$F$39</f>
        <v>4013419.5618278896</v>
      </c>
      <c r="M362" s="493">
        <f>M332*地域経済性分析・初期条件!$F$39</f>
        <v>4013419.5618278896</v>
      </c>
      <c r="N362" s="493">
        <f>N332*地域経済性分析・初期条件!$F$39</f>
        <v>4013419.5618278896</v>
      </c>
      <c r="O362" s="493">
        <f>O332*地域経済性分析・初期条件!$F$39</f>
        <v>4013419.5618278896</v>
      </c>
      <c r="P362" s="493">
        <f>P332*地域経済性分析・初期条件!$F$39</f>
        <v>4013419.5618278896</v>
      </c>
      <c r="Q362" s="493">
        <f>Q332*地域経済性分析・初期条件!$F$39</f>
        <v>4013419.5618278896</v>
      </c>
      <c r="R362" s="493">
        <f>R332*地域経済性分析・初期条件!$F$39</f>
        <v>4013419.5618278896</v>
      </c>
      <c r="S362" s="493">
        <f>S332*地域経済性分析・初期条件!$F$39</f>
        <v>4013419.5618278896</v>
      </c>
      <c r="T362" s="493">
        <f>T332*地域経済性分析・初期条件!$F$39</f>
        <v>4013419.5618278896</v>
      </c>
      <c r="U362" s="493">
        <f>U332*地域経済性分析・初期条件!$F$39</f>
        <v>4013419.5618278896</v>
      </c>
      <c r="V362" s="493">
        <f>V332*地域経済性分析・初期条件!$F$39</f>
        <v>4013419.5618278896</v>
      </c>
      <c r="W362" s="493">
        <f>W332*地域経済性分析・初期条件!$F$39</f>
        <v>4013419.5618278896</v>
      </c>
      <c r="X362" s="493">
        <f>X332*地域経済性分析・初期条件!$F$39</f>
        <v>4013419.5618278896</v>
      </c>
      <c r="Y362" s="493">
        <f>Y332*地域経済性分析・初期条件!$F$39</f>
        <v>4013419.5618278896</v>
      </c>
      <c r="Z362" s="493">
        <f>Z332*地域経済性分析・初期条件!$F$39</f>
        <v>4013419.5618278896</v>
      </c>
      <c r="AA362" s="493">
        <f>AA332*地域経済性分析・初期条件!$F$39</f>
        <v>4013419.5618278896</v>
      </c>
      <c r="AB362" s="493">
        <f>AB332*地域経済性分析・初期条件!$F$39</f>
        <v>4013419.5618278896</v>
      </c>
      <c r="AC362" s="493">
        <f>AC332*地域経済性分析・初期条件!$F$39</f>
        <v>4013419.5618278896</v>
      </c>
      <c r="AD362" s="493">
        <f>AD332*地域経済性分析・初期条件!$F$39</f>
        <v>4013419.5618278896</v>
      </c>
      <c r="AE362" s="493">
        <f>AE332*地域経済性分析・初期条件!$F$39</f>
        <v>4013419.5618278896</v>
      </c>
      <c r="AF362" s="493">
        <f>AF332*地域経済性分析・初期条件!$F$39</f>
        <v>4013419.5618278896</v>
      </c>
      <c r="AG362" s="493">
        <f>AG332*地域経済性分析・初期条件!$F$39</f>
        <v>4013419.5618278896</v>
      </c>
      <c r="AH362" s="493">
        <f>AH332*地域経済性分析・初期条件!$F$39</f>
        <v>4013419.5618278896</v>
      </c>
      <c r="AI362" s="535">
        <f t="shared" ref="AI362:AI370" si="427">SUM(D362:N362)</f>
        <v>40134195.618278898</v>
      </c>
      <c r="AJ362" s="535">
        <f>SUM(D362:X362)</f>
        <v>80268391.236557782</v>
      </c>
      <c r="AK362" s="497">
        <f>SUM(D362:AH362)</f>
        <v>120402586.85483661</v>
      </c>
    </row>
    <row r="363" spans="1:37" ht="11.5" x14ac:dyDescent="0.25">
      <c r="A363" s="533"/>
      <c r="B363" s="439" t="s">
        <v>1136</v>
      </c>
      <c r="C363" s="451" t="s">
        <v>37</v>
      </c>
      <c r="D363" s="493">
        <f>D362*波及効果シート!$D$72</f>
        <v>0</v>
      </c>
      <c r="E363" s="493">
        <f>E362*波及効果シート!$D$72</f>
        <v>44147.615180106783</v>
      </c>
      <c r="F363" s="493">
        <f>F362*波及効果シート!$D$72</f>
        <v>44147.615180106783</v>
      </c>
      <c r="G363" s="493">
        <f>G362*波及効果シート!$D$72</f>
        <v>44147.615180106783</v>
      </c>
      <c r="H363" s="493">
        <f>H362*波及効果シート!$D$72</f>
        <v>44147.615180106783</v>
      </c>
      <c r="I363" s="493">
        <f>I362*波及効果シート!$D$72</f>
        <v>44147.615180106783</v>
      </c>
      <c r="J363" s="493">
        <f>J362*波及効果シート!$D$72</f>
        <v>44147.615180106783</v>
      </c>
      <c r="K363" s="493">
        <f>K362*波及効果シート!$D$72</f>
        <v>44147.615180106783</v>
      </c>
      <c r="L363" s="493">
        <f>L362*波及効果シート!$D$72</f>
        <v>44147.615180106783</v>
      </c>
      <c r="M363" s="493">
        <f>M362*波及効果シート!$D$72</f>
        <v>44147.615180106783</v>
      </c>
      <c r="N363" s="493">
        <f>N362*波及効果シート!$D$72</f>
        <v>44147.615180106783</v>
      </c>
      <c r="O363" s="493">
        <f>O362*波及効果シート!$D$72</f>
        <v>44147.615180106783</v>
      </c>
      <c r="P363" s="493">
        <f>P362*波及効果シート!$D$72</f>
        <v>44147.615180106783</v>
      </c>
      <c r="Q363" s="493">
        <f>Q362*波及効果シート!$D$72</f>
        <v>44147.615180106783</v>
      </c>
      <c r="R363" s="493">
        <f>R362*波及効果シート!$D$72</f>
        <v>44147.615180106783</v>
      </c>
      <c r="S363" s="493">
        <f>S362*波及効果シート!$D$72</f>
        <v>44147.615180106783</v>
      </c>
      <c r="T363" s="493">
        <f>T362*波及効果シート!$D$72</f>
        <v>44147.615180106783</v>
      </c>
      <c r="U363" s="493">
        <f>U362*波及効果シート!$D$72</f>
        <v>44147.615180106783</v>
      </c>
      <c r="V363" s="493">
        <f>V362*波及効果シート!$D$72</f>
        <v>44147.615180106783</v>
      </c>
      <c r="W363" s="493">
        <f>W362*波及効果シート!$D$72</f>
        <v>44147.615180106783</v>
      </c>
      <c r="X363" s="493">
        <f>X362*波及効果シート!$D$72</f>
        <v>44147.615180106783</v>
      </c>
      <c r="Y363" s="493">
        <f>Y362*波及効果シート!$D$72</f>
        <v>44147.615180106783</v>
      </c>
      <c r="Z363" s="493">
        <f>Z362*波及効果シート!$D$72</f>
        <v>44147.615180106783</v>
      </c>
      <c r="AA363" s="493">
        <f>AA362*波及効果シート!$D$72</f>
        <v>44147.615180106783</v>
      </c>
      <c r="AB363" s="493">
        <f>AB362*波及効果シート!$D$72</f>
        <v>44147.615180106783</v>
      </c>
      <c r="AC363" s="493">
        <f>AC362*波及効果シート!$D$72</f>
        <v>44147.615180106783</v>
      </c>
      <c r="AD363" s="493">
        <f>AD362*波及効果シート!$D$72</f>
        <v>44147.615180106783</v>
      </c>
      <c r="AE363" s="493">
        <f>AE362*波及効果シート!$D$72</f>
        <v>44147.615180106783</v>
      </c>
      <c r="AF363" s="493">
        <f>AF362*波及効果シート!$D$72</f>
        <v>44147.615180106783</v>
      </c>
      <c r="AG363" s="493">
        <f>AG362*波及効果シート!$D$72</f>
        <v>44147.615180106783</v>
      </c>
      <c r="AH363" s="493">
        <f>AH362*波及効果シート!$D$72</f>
        <v>44147.615180106783</v>
      </c>
      <c r="AI363" s="535">
        <f t="shared" ref="AI363:AI364" si="428">SUM(D363:N363)</f>
        <v>441476.15180106781</v>
      </c>
      <c r="AJ363" s="535">
        <f t="shared" ref="AJ363:AJ364" si="429">SUM(D363:X363)</f>
        <v>882952.30360213609</v>
      </c>
      <c r="AK363" s="497">
        <f t="shared" ref="AK363:AK364" si="430">SUM(D363:AH363)</f>
        <v>1324428.4554032043</v>
      </c>
    </row>
    <row r="364" spans="1:37" ht="11.5" x14ac:dyDescent="0.25">
      <c r="A364" s="533"/>
      <c r="B364" s="439" t="s">
        <v>1137</v>
      </c>
      <c r="C364" s="452" t="s">
        <v>37</v>
      </c>
      <c r="D364" s="493">
        <f>D362*波及効果シート!$D$74</f>
        <v>0</v>
      </c>
      <c r="E364" s="493">
        <f>E362*波及効果シート!$D$74</f>
        <v>44147.615180106783</v>
      </c>
      <c r="F364" s="493">
        <f>F362*波及効果シート!$D$74</f>
        <v>44147.615180106783</v>
      </c>
      <c r="G364" s="493">
        <f>G362*波及効果シート!$D$74</f>
        <v>44147.615180106783</v>
      </c>
      <c r="H364" s="493">
        <f>H362*波及効果シート!$D$74</f>
        <v>44147.615180106783</v>
      </c>
      <c r="I364" s="493">
        <f>I362*波及効果シート!$D$74</f>
        <v>44147.615180106783</v>
      </c>
      <c r="J364" s="493">
        <f>J362*波及効果シート!$D$74</f>
        <v>44147.615180106783</v>
      </c>
      <c r="K364" s="493">
        <f>K362*波及効果シート!$D$74</f>
        <v>44147.615180106783</v>
      </c>
      <c r="L364" s="493">
        <f>L362*波及効果シート!$D$74</f>
        <v>44147.615180106783</v>
      </c>
      <c r="M364" s="493">
        <f>M362*波及効果シート!$D$74</f>
        <v>44147.615180106783</v>
      </c>
      <c r="N364" s="493">
        <f>N362*波及効果シート!$D$74</f>
        <v>44147.615180106783</v>
      </c>
      <c r="O364" s="493">
        <f>O362*波及効果シート!$D$74</f>
        <v>44147.615180106783</v>
      </c>
      <c r="P364" s="493">
        <f>P362*波及効果シート!$D$74</f>
        <v>44147.615180106783</v>
      </c>
      <c r="Q364" s="493">
        <f>Q362*波及効果シート!$D$74</f>
        <v>44147.615180106783</v>
      </c>
      <c r="R364" s="493">
        <f>R362*波及効果シート!$D$74</f>
        <v>44147.615180106783</v>
      </c>
      <c r="S364" s="493">
        <f>S362*波及効果シート!$D$74</f>
        <v>44147.615180106783</v>
      </c>
      <c r="T364" s="493">
        <f>T362*波及効果シート!$D$74</f>
        <v>44147.615180106783</v>
      </c>
      <c r="U364" s="493">
        <f>U362*波及効果シート!$D$74</f>
        <v>44147.615180106783</v>
      </c>
      <c r="V364" s="493">
        <f>V362*波及効果シート!$D$74</f>
        <v>44147.615180106783</v>
      </c>
      <c r="W364" s="493">
        <f>W362*波及効果シート!$D$74</f>
        <v>44147.615180106783</v>
      </c>
      <c r="X364" s="493">
        <f>X362*波及効果シート!$D$74</f>
        <v>44147.615180106783</v>
      </c>
      <c r="Y364" s="493">
        <f>Y362*波及効果シート!$D$74</f>
        <v>44147.615180106783</v>
      </c>
      <c r="Z364" s="493">
        <f>Z362*波及効果シート!$D$74</f>
        <v>44147.615180106783</v>
      </c>
      <c r="AA364" s="493">
        <f>AA362*波及効果シート!$D$74</f>
        <v>44147.615180106783</v>
      </c>
      <c r="AB364" s="493">
        <f>AB362*波及効果シート!$D$74</f>
        <v>44147.615180106783</v>
      </c>
      <c r="AC364" s="493">
        <f>AC362*波及効果シート!$D$74</f>
        <v>44147.615180106783</v>
      </c>
      <c r="AD364" s="493">
        <f>AD362*波及効果シート!$D$74</f>
        <v>44147.615180106783</v>
      </c>
      <c r="AE364" s="493">
        <f>AE362*波及効果シート!$D$74</f>
        <v>44147.615180106783</v>
      </c>
      <c r="AF364" s="493">
        <f>AF362*波及効果シート!$D$74</f>
        <v>44147.615180106783</v>
      </c>
      <c r="AG364" s="493">
        <f>AG362*波及効果シート!$D$74</f>
        <v>44147.615180106783</v>
      </c>
      <c r="AH364" s="493">
        <f>AH362*波及効果シート!$D$74</f>
        <v>44147.615180106783</v>
      </c>
      <c r="AI364" s="535">
        <f t="shared" si="428"/>
        <v>441476.15180106781</v>
      </c>
      <c r="AJ364" s="535">
        <f t="shared" si="429"/>
        <v>882952.30360213609</v>
      </c>
      <c r="AK364" s="497">
        <f t="shared" si="430"/>
        <v>1324428.4554032043</v>
      </c>
    </row>
    <row r="365" spans="1:37" ht="11.5" x14ac:dyDescent="0.25">
      <c r="A365" s="533" t="str">
        <f>A361&amp;B365</f>
        <v>不動産業所得税（国税）</v>
      </c>
      <c r="B365" s="439" t="s">
        <v>351</v>
      </c>
      <c r="C365" s="452" t="s">
        <v>333</v>
      </c>
      <c r="D365" s="493">
        <f>D362*地域経済性分析・初期条件!$P$39</f>
        <v>0</v>
      </c>
      <c r="E365" s="493">
        <f>E362*地域経済性分析・初期条件!$P$39</f>
        <v>802683.912365578</v>
      </c>
      <c r="F365" s="493">
        <f>F362*地域経済性分析・初期条件!$P$39</f>
        <v>802683.912365578</v>
      </c>
      <c r="G365" s="493">
        <f>G362*地域経済性分析・初期条件!$P$39</f>
        <v>802683.912365578</v>
      </c>
      <c r="H365" s="493">
        <f>H362*地域経済性分析・初期条件!$P$39</f>
        <v>802683.912365578</v>
      </c>
      <c r="I365" s="493">
        <f>I362*地域経済性分析・初期条件!$P$39</f>
        <v>802683.912365578</v>
      </c>
      <c r="J365" s="493">
        <f>J362*地域経済性分析・初期条件!$P$39</f>
        <v>802683.912365578</v>
      </c>
      <c r="K365" s="493">
        <f>K362*地域経済性分析・初期条件!$P$39</f>
        <v>802683.912365578</v>
      </c>
      <c r="L365" s="493">
        <f>L362*地域経済性分析・初期条件!$P$39</f>
        <v>802683.912365578</v>
      </c>
      <c r="M365" s="493">
        <f>M362*地域経済性分析・初期条件!$P$39</f>
        <v>802683.912365578</v>
      </c>
      <c r="N365" s="493">
        <f>N362*地域経済性分析・初期条件!$P$39</f>
        <v>802683.912365578</v>
      </c>
      <c r="O365" s="493">
        <f>O362*地域経済性分析・初期条件!$P$39</f>
        <v>802683.912365578</v>
      </c>
      <c r="P365" s="493">
        <f>P362*地域経済性分析・初期条件!$P$39</f>
        <v>802683.912365578</v>
      </c>
      <c r="Q365" s="493">
        <f>Q362*地域経済性分析・初期条件!$P$39</f>
        <v>802683.912365578</v>
      </c>
      <c r="R365" s="493">
        <f>R362*地域経済性分析・初期条件!$P$39</f>
        <v>802683.912365578</v>
      </c>
      <c r="S365" s="493">
        <f>S362*地域経済性分析・初期条件!$P$39</f>
        <v>802683.912365578</v>
      </c>
      <c r="T365" s="493">
        <f>T362*地域経済性分析・初期条件!$P$39</f>
        <v>802683.912365578</v>
      </c>
      <c r="U365" s="493">
        <f>U362*地域経済性分析・初期条件!$P$39</f>
        <v>802683.912365578</v>
      </c>
      <c r="V365" s="493">
        <f>V362*地域経済性分析・初期条件!$P$39</f>
        <v>802683.912365578</v>
      </c>
      <c r="W365" s="493">
        <f>W362*地域経済性分析・初期条件!$P$39</f>
        <v>802683.912365578</v>
      </c>
      <c r="X365" s="493">
        <f>X362*地域経済性分析・初期条件!$P$39</f>
        <v>802683.912365578</v>
      </c>
      <c r="Y365" s="493">
        <f>Y362*地域経済性分析・初期条件!$P$39</f>
        <v>802683.912365578</v>
      </c>
      <c r="Z365" s="493">
        <f>Z362*地域経済性分析・初期条件!$P$39</f>
        <v>802683.912365578</v>
      </c>
      <c r="AA365" s="493">
        <f>AA362*地域経済性分析・初期条件!$P$39</f>
        <v>802683.912365578</v>
      </c>
      <c r="AB365" s="493">
        <f>AB362*地域経済性分析・初期条件!$P$39</f>
        <v>802683.912365578</v>
      </c>
      <c r="AC365" s="493">
        <f>AC362*地域経済性分析・初期条件!$P$39</f>
        <v>802683.912365578</v>
      </c>
      <c r="AD365" s="493">
        <f>AD362*地域経済性分析・初期条件!$P$39</f>
        <v>802683.912365578</v>
      </c>
      <c r="AE365" s="493">
        <f>AE362*地域経済性分析・初期条件!$P$39</f>
        <v>802683.912365578</v>
      </c>
      <c r="AF365" s="493">
        <f>AF362*地域経済性分析・初期条件!$P$39</f>
        <v>802683.912365578</v>
      </c>
      <c r="AG365" s="493">
        <f>AG362*地域経済性分析・初期条件!$P$39</f>
        <v>802683.912365578</v>
      </c>
      <c r="AH365" s="493">
        <f>AH362*地域経済性分析・初期条件!$P$39</f>
        <v>802683.912365578</v>
      </c>
      <c r="AI365" s="535">
        <f t="shared" si="427"/>
        <v>8026839.1236557802</v>
      </c>
      <c r="AJ365" s="535">
        <f>SUM(D365:X365)</f>
        <v>16053678.24731156</v>
      </c>
      <c r="AK365" s="497">
        <f>SUM(D365:AH365)</f>
        <v>24080517.37096734</v>
      </c>
    </row>
    <row r="366" spans="1:37" ht="11.5" x14ac:dyDescent="0.25">
      <c r="A366" s="533" t="str">
        <f>A361&amp;B366</f>
        <v>不動産業法人税（国税）</v>
      </c>
      <c r="B366" s="439" t="s">
        <v>350</v>
      </c>
      <c r="C366" s="452" t="s">
        <v>333</v>
      </c>
      <c r="D366" s="493">
        <f>D362*地域経済性分析・初期条件!$Q$39</f>
        <v>0</v>
      </c>
      <c r="E366" s="493">
        <f>E362*地域経済性分析・初期条件!$Q$39</f>
        <v>602012.93427418347</v>
      </c>
      <c r="F366" s="493">
        <f>F362*地域経済性分析・初期条件!$Q$39</f>
        <v>602012.93427418347</v>
      </c>
      <c r="G366" s="493">
        <f>G362*地域経済性分析・初期条件!$Q$39</f>
        <v>602012.93427418347</v>
      </c>
      <c r="H366" s="493">
        <f>H362*地域経済性分析・初期条件!$Q$39</f>
        <v>602012.93427418347</v>
      </c>
      <c r="I366" s="493">
        <f>I362*地域経済性分析・初期条件!$Q$39</f>
        <v>602012.93427418347</v>
      </c>
      <c r="J366" s="493">
        <f>J362*地域経済性分析・初期条件!$Q$39</f>
        <v>602012.93427418347</v>
      </c>
      <c r="K366" s="493">
        <f>K362*地域経済性分析・初期条件!$Q$39</f>
        <v>602012.93427418347</v>
      </c>
      <c r="L366" s="493">
        <f>L362*地域経済性分析・初期条件!$Q$39</f>
        <v>602012.93427418347</v>
      </c>
      <c r="M366" s="493">
        <f>M362*地域経済性分析・初期条件!$Q$39</f>
        <v>602012.93427418347</v>
      </c>
      <c r="N366" s="493">
        <f>N362*地域経済性分析・初期条件!$Q$39</f>
        <v>602012.93427418347</v>
      </c>
      <c r="O366" s="493">
        <f>O362*地域経済性分析・初期条件!$Q$39</f>
        <v>602012.93427418347</v>
      </c>
      <c r="P366" s="493">
        <f>P362*地域経済性分析・初期条件!$Q$39</f>
        <v>602012.93427418347</v>
      </c>
      <c r="Q366" s="493">
        <f>Q362*地域経済性分析・初期条件!$Q$39</f>
        <v>602012.93427418347</v>
      </c>
      <c r="R366" s="493">
        <f>R362*地域経済性分析・初期条件!$Q$39</f>
        <v>602012.93427418347</v>
      </c>
      <c r="S366" s="493">
        <f>S362*地域経済性分析・初期条件!$Q$39</f>
        <v>602012.93427418347</v>
      </c>
      <c r="T366" s="493">
        <f>T362*地域経済性分析・初期条件!$Q$39</f>
        <v>602012.93427418347</v>
      </c>
      <c r="U366" s="493">
        <f>U362*地域経済性分析・初期条件!$Q$39</f>
        <v>602012.93427418347</v>
      </c>
      <c r="V366" s="493">
        <f>V362*地域経済性分析・初期条件!$Q$39</f>
        <v>602012.93427418347</v>
      </c>
      <c r="W366" s="493">
        <f>W362*地域経済性分析・初期条件!$Q$39</f>
        <v>602012.93427418347</v>
      </c>
      <c r="X366" s="493">
        <f>X362*地域経済性分析・初期条件!$Q$39</f>
        <v>602012.93427418347</v>
      </c>
      <c r="Y366" s="493">
        <f>Y362*地域経済性分析・初期条件!$Q$39</f>
        <v>602012.93427418347</v>
      </c>
      <c r="Z366" s="493">
        <f>Z362*地域経済性分析・初期条件!$Q$39</f>
        <v>602012.93427418347</v>
      </c>
      <c r="AA366" s="493">
        <f>AA362*地域経済性分析・初期条件!$Q$39</f>
        <v>602012.93427418347</v>
      </c>
      <c r="AB366" s="493">
        <f>AB362*地域経済性分析・初期条件!$Q$39</f>
        <v>602012.93427418347</v>
      </c>
      <c r="AC366" s="493">
        <f>AC362*地域経済性分析・初期条件!$Q$39</f>
        <v>602012.93427418347</v>
      </c>
      <c r="AD366" s="493">
        <f>AD362*地域経済性分析・初期条件!$Q$39</f>
        <v>602012.93427418347</v>
      </c>
      <c r="AE366" s="493">
        <f>AE362*地域経済性分析・初期条件!$Q$39</f>
        <v>602012.93427418347</v>
      </c>
      <c r="AF366" s="493">
        <f>AF362*地域経済性分析・初期条件!$Q$39</f>
        <v>602012.93427418347</v>
      </c>
      <c r="AG366" s="493">
        <f>AG362*地域経済性分析・初期条件!$Q$39</f>
        <v>602012.93427418347</v>
      </c>
      <c r="AH366" s="493">
        <f>AH362*地域経済性分析・初期条件!$Q$39</f>
        <v>602012.93427418347</v>
      </c>
      <c r="AI366" s="535">
        <f t="shared" si="427"/>
        <v>6020129.3427418349</v>
      </c>
      <c r="AJ366" s="535">
        <f>SUM(D366:X366)</f>
        <v>12040258.68548367</v>
      </c>
      <c r="AK366" s="497">
        <f>SUM(D366:AH366)</f>
        <v>18060388.0282255</v>
      </c>
    </row>
    <row r="367" spans="1:37" ht="11.5" x14ac:dyDescent="0.25">
      <c r="A367" s="533" t="str">
        <f>A361&amp;B367</f>
        <v>不動産業従業員の可処分所得（一次）</v>
      </c>
      <c r="B367" s="439" t="s">
        <v>329</v>
      </c>
      <c r="C367" s="451" t="s">
        <v>37</v>
      </c>
      <c r="D367" s="493">
        <f>D362*地域経済性分析・初期条件!$H$39</f>
        <v>0</v>
      </c>
      <c r="E367" s="493">
        <f>E362*地域経済性分析・初期条件!$H$39</f>
        <v>317733.9015639181</v>
      </c>
      <c r="F367" s="465">
        <f>F362*地域経済性分析・初期条件!$H$39</f>
        <v>317733.9015639181</v>
      </c>
      <c r="G367" s="465">
        <f>G362*地域経済性分析・初期条件!$H$39</f>
        <v>317733.9015639181</v>
      </c>
      <c r="H367" s="465">
        <f>H362*地域経済性分析・初期条件!$H$39</f>
        <v>317733.9015639181</v>
      </c>
      <c r="I367" s="465">
        <f>I362*地域経済性分析・初期条件!$H$39</f>
        <v>317733.9015639181</v>
      </c>
      <c r="J367" s="465">
        <f>J362*地域経済性分析・初期条件!$H$39</f>
        <v>317733.9015639181</v>
      </c>
      <c r="K367" s="465">
        <f>K362*地域経済性分析・初期条件!$H$39</f>
        <v>317733.9015639181</v>
      </c>
      <c r="L367" s="465">
        <f>L362*地域経済性分析・初期条件!$H$39</f>
        <v>317733.9015639181</v>
      </c>
      <c r="M367" s="465">
        <f>M362*地域経済性分析・初期条件!$H$39</f>
        <v>317733.9015639181</v>
      </c>
      <c r="N367" s="465">
        <f>N362*地域経済性分析・初期条件!$H$39</f>
        <v>317733.9015639181</v>
      </c>
      <c r="O367" s="465">
        <f>O362*地域経済性分析・初期条件!$H$39</f>
        <v>317733.9015639181</v>
      </c>
      <c r="P367" s="465">
        <f>P362*地域経済性分析・初期条件!$H$39</f>
        <v>317733.9015639181</v>
      </c>
      <c r="Q367" s="465">
        <f>Q362*地域経済性分析・初期条件!$H$39</f>
        <v>317733.9015639181</v>
      </c>
      <c r="R367" s="465">
        <f>R362*地域経済性分析・初期条件!$H$39</f>
        <v>317733.9015639181</v>
      </c>
      <c r="S367" s="465">
        <f>S362*地域経済性分析・初期条件!$H$39</f>
        <v>317733.9015639181</v>
      </c>
      <c r="T367" s="465">
        <f>T362*地域経済性分析・初期条件!$H$39</f>
        <v>317733.9015639181</v>
      </c>
      <c r="U367" s="465">
        <f>U362*地域経済性分析・初期条件!$H$39</f>
        <v>317733.9015639181</v>
      </c>
      <c r="V367" s="465">
        <f>V362*地域経済性分析・初期条件!$H$39</f>
        <v>317733.9015639181</v>
      </c>
      <c r="W367" s="465">
        <f>W362*地域経済性分析・初期条件!$H$39</f>
        <v>317733.9015639181</v>
      </c>
      <c r="X367" s="465">
        <f>X362*地域経済性分析・初期条件!$H$39</f>
        <v>317733.9015639181</v>
      </c>
      <c r="Y367" s="465">
        <f>Y362*地域経済性分析・初期条件!$H$39</f>
        <v>317733.9015639181</v>
      </c>
      <c r="Z367" s="465">
        <f>Z362*地域経済性分析・初期条件!$H$39</f>
        <v>317733.9015639181</v>
      </c>
      <c r="AA367" s="465">
        <f>AA362*地域経済性分析・初期条件!$H$39</f>
        <v>317733.9015639181</v>
      </c>
      <c r="AB367" s="465">
        <f>AB362*地域経済性分析・初期条件!$H$39</f>
        <v>317733.9015639181</v>
      </c>
      <c r="AC367" s="465">
        <f>AC362*地域経済性分析・初期条件!$H$39</f>
        <v>317733.9015639181</v>
      </c>
      <c r="AD367" s="465">
        <f>AD362*地域経済性分析・初期条件!$H$39</f>
        <v>317733.9015639181</v>
      </c>
      <c r="AE367" s="465">
        <f>AE362*地域経済性分析・初期条件!$H$39</f>
        <v>317733.9015639181</v>
      </c>
      <c r="AF367" s="465">
        <f>AF362*地域経済性分析・初期条件!$H$39</f>
        <v>317733.9015639181</v>
      </c>
      <c r="AG367" s="465">
        <f>AG362*地域経済性分析・初期条件!$H$39</f>
        <v>317733.9015639181</v>
      </c>
      <c r="AH367" s="465">
        <f>AH362*地域経済性分析・初期条件!$H$39</f>
        <v>317733.9015639181</v>
      </c>
      <c r="AI367" s="535">
        <f t="shared" si="427"/>
        <v>3177339.0156391817</v>
      </c>
      <c r="AJ367" s="535">
        <f t="shared" ref="AJ367:AJ374" si="431">SUM(D367:X367)</f>
        <v>6354678.0312783634</v>
      </c>
      <c r="AK367" s="497">
        <f t="shared" ref="AK367:AK374" si="432">SUM(D367:AH367)</f>
        <v>9532017.0469175447</v>
      </c>
    </row>
    <row r="368" spans="1:37" ht="11.5" x14ac:dyDescent="0.25">
      <c r="A368" s="533" t="str">
        <f>A361&amp;B368</f>
        <v>不動産業企業の税引後利益（一次）</v>
      </c>
      <c r="B368" s="439" t="s">
        <v>330</v>
      </c>
      <c r="C368" s="451" t="s">
        <v>37</v>
      </c>
      <c r="D368" s="493">
        <f>D362*地域経済性分析・初期条件!$I$39</f>
        <v>0</v>
      </c>
      <c r="E368" s="493">
        <f>E362*地域経済性分析・初期条件!$I$39</f>
        <v>387292.48216151755</v>
      </c>
      <c r="F368" s="465">
        <f>F362*地域経済性分析・初期条件!$I$39</f>
        <v>387292.48216151755</v>
      </c>
      <c r="G368" s="465">
        <f>G362*地域経済性分析・初期条件!$I$39</f>
        <v>387292.48216151755</v>
      </c>
      <c r="H368" s="465">
        <f>H362*地域経済性分析・初期条件!$I$39</f>
        <v>387292.48216151755</v>
      </c>
      <c r="I368" s="465">
        <f>I362*地域経済性分析・初期条件!$I$39</f>
        <v>387292.48216151755</v>
      </c>
      <c r="J368" s="465">
        <f>J362*地域経済性分析・初期条件!$I$39</f>
        <v>387292.48216151755</v>
      </c>
      <c r="K368" s="465">
        <f>K362*地域経済性分析・初期条件!$I$39</f>
        <v>387292.48216151755</v>
      </c>
      <c r="L368" s="465">
        <f>L362*地域経済性分析・初期条件!$I$39</f>
        <v>387292.48216151755</v>
      </c>
      <c r="M368" s="465">
        <f>M362*地域経済性分析・初期条件!$I$39</f>
        <v>387292.48216151755</v>
      </c>
      <c r="N368" s="465">
        <f>N362*地域経済性分析・初期条件!$I$39</f>
        <v>387292.48216151755</v>
      </c>
      <c r="O368" s="465">
        <f>O362*地域経済性分析・初期条件!$I$39</f>
        <v>387292.48216151755</v>
      </c>
      <c r="P368" s="465">
        <f>P362*地域経済性分析・初期条件!$I$39</f>
        <v>387292.48216151755</v>
      </c>
      <c r="Q368" s="465">
        <f>Q362*地域経済性分析・初期条件!$I$39</f>
        <v>387292.48216151755</v>
      </c>
      <c r="R368" s="465">
        <f>R362*地域経済性分析・初期条件!$I$39</f>
        <v>387292.48216151755</v>
      </c>
      <c r="S368" s="465">
        <f>S362*地域経済性分析・初期条件!$I$39</f>
        <v>387292.48216151755</v>
      </c>
      <c r="T368" s="465">
        <f>T362*地域経済性分析・初期条件!$I$39</f>
        <v>387292.48216151755</v>
      </c>
      <c r="U368" s="465">
        <f>U362*地域経済性分析・初期条件!$I$39</f>
        <v>387292.48216151755</v>
      </c>
      <c r="V368" s="465">
        <f>V362*地域経済性分析・初期条件!$I$39</f>
        <v>387292.48216151755</v>
      </c>
      <c r="W368" s="465">
        <f>W362*地域経済性分析・初期条件!$I$39</f>
        <v>387292.48216151755</v>
      </c>
      <c r="X368" s="465">
        <f>X362*地域経済性分析・初期条件!$I$39</f>
        <v>387292.48216151755</v>
      </c>
      <c r="Y368" s="465">
        <f>Y362*地域経済性分析・初期条件!$I$39</f>
        <v>387292.48216151755</v>
      </c>
      <c r="Z368" s="465">
        <f>Z362*地域経済性分析・初期条件!$I$39</f>
        <v>387292.48216151755</v>
      </c>
      <c r="AA368" s="465">
        <f>AA362*地域経済性分析・初期条件!$I$39</f>
        <v>387292.48216151755</v>
      </c>
      <c r="AB368" s="465">
        <f>AB362*地域経済性分析・初期条件!$I$39</f>
        <v>387292.48216151755</v>
      </c>
      <c r="AC368" s="465">
        <f>AC362*地域経済性分析・初期条件!$I$39</f>
        <v>387292.48216151755</v>
      </c>
      <c r="AD368" s="465">
        <f>AD362*地域経済性分析・初期条件!$I$39</f>
        <v>387292.48216151755</v>
      </c>
      <c r="AE368" s="465">
        <f>AE362*地域経済性分析・初期条件!$I$39</f>
        <v>387292.48216151755</v>
      </c>
      <c r="AF368" s="465">
        <f>AF362*地域経済性分析・初期条件!$I$39</f>
        <v>387292.48216151755</v>
      </c>
      <c r="AG368" s="465">
        <f>AG362*地域経済性分析・初期条件!$I$39</f>
        <v>387292.48216151755</v>
      </c>
      <c r="AH368" s="465">
        <f>AH362*地域経済性分析・初期条件!$I$39</f>
        <v>387292.48216151755</v>
      </c>
      <c r="AI368" s="535">
        <f t="shared" si="427"/>
        <v>3872924.8216151763</v>
      </c>
      <c r="AJ368" s="535">
        <f t="shared" si="431"/>
        <v>7745849.6432303488</v>
      </c>
      <c r="AK368" s="497">
        <f t="shared" si="432"/>
        <v>11618774.464845529</v>
      </c>
    </row>
    <row r="369" spans="1:37" ht="11.5" x14ac:dyDescent="0.25">
      <c r="A369" s="533" t="str">
        <f>A361&amp;B369</f>
        <v>不動産業都道府県税収（一次）</v>
      </c>
      <c r="B369" s="439" t="s">
        <v>331</v>
      </c>
      <c r="C369" s="451" t="s">
        <v>37</v>
      </c>
      <c r="D369" s="493">
        <f>D362*地域経済性分析・初期条件!$J$39</f>
        <v>0</v>
      </c>
      <c r="E369" s="493">
        <f>E362*地域経済性分析・初期条件!$J$39</f>
        <v>79052.292845651522</v>
      </c>
      <c r="F369" s="465">
        <f>F362*地域経済性分析・初期条件!$J$39</f>
        <v>79052.292845651522</v>
      </c>
      <c r="G369" s="465">
        <f>G362*地域経済性分析・初期条件!$J$39</f>
        <v>79052.292845651522</v>
      </c>
      <c r="H369" s="465">
        <f>H362*地域経済性分析・初期条件!$J$39</f>
        <v>79052.292845651522</v>
      </c>
      <c r="I369" s="465">
        <f>I362*地域経済性分析・初期条件!$J$39</f>
        <v>79052.292845651522</v>
      </c>
      <c r="J369" s="465">
        <f>J362*地域経済性分析・初期条件!$J$39</f>
        <v>79052.292845651522</v>
      </c>
      <c r="K369" s="465">
        <f>K362*地域経済性分析・初期条件!$J$39</f>
        <v>79052.292845651522</v>
      </c>
      <c r="L369" s="465">
        <f>L362*地域経済性分析・初期条件!$J$39</f>
        <v>79052.292845651522</v>
      </c>
      <c r="M369" s="465">
        <f>M362*地域経済性分析・初期条件!$J$39</f>
        <v>79052.292845651522</v>
      </c>
      <c r="N369" s="465">
        <f>N362*地域経済性分析・初期条件!$J$39</f>
        <v>79052.292845651522</v>
      </c>
      <c r="O369" s="465">
        <f>O362*地域経済性分析・初期条件!$J$39</f>
        <v>79052.292845651522</v>
      </c>
      <c r="P369" s="465">
        <f>P362*地域経済性分析・初期条件!$J$39</f>
        <v>79052.292845651522</v>
      </c>
      <c r="Q369" s="465">
        <f>Q362*地域経済性分析・初期条件!$J$39</f>
        <v>79052.292845651522</v>
      </c>
      <c r="R369" s="465">
        <f>R362*地域経済性分析・初期条件!$J$39</f>
        <v>79052.292845651522</v>
      </c>
      <c r="S369" s="465">
        <f>S362*地域経済性分析・初期条件!$J$39</f>
        <v>79052.292845651522</v>
      </c>
      <c r="T369" s="465">
        <f>T362*地域経済性分析・初期条件!$J$39</f>
        <v>79052.292845651522</v>
      </c>
      <c r="U369" s="465">
        <f>U362*地域経済性分析・初期条件!$J$39</f>
        <v>79052.292845651522</v>
      </c>
      <c r="V369" s="465">
        <f>V362*地域経済性分析・初期条件!$J$39</f>
        <v>79052.292845651522</v>
      </c>
      <c r="W369" s="465">
        <f>W362*地域経済性分析・初期条件!$J$39</f>
        <v>79052.292845651522</v>
      </c>
      <c r="X369" s="465">
        <f>X362*地域経済性分析・初期条件!$J$39</f>
        <v>79052.292845651522</v>
      </c>
      <c r="Y369" s="465">
        <f>Y362*地域経済性分析・初期条件!$J$39</f>
        <v>79052.292845651522</v>
      </c>
      <c r="Z369" s="465">
        <f>Z362*地域経済性分析・初期条件!$J$39</f>
        <v>79052.292845651522</v>
      </c>
      <c r="AA369" s="465">
        <f>AA362*地域経済性分析・初期条件!$J$39</f>
        <v>79052.292845651522</v>
      </c>
      <c r="AB369" s="465">
        <f>AB362*地域経済性分析・初期条件!$J$39</f>
        <v>79052.292845651522</v>
      </c>
      <c r="AC369" s="465">
        <f>AC362*地域経済性分析・初期条件!$J$39</f>
        <v>79052.292845651522</v>
      </c>
      <c r="AD369" s="465">
        <f>AD362*地域経済性分析・初期条件!$J$39</f>
        <v>79052.292845651522</v>
      </c>
      <c r="AE369" s="465">
        <f>AE362*地域経済性分析・初期条件!$J$39</f>
        <v>79052.292845651522</v>
      </c>
      <c r="AF369" s="465">
        <f>AF362*地域経済性分析・初期条件!$J$39</f>
        <v>79052.292845651522</v>
      </c>
      <c r="AG369" s="465">
        <f>AG362*地域経済性分析・初期条件!$J$39</f>
        <v>79052.292845651522</v>
      </c>
      <c r="AH369" s="465">
        <f>AH362*地域経済性分析・初期条件!$J$39</f>
        <v>79052.292845651522</v>
      </c>
      <c r="AI369" s="535">
        <f t="shared" si="427"/>
        <v>790522.92845651519</v>
      </c>
      <c r="AJ369" s="535">
        <f t="shared" si="431"/>
        <v>1581045.8569130304</v>
      </c>
      <c r="AK369" s="497">
        <f t="shared" si="432"/>
        <v>2371568.7853695457</v>
      </c>
    </row>
    <row r="370" spans="1:37" ht="11.5" x14ac:dyDescent="0.25">
      <c r="A370" s="533" t="str">
        <f>A361&amp;B370</f>
        <v>不動産業市町村税収（一次）</v>
      </c>
      <c r="B370" s="439" t="s">
        <v>332</v>
      </c>
      <c r="C370" s="452" t="s">
        <v>37</v>
      </c>
      <c r="D370" s="493">
        <f>D362*地域経済性分析・初期条件!$K$39</f>
        <v>0</v>
      </c>
      <c r="E370" s="465">
        <f>E362*地域経済性分析・初期条件!$K$39</f>
        <v>24666.138648605407</v>
      </c>
      <c r="F370" s="465">
        <f>F362*地域経済性分析・初期条件!$K$39</f>
        <v>24666.138648605407</v>
      </c>
      <c r="G370" s="465">
        <f>G362*地域経済性分析・初期条件!$K$39</f>
        <v>24666.138648605407</v>
      </c>
      <c r="H370" s="465">
        <f>H362*地域経済性分析・初期条件!$K$39</f>
        <v>24666.138648605407</v>
      </c>
      <c r="I370" s="465">
        <f>I362*地域経済性分析・初期条件!$K$39</f>
        <v>24666.138648605407</v>
      </c>
      <c r="J370" s="465">
        <f>J362*地域経済性分析・初期条件!$K$39</f>
        <v>24666.138648605407</v>
      </c>
      <c r="K370" s="465">
        <f>K362*地域経済性分析・初期条件!$K$39</f>
        <v>24666.138648605407</v>
      </c>
      <c r="L370" s="465">
        <f>L362*地域経済性分析・初期条件!$K$39</f>
        <v>24666.138648605407</v>
      </c>
      <c r="M370" s="465">
        <f>M362*地域経済性分析・初期条件!$K$39</f>
        <v>24666.138648605407</v>
      </c>
      <c r="N370" s="465">
        <f>N362*地域経済性分析・初期条件!$K$39</f>
        <v>24666.138648605407</v>
      </c>
      <c r="O370" s="465">
        <f>O362*地域経済性分析・初期条件!$K$39</f>
        <v>24666.138648605407</v>
      </c>
      <c r="P370" s="465">
        <f>P362*地域経済性分析・初期条件!$K$39</f>
        <v>24666.138648605407</v>
      </c>
      <c r="Q370" s="465">
        <f>Q362*地域経済性分析・初期条件!$K$39</f>
        <v>24666.138648605407</v>
      </c>
      <c r="R370" s="465">
        <f>R362*地域経済性分析・初期条件!$K$39</f>
        <v>24666.138648605407</v>
      </c>
      <c r="S370" s="465">
        <f>S362*地域経済性分析・初期条件!$K$39</f>
        <v>24666.138648605407</v>
      </c>
      <c r="T370" s="465">
        <f>T362*地域経済性分析・初期条件!$K$39</f>
        <v>24666.138648605407</v>
      </c>
      <c r="U370" s="465">
        <f>U362*地域経済性分析・初期条件!$K$39</f>
        <v>24666.138648605407</v>
      </c>
      <c r="V370" s="465">
        <f>V362*地域経済性分析・初期条件!$K$39</f>
        <v>24666.138648605407</v>
      </c>
      <c r="W370" s="465">
        <f>W362*地域経済性分析・初期条件!$K$39</f>
        <v>24666.138648605407</v>
      </c>
      <c r="X370" s="465">
        <f>X362*地域経済性分析・初期条件!$K$39</f>
        <v>24666.138648605407</v>
      </c>
      <c r="Y370" s="465">
        <f>Y362*地域経済性分析・初期条件!$K$39</f>
        <v>24666.138648605407</v>
      </c>
      <c r="Z370" s="465">
        <f>Z362*地域経済性分析・初期条件!$K$39</f>
        <v>24666.138648605407</v>
      </c>
      <c r="AA370" s="465">
        <f>AA362*地域経済性分析・初期条件!$K$39</f>
        <v>24666.138648605407</v>
      </c>
      <c r="AB370" s="465">
        <f>AB362*地域経済性分析・初期条件!$K$39</f>
        <v>24666.138648605407</v>
      </c>
      <c r="AC370" s="465">
        <f>AC362*地域経済性分析・初期条件!$K$39</f>
        <v>24666.138648605407</v>
      </c>
      <c r="AD370" s="465">
        <f>AD362*地域経済性分析・初期条件!$K$39</f>
        <v>24666.138648605407</v>
      </c>
      <c r="AE370" s="465">
        <f>AE362*地域経済性分析・初期条件!$K$39</f>
        <v>24666.138648605407</v>
      </c>
      <c r="AF370" s="465">
        <f>AF362*地域経済性分析・初期条件!$K$39</f>
        <v>24666.138648605407</v>
      </c>
      <c r="AG370" s="465">
        <f>AG362*地域経済性分析・初期条件!$K$39</f>
        <v>24666.138648605407</v>
      </c>
      <c r="AH370" s="465">
        <f>AH362*地域経済性分析・初期条件!$K$39</f>
        <v>24666.138648605407</v>
      </c>
      <c r="AI370" s="535">
        <f t="shared" si="427"/>
        <v>246661.38648605408</v>
      </c>
      <c r="AJ370" s="535">
        <f t="shared" si="431"/>
        <v>493322.77297210792</v>
      </c>
      <c r="AK370" s="497">
        <f t="shared" si="432"/>
        <v>739984.15945816226</v>
      </c>
    </row>
    <row r="371" spans="1:37" ht="11.5" x14ac:dyDescent="0.25">
      <c r="A371" s="533" t="str">
        <f>A361&amp;B371</f>
        <v>不動産業従業員の可処分所得（二次以降）</v>
      </c>
      <c r="B371" s="439" t="s">
        <v>334</v>
      </c>
      <c r="C371" s="452" t="s">
        <v>333</v>
      </c>
      <c r="D371" s="493">
        <f>D362*地域経済性分析・初期条件!$L$39</f>
        <v>0</v>
      </c>
      <c r="E371" s="465">
        <f>E362*地域経済性分析・初期条件!$L$39</f>
        <v>241549.02214564956</v>
      </c>
      <c r="F371" s="465">
        <f>F362*地域経済性分析・初期条件!$L$39</f>
        <v>241549.02214564956</v>
      </c>
      <c r="G371" s="465">
        <f>G362*地域経済性分析・初期条件!$L$39</f>
        <v>241549.02214564956</v>
      </c>
      <c r="H371" s="465">
        <f>H362*地域経済性分析・初期条件!$L$39</f>
        <v>241549.02214564956</v>
      </c>
      <c r="I371" s="465">
        <f>I362*地域経済性分析・初期条件!$L$39</f>
        <v>241549.02214564956</v>
      </c>
      <c r="J371" s="465">
        <f>J362*地域経済性分析・初期条件!$L$39</f>
        <v>241549.02214564956</v>
      </c>
      <c r="K371" s="465">
        <f>K362*地域経済性分析・初期条件!$L$39</f>
        <v>241549.02214564956</v>
      </c>
      <c r="L371" s="465">
        <f>L362*地域経済性分析・初期条件!$L$39</f>
        <v>241549.02214564956</v>
      </c>
      <c r="M371" s="465">
        <f>M362*地域経済性分析・初期条件!$L$39</f>
        <v>241549.02214564956</v>
      </c>
      <c r="N371" s="465">
        <f>N362*地域経済性分析・初期条件!$L$39</f>
        <v>241549.02214564956</v>
      </c>
      <c r="O371" s="465">
        <f>O362*地域経済性分析・初期条件!$L$39</f>
        <v>241549.02214564956</v>
      </c>
      <c r="P371" s="465">
        <f>P362*地域経済性分析・初期条件!$L$39</f>
        <v>241549.02214564956</v>
      </c>
      <c r="Q371" s="465">
        <f>Q362*地域経済性分析・初期条件!$L$39</f>
        <v>241549.02214564956</v>
      </c>
      <c r="R371" s="465">
        <f>R362*地域経済性分析・初期条件!$L$39</f>
        <v>241549.02214564956</v>
      </c>
      <c r="S371" s="465">
        <f>S362*地域経済性分析・初期条件!$L$39</f>
        <v>241549.02214564956</v>
      </c>
      <c r="T371" s="465">
        <f>T362*地域経済性分析・初期条件!$L$39</f>
        <v>241549.02214564956</v>
      </c>
      <c r="U371" s="465">
        <f>U362*地域経済性分析・初期条件!$L$39</f>
        <v>241549.02214564956</v>
      </c>
      <c r="V371" s="465">
        <f>V362*地域経済性分析・初期条件!$L$39</f>
        <v>241549.02214564956</v>
      </c>
      <c r="W371" s="465">
        <f>W362*地域経済性分析・初期条件!$L$39</f>
        <v>241549.02214564956</v>
      </c>
      <c r="X371" s="465">
        <f>X362*地域経済性分析・初期条件!$L$39</f>
        <v>241549.02214564956</v>
      </c>
      <c r="Y371" s="465">
        <f>Y362*地域経済性分析・初期条件!$L$39</f>
        <v>241549.02214564956</v>
      </c>
      <c r="Z371" s="465">
        <f>Z362*地域経済性分析・初期条件!$L$39</f>
        <v>241549.02214564956</v>
      </c>
      <c r="AA371" s="465">
        <f>AA362*地域経済性分析・初期条件!$L$39</f>
        <v>241549.02214564956</v>
      </c>
      <c r="AB371" s="465">
        <f>AB362*地域経済性分析・初期条件!$L$39</f>
        <v>241549.02214564956</v>
      </c>
      <c r="AC371" s="465">
        <f>AC362*地域経済性分析・初期条件!$L$39</f>
        <v>241549.02214564956</v>
      </c>
      <c r="AD371" s="465">
        <f>AD362*地域経済性分析・初期条件!$L$39</f>
        <v>241549.02214564956</v>
      </c>
      <c r="AE371" s="465">
        <f>AE362*地域経済性分析・初期条件!$L$39</f>
        <v>241549.02214564956</v>
      </c>
      <c r="AF371" s="465">
        <f>AF362*地域経済性分析・初期条件!$L$39</f>
        <v>241549.02214564956</v>
      </c>
      <c r="AG371" s="465">
        <f>AG362*地域経済性分析・初期条件!$L$39</f>
        <v>241549.02214564956</v>
      </c>
      <c r="AH371" s="465">
        <f>AH362*地域経済性分析・初期条件!$L$39</f>
        <v>241549.02214564956</v>
      </c>
      <c r="AI371" s="535">
        <f>SUM(D371:N371)</f>
        <v>2415490.2214564956</v>
      </c>
      <c r="AJ371" s="535">
        <f t="shared" si="431"/>
        <v>4830980.4429129902</v>
      </c>
      <c r="AK371" s="497">
        <f t="shared" si="432"/>
        <v>7246470.6643694844</v>
      </c>
    </row>
    <row r="372" spans="1:37" ht="11.5" x14ac:dyDescent="0.25">
      <c r="A372" s="533" t="str">
        <f>A361&amp;B372</f>
        <v>不動産業企業の税引後利益（二次以降）</v>
      </c>
      <c r="B372" s="439" t="s">
        <v>335</v>
      </c>
      <c r="C372" s="452" t="s">
        <v>333</v>
      </c>
      <c r="D372" s="493">
        <f>D362*地域経済性分析・初期条件!$M$39</f>
        <v>0</v>
      </c>
      <c r="E372" s="465">
        <f>E362*地域経済性分析・初期条件!$M$39</f>
        <v>149357.04409035534</v>
      </c>
      <c r="F372" s="465">
        <f>F362*地域経済性分析・初期条件!$M$39</f>
        <v>149357.04409035534</v>
      </c>
      <c r="G372" s="465">
        <f>G362*地域経済性分析・初期条件!$M$39</f>
        <v>149357.04409035534</v>
      </c>
      <c r="H372" s="465">
        <f>H362*地域経済性分析・初期条件!$M$39</f>
        <v>149357.04409035534</v>
      </c>
      <c r="I372" s="465">
        <f>I362*地域経済性分析・初期条件!$M$39</f>
        <v>149357.04409035534</v>
      </c>
      <c r="J372" s="465">
        <f>J362*地域経済性分析・初期条件!$M$39</f>
        <v>149357.04409035534</v>
      </c>
      <c r="K372" s="465">
        <f>K362*地域経済性分析・初期条件!$M$39</f>
        <v>149357.04409035534</v>
      </c>
      <c r="L372" s="465">
        <f>L362*地域経済性分析・初期条件!$M$39</f>
        <v>149357.04409035534</v>
      </c>
      <c r="M372" s="465">
        <f>M362*地域経済性分析・初期条件!$M$39</f>
        <v>149357.04409035534</v>
      </c>
      <c r="N372" s="465">
        <f>N362*地域経済性分析・初期条件!$M$39</f>
        <v>149357.04409035534</v>
      </c>
      <c r="O372" s="465">
        <f>O362*地域経済性分析・初期条件!$M$39</f>
        <v>149357.04409035534</v>
      </c>
      <c r="P372" s="465">
        <f>P362*地域経済性分析・初期条件!$M$39</f>
        <v>149357.04409035534</v>
      </c>
      <c r="Q372" s="465">
        <f>Q362*地域経済性分析・初期条件!$M$39</f>
        <v>149357.04409035534</v>
      </c>
      <c r="R372" s="465">
        <f>R362*地域経済性分析・初期条件!$M$39</f>
        <v>149357.04409035534</v>
      </c>
      <c r="S372" s="465">
        <f>S362*地域経済性分析・初期条件!$M$39</f>
        <v>149357.04409035534</v>
      </c>
      <c r="T372" s="465">
        <f>T362*地域経済性分析・初期条件!$M$39</f>
        <v>149357.04409035534</v>
      </c>
      <c r="U372" s="465">
        <f>U362*地域経済性分析・初期条件!$M$39</f>
        <v>149357.04409035534</v>
      </c>
      <c r="V372" s="465">
        <f>V362*地域経済性分析・初期条件!$M$39</f>
        <v>149357.04409035534</v>
      </c>
      <c r="W372" s="465">
        <f>W362*地域経済性分析・初期条件!$M$39</f>
        <v>149357.04409035534</v>
      </c>
      <c r="X372" s="465">
        <f>X362*地域経済性分析・初期条件!$M$39</f>
        <v>149357.04409035534</v>
      </c>
      <c r="Y372" s="465">
        <f>Y362*地域経済性分析・初期条件!$M$39</f>
        <v>149357.04409035534</v>
      </c>
      <c r="Z372" s="465">
        <f>Z362*地域経済性分析・初期条件!$M$39</f>
        <v>149357.04409035534</v>
      </c>
      <c r="AA372" s="465">
        <f>AA362*地域経済性分析・初期条件!$M$39</f>
        <v>149357.04409035534</v>
      </c>
      <c r="AB372" s="465">
        <f>AB362*地域経済性分析・初期条件!$M$39</f>
        <v>149357.04409035534</v>
      </c>
      <c r="AC372" s="465">
        <f>AC362*地域経済性分析・初期条件!$M$39</f>
        <v>149357.04409035534</v>
      </c>
      <c r="AD372" s="465">
        <f>AD362*地域経済性分析・初期条件!$M$39</f>
        <v>149357.04409035534</v>
      </c>
      <c r="AE372" s="465">
        <f>AE362*地域経済性分析・初期条件!$M$39</f>
        <v>149357.04409035534</v>
      </c>
      <c r="AF372" s="465">
        <f>AF362*地域経済性分析・初期条件!$M$39</f>
        <v>149357.04409035534</v>
      </c>
      <c r="AG372" s="465">
        <f>AG362*地域経済性分析・初期条件!$M$39</f>
        <v>149357.04409035534</v>
      </c>
      <c r="AH372" s="465">
        <f>AH362*地域経済性分析・初期条件!$M$39</f>
        <v>149357.04409035534</v>
      </c>
      <c r="AI372" s="535">
        <f>SUM(D372:N372)</f>
        <v>1493570.440903553</v>
      </c>
      <c r="AJ372" s="535">
        <f t="shared" si="431"/>
        <v>2987140.8818071061</v>
      </c>
      <c r="AK372" s="497">
        <f t="shared" si="432"/>
        <v>4480711.3227106594</v>
      </c>
    </row>
    <row r="373" spans="1:37" ht="11.5" x14ac:dyDescent="0.25">
      <c r="A373" s="533" t="str">
        <f>A361&amp;B373</f>
        <v>不動産業都道府県税収（二次以降）</v>
      </c>
      <c r="B373" s="439" t="s">
        <v>336</v>
      </c>
      <c r="C373" s="452" t="s">
        <v>333</v>
      </c>
      <c r="D373" s="493">
        <f>D362*地域経済性分析・初期条件!$N$39</f>
        <v>0</v>
      </c>
      <c r="E373" s="465">
        <f>E362*地域経済性分析・初期条件!$N$39</f>
        <v>40945.514357503809</v>
      </c>
      <c r="F373" s="465">
        <f>F362*地域経済性分析・初期条件!$N$39</f>
        <v>40945.514357503809</v>
      </c>
      <c r="G373" s="465">
        <f>G362*地域経済性分析・初期条件!$N$39</f>
        <v>40945.514357503809</v>
      </c>
      <c r="H373" s="465">
        <f>H362*地域経済性分析・初期条件!$N$39</f>
        <v>40945.514357503809</v>
      </c>
      <c r="I373" s="465">
        <f>I362*地域経済性分析・初期条件!$N$39</f>
        <v>40945.514357503809</v>
      </c>
      <c r="J373" s="465">
        <f>J362*地域経済性分析・初期条件!$N$39</f>
        <v>40945.514357503809</v>
      </c>
      <c r="K373" s="465">
        <f>K362*地域経済性分析・初期条件!$N$39</f>
        <v>40945.514357503809</v>
      </c>
      <c r="L373" s="465">
        <f>L362*地域経済性分析・初期条件!$N$39</f>
        <v>40945.514357503809</v>
      </c>
      <c r="M373" s="465">
        <f>M362*地域経済性分析・初期条件!$N$39</f>
        <v>40945.514357503809</v>
      </c>
      <c r="N373" s="465">
        <f>N362*地域経済性分析・初期条件!$N$39</f>
        <v>40945.514357503809</v>
      </c>
      <c r="O373" s="465">
        <f>O362*地域経済性分析・初期条件!$N$39</f>
        <v>40945.514357503809</v>
      </c>
      <c r="P373" s="465">
        <f>P362*地域経済性分析・初期条件!$N$39</f>
        <v>40945.514357503809</v>
      </c>
      <c r="Q373" s="465">
        <f>Q362*地域経済性分析・初期条件!$N$39</f>
        <v>40945.514357503809</v>
      </c>
      <c r="R373" s="465">
        <f>R362*地域経済性分析・初期条件!$N$39</f>
        <v>40945.514357503809</v>
      </c>
      <c r="S373" s="465">
        <f>S362*地域経済性分析・初期条件!$N$39</f>
        <v>40945.514357503809</v>
      </c>
      <c r="T373" s="465">
        <f>T362*地域経済性分析・初期条件!$N$39</f>
        <v>40945.514357503809</v>
      </c>
      <c r="U373" s="465">
        <f>U362*地域経済性分析・初期条件!$N$39</f>
        <v>40945.514357503809</v>
      </c>
      <c r="V373" s="465">
        <f>V362*地域経済性分析・初期条件!$N$39</f>
        <v>40945.514357503809</v>
      </c>
      <c r="W373" s="465">
        <f>W362*地域経済性分析・初期条件!$N$39</f>
        <v>40945.514357503809</v>
      </c>
      <c r="X373" s="465">
        <f>X362*地域経済性分析・初期条件!$N$39</f>
        <v>40945.514357503809</v>
      </c>
      <c r="Y373" s="465">
        <f>Y362*地域経済性分析・初期条件!$N$39</f>
        <v>40945.514357503809</v>
      </c>
      <c r="Z373" s="465">
        <f>Z362*地域経済性分析・初期条件!$N$39</f>
        <v>40945.514357503809</v>
      </c>
      <c r="AA373" s="465">
        <f>AA362*地域経済性分析・初期条件!$N$39</f>
        <v>40945.514357503809</v>
      </c>
      <c r="AB373" s="465">
        <f>AB362*地域経済性分析・初期条件!$N$39</f>
        <v>40945.514357503809</v>
      </c>
      <c r="AC373" s="465">
        <f>AC362*地域経済性分析・初期条件!$N$39</f>
        <v>40945.514357503809</v>
      </c>
      <c r="AD373" s="465">
        <f>AD362*地域経済性分析・初期条件!$N$39</f>
        <v>40945.514357503809</v>
      </c>
      <c r="AE373" s="465">
        <f>AE362*地域経済性分析・初期条件!$N$39</f>
        <v>40945.514357503809</v>
      </c>
      <c r="AF373" s="465">
        <f>AF362*地域経済性分析・初期条件!$N$39</f>
        <v>40945.514357503809</v>
      </c>
      <c r="AG373" s="465">
        <f>AG362*地域経済性分析・初期条件!$N$39</f>
        <v>40945.514357503809</v>
      </c>
      <c r="AH373" s="465">
        <f>AH362*地域経済性分析・初期条件!$N$39</f>
        <v>40945.514357503809</v>
      </c>
      <c r="AI373" s="535">
        <f>SUM(D373:N373)</f>
        <v>409455.143575038</v>
      </c>
      <c r="AJ373" s="535">
        <f t="shared" si="431"/>
        <v>818910.28715007636</v>
      </c>
      <c r="AK373" s="497">
        <f t="shared" si="432"/>
        <v>1228365.4307251144</v>
      </c>
    </row>
    <row r="374" spans="1:37" ht="12" thickBot="1" x14ac:dyDescent="0.3">
      <c r="A374" s="689" t="str">
        <f>A361&amp;B374</f>
        <v>不動産業市町村税収（二次以降）</v>
      </c>
      <c r="B374" s="690" t="s">
        <v>337</v>
      </c>
      <c r="C374" s="691" t="s">
        <v>333</v>
      </c>
      <c r="D374" s="692">
        <f>D362*地域経済性分析・初期条件!$O$39</f>
        <v>0</v>
      </c>
      <c r="E374" s="693">
        <f>E362*地域経済性分析・初期条件!$O$39</f>
        <v>16526.201904089241</v>
      </c>
      <c r="F374" s="693">
        <f>F362*地域経済性分析・初期条件!$O$39</f>
        <v>16526.201904089241</v>
      </c>
      <c r="G374" s="693">
        <f>G362*地域経済性分析・初期条件!$O$39</f>
        <v>16526.201904089241</v>
      </c>
      <c r="H374" s="693">
        <f>H362*地域経済性分析・初期条件!$O$39</f>
        <v>16526.201904089241</v>
      </c>
      <c r="I374" s="693">
        <f>I362*地域経済性分析・初期条件!$O$39</f>
        <v>16526.201904089241</v>
      </c>
      <c r="J374" s="693">
        <f>J362*地域経済性分析・初期条件!$O$39</f>
        <v>16526.201904089241</v>
      </c>
      <c r="K374" s="693">
        <f>K362*地域経済性分析・初期条件!$O$39</f>
        <v>16526.201904089241</v>
      </c>
      <c r="L374" s="693">
        <f>L362*地域経済性分析・初期条件!$O$39</f>
        <v>16526.201904089241</v>
      </c>
      <c r="M374" s="693">
        <f>M362*地域経済性分析・初期条件!$O$39</f>
        <v>16526.201904089241</v>
      </c>
      <c r="N374" s="693">
        <f>N362*地域経済性分析・初期条件!$O$39</f>
        <v>16526.201904089241</v>
      </c>
      <c r="O374" s="693">
        <f>O362*地域経済性分析・初期条件!$O$39</f>
        <v>16526.201904089241</v>
      </c>
      <c r="P374" s="693">
        <f>P362*地域経済性分析・初期条件!$O$39</f>
        <v>16526.201904089241</v>
      </c>
      <c r="Q374" s="693">
        <f>Q362*地域経済性分析・初期条件!$O$39</f>
        <v>16526.201904089241</v>
      </c>
      <c r="R374" s="693">
        <f>R362*地域経済性分析・初期条件!$O$39</f>
        <v>16526.201904089241</v>
      </c>
      <c r="S374" s="693">
        <f>S362*地域経済性分析・初期条件!$O$39</f>
        <v>16526.201904089241</v>
      </c>
      <c r="T374" s="693">
        <f>T362*地域経済性分析・初期条件!$O$39</f>
        <v>16526.201904089241</v>
      </c>
      <c r="U374" s="693">
        <f>U362*地域経済性分析・初期条件!$O$39</f>
        <v>16526.201904089241</v>
      </c>
      <c r="V374" s="693">
        <f>V362*地域経済性分析・初期条件!$O$39</f>
        <v>16526.201904089241</v>
      </c>
      <c r="W374" s="693">
        <f>W362*地域経済性分析・初期条件!$O$39</f>
        <v>16526.201904089241</v>
      </c>
      <c r="X374" s="693">
        <f>X362*地域経済性分析・初期条件!$O$39</f>
        <v>16526.201904089241</v>
      </c>
      <c r="Y374" s="693">
        <f>Y362*地域経済性分析・初期条件!$O$39</f>
        <v>16526.201904089241</v>
      </c>
      <c r="Z374" s="693">
        <f>Z362*地域経済性分析・初期条件!$O$39</f>
        <v>16526.201904089241</v>
      </c>
      <c r="AA374" s="693">
        <f>AA362*地域経済性分析・初期条件!$O$39</f>
        <v>16526.201904089241</v>
      </c>
      <c r="AB374" s="693">
        <f>AB362*地域経済性分析・初期条件!$O$39</f>
        <v>16526.201904089241</v>
      </c>
      <c r="AC374" s="693">
        <f>AC362*地域経済性分析・初期条件!$O$39</f>
        <v>16526.201904089241</v>
      </c>
      <c r="AD374" s="693">
        <f>AD362*地域経済性分析・初期条件!$O$39</f>
        <v>16526.201904089241</v>
      </c>
      <c r="AE374" s="693">
        <f>AE362*地域経済性分析・初期条件!$O$39</f>
        <v>16526.201904089241</v>
      </c>
      <c r="AF374" s="693">
        <f>AF362*地域経済性分析・初期条件!$O$39</f>
        <v>16526.201904089241</v>
      </c>
      <c r="AG374" s="693">
        <f>AG362*地域経済性分析・初期条件!$O$39</f>
        <v>16526.201904089241</v>
      </c>
      <c r="AH374" s="693">
        <f>AH362*地域経済性分析・初期条件!$O$39</f>
        <v>16526.201904089241</v>
      </c>
      <c r="AI374" s="694">
        <f>SUM(D374:N374)</f>
        <v>165262.01904089245</v>
      </c>
      <c r="AJ374" s="694">
        <f t="shared" si="431"/>
        <v>330524.03808178491</v>
      </c>
      <c r="AK374" s="695">
        <f t="shared" si="432"/>
        <v>495786.05712267739</v>
      </c>
    </row>
    <row r="375" spans="1:37" ht="12" thickTop="1" x14ac:dyDescent="0.25">
      <c r="A375" s="1409" t="s">
        <v>1089</v>
      </c>
      <c r="B375" s="439"/>
      <c r="C375" s="452" t="s">
        <v>1090</v>
      </c>
      <c r="D375" s="493">
        <f>SUM(D339:D346,D353:D360,,D367:D374)</f>
        <v>0</v>
      </c>
      <c r="E375" s="493">
        <f>SUM(E339:E346,E353:E360,,E367:E374)</f>
        <v>3005039.9991447539</v>
      </c>
      <c r="F375" s="493">
        <f t="shared" ref="F375" si="433">SUM(F339:F346,F353:F360,,F367:F374)</f>
        <v>3005039.9991447539</v>
      </c>
      <c r="G375" s="493">
        <f t="shared" ref="G375" si="434">SUM(G339:G346,G353:G360,,G367:G374)</f>
        <v>3005039.9991447539</v>
      </c>
      <c r="H375" s="493">
        <f t="shared" ref="H375" si="435">SUM(H339:H346,H353:H360,,H367:H374)</f>
        <v>3005039.9991447539</v>
      </c>
      <c r="I375" s="493">
        <f t="shared" ref="I375" si="436">SUM(I339:I346,I353:I360,,I367:I374)</f>
        <v>3005039.9991447539</v>
      </c>
      <c r="J375" s="493">
        <f t="shared" ref="J375" si="437">SUM(J339:J346,J353:J360,,J367:J374)</f>
        <v>3005039.9991447539</v>
      </c>
      <c r="K375" s="493">
        <f t="shared" ref="K375" si="438">SUM(K339:K346,K353:K360,,K367:K374)</f>
        <v>3005039.9991447539</v>
      </c>
      <c r="L375" s="493">
        <f t="shared" ref="L375" si="439">SUM(L339:L346,L353:L360,,L367:L374)</f>
        <v>3005039.9991447539</v>
      </c>
      <c r="M375" s="493">
        <f t="shared" ref="M375" si="440">SUM(M339:M346,M353:M360,,M367:M374)</f>
        <v>3005039.9991447539</v>
      </c>
      <c r="N375" s="493">
        <f t="shared" ref="N375" si="441">SUM(N339:N346,N353:N360,,N367:N374)</f>
        <v>3005039.9991447539</v>
      </c>
      <c r="O375" s="493">
        <f t="shared" ref="O375" si="442">SUM(O339:O346,O353:O360,,O367:O374)</f>
        <v>3005039.9991447539</v>
      </c>
      <c r="P375" s="493">
        <f t="shared" ref="P375" si="443">SUM(P339:P346,P353:P360,,P367:P374)</f>
        <v>3005039.9991447539</v>
      </c>
      <c r="Q375" s="493">
        <f t="shared" ref="Q375" si="444">SUM(Q339:Q346,Q353:Q360,,Q367:Q374)</f>
        <v>3005039.9991447539</v>
      </c>
      <c r="R375" s="493">
        <f t="shared" ref="R375" si="445">SUM(R339:R346,R353:R360,,R367:R374)</f>
        <v>3005039.9991447539</v>
      </c>
      <c r="S375" s="493">
        <f t="shared" ref="S375" si="446">SUM(S339:S346,S353:S360,,S367:S374)</f>
        <v>3005039.9991447539</v>
      </c>
      <c r="T375" s="493">
        <f t="shared" ref="T375" si="447">SUM(T339:T346,T353:T360,,T367:T374)</f>
        <v>3005039.9991447539</v>
      </c>
      <c r="U375" s="493">
        <f t="shared" ref="U375" si="448">SUM(U339:U346,U353:U360,,U367:U374)</f>
        <v>3005039.9991447539</v>
      </c>
      <c r="V375" s="493">
        <f t="shared" ref="V375" si="449">SUM(V339:V346,V353:V360,,V367:V374)</f>
        <v>3005039.9991447539</v>
      </c>
      <c r="W375" s="493">
        <f t="shared" ref="W375" si="450">SUM(W339:W346,W353:W360,,W367:W374)</f>
        <v>3005039.9991447539</v>
      </c>
      <c r="X375" s="493">
        <f t="shared" ref="X375" si="451">SUM(X339:X346,X353:X360,,X367:X374)</f>
        <v>3005039.9991447539</v>
      </c>
      <c r="Y375" s="493">
        <f t="shared" ref="Y375" si="452">SUM(Y339:Y346,Y353:Y360,,Y367:Y374)</f>
        <v>3005039.9991447539</v>
      </c>
      <c r="Z375" s="493">
        <f t="shared" ref="Z375" si="453">SUM(Z339:Z346,Z353:Z360,,Z367:Z374)</f>
        <v>3005039.9991447539</v>
      </c>
      <c r="AA375" s="493">
        <f t="shared" ref="AA375" si="454">SUM(AA339:AA346,AA353:AA360,,AA367:AA374)</f>
        <v>3005039.9991447539</v>
      </c>
      <c r="AB375" s="493">
        <f t="shared" ref="AB375" si="455">SUM(AB339:AB346,AB353:AB360,,AB367:AB374)</f>
        <v>3005039.9991447539</v>
      </c>
      <c r="AC375" s="493">
        <f t="shared" ref="AC375" si="456">SUM(AC339:AC346,AC353:AC360,,AC367:AC374)</f>
        <v>3005039.9991447539</v>
      </c>
      <c r="AD375" s="493">
        <f t="shared" ref="AD375" si="457">SUM(AD339:AD346,AD353:AD360,,AD367:AD374)</f>
        <v>3005039.9991447539</v>
      </c>
      <c r="AE375" s="493">
        <f t="shared" ref="AE375" si="458">SUM(AE339:AE346,AE353:AE360,,AE367:AE374)</f>
        <v>3005039.9991447539</v>
      </c>
      <c r="AF375" s="493">
        <f t="shared" ref="AF375" si="459">SUM(AF339:AF346,AF353:AF360,,AF367:AF374)</f>
        <v>3005039.9991447539</v>
      </c>
      <c r="AG375" s="493">
        <f t="shared" ref="AG375" si="460">SUM(AG339:AG346,AG353:AG360,,AG367:AG374)</f>
        <v>3005039.9991447539</v>
      </c>
      <c r="AH375" s="493">
        <f t="shared" ref="AH375" si="461">SUM(AH339:AH346,AH353:AH360,,AH367:AH374)</f>
        <v>3005039.9991447539</v>
      </c>
      <c r="AI375" s="535">
        <f t="shared" ref="AI375" si="462">SUM(AI339:AI346,AI353:AI360,,AI367:AI374)</f>
        <v>30050399.991447534</v>
      </c>
      <c r="AJ375" s="535">
        <f t="shared" ref="AJ375" si="463">SUM(AJ339:AJ346,AJ353:AJ360,,AJ367:AJ374)</f>
        <v>60100799.982895069</v>
      </c>
      <c r="AK375" s="497">
        <f t="shared" ref="AK375" si="464">SUM(AK339:AK346,AK353:AK360,,AK367:AK374)</f>
        <v>90151199.9743426</v>
      </c>
    </row>
    <row r="376" spans="1:37" ht="11.5" x14ac:dyDescent="0.25">
      <c r="A376" s="1410" t="s">
        <v>1091</v>
      </c>
      <c r="B376" s="1403"/>
      <c r="C376" s="1404" t="s">
        <v>37</v>
      </c>
      <c r="D376" s="1397">
        <f>D332*1.1-D375</f>
        <v>0</v>
      </c>
      <c r="E376" s="1397">
        <f>E332*1.1-E375</f>
        <v>23483529.108919319</v>
      </c>
      <c r="F376" s="1397">
        <f t="shared" ref="F376" si="465">F332*1.1-F375</f>
        <v>23483529.108919319</v>
      </c>
      <c r="G376" s="1397">
        <f t="shared" ref="G376" si="466">G332*1.1-G375</f>
        <v>23483529.108919319</v>
      </c>
      <c r="H376" s="1397">
        <f t="shared" ref="H376" si="467">H332*1.1-H375</f>
        <v>23483529.108919319</v>
      </c>
      <c r="I376" s="1397">
        <f t="shared" ref="I376" si="468">I332*1.1-I375</f>
        <v>23483529.108919319</v>
      </c>
      <c r="J376" s="1397">
        <f t="shared" ref="J376" si="469">J332*1.1-J375</f>
        <v>23483529.108919319</v>
      </c>
      <c r="K376" s="1397">
        <f t="shared" ref="K376" si="470">K332*1.1-K375</f>
        <v>23483529.108919319</v>
      </c>
      <c r="L376" s="1397">
        <f t="shared" ref="L376" si="471">L332*1.1-L375</f>
        <v>23483529.108919319</v>
      </c>
      <c r="M376" s="1397">
        <f t="shared" ref="M376" si="472">M332*1.1-M375</f>
        <v>23483529.108919319</v>
      </c>
      <c r="N376" s="1397">
        <f t="shared" ref="N376" si="473">N332*1.1-N375</f>
        <v>23483529.108919319</v>
      </c>
      <c r="O376" s="1397">
        <f t="shared" ref="O376" si="474">O332*1.1-O375</f>
        <v>23483529.108919319</v>
      </c>
      <c r="P376" s="1397">
        <f t="shared" ref="P376" si="475">P332*1.1-P375</f>
        <v>23483529.108919319</v>
      </c>
      <c r="Q376" s="1397">
        <f t="shared" ref="Q376" si="476">Q332*1.1-Q375</f>
        <v>23483529.108919319</v>
      </c>
      <c r="R376" s="1397">
        <f t="shared" ref="R376" si="477">R332*1.1-R375</f>
        <v>23483529.108919319</v>
      </c>
      <c r="S376" s="1397">
        <f t="shared" ref="S376" si="478">S332*1.1-S375</f>
        <v>23483529.108919319</v>
      </c>
      <c r="T376" s="1397">
        <f t="shared" ref="T376" si="479">T332*1.1-T375</f>
        <v>23483529.108919319</v>
      </c>
      <c r="U376" s="1397">
        <f t="shared" ref="U376" si="480">U332*1.1-U375</f>
        <v>23483529.108919319</v>
      </c>
      <c r="V376" s="1397">
        <f t="shared" ref="V376" si="481">V332*1.1-V375</f>
        <v>23483529.108919319</v>
      </c>
      <c r="W376" s="1397">
        <f t="shared" ref="W376" si="482">W332*1.1-W375</f>
        <v>23483529.108919319</v>
      </c>
      <c r="X376" s="1397">
        <f t="shared" ref="X376" si="483">X332*1.1-X375</f>
        <v>23483529.108919319</v>
      </c>
      <c r="Y376" s="1397">
        <f t="shared" ref="Y376" si="484">Y332*1.1-Y375</f>
        <v>23483529.108919319</v>
      </c>
      <c r="Z376" s="1397">
        <f t="shared" ref="Z376" si="485">Z332*1.1-Z375</f>
        <v>23483529.108919319</v>
      </c>
      <c r="AA376" s="1397">
        <f t="shared" ref="AA376" si="486">AA332*1.1-AA375</f>
        <v>23483529.108919319</v>
      </c>
      <c r="AB376" s="1397">
        <f t="shared" ref="AB376" si="487">AB332*1.1-AB375</f>
        <v>23483529.108919319</v>
      </c>
      <c r="AC376" s="1397">
        <f t="shared" ref="AC376" si="488">AC332*1.1-AC375</f>
        <v>23483529.108919319</v>
      </c>
      <c r="AD376" s="1397">
        <f t="shared" ref="AD376" si="489">AD332*1.1-AD375</f>
        <v>23483529.108919319</v>
      </c>
      <c r="AE376" s="1397">
        <f t="shared" ref="AE376" si="490">AE332*1.1-AE375</f>
        <v>23483529.108919319</v>
      </c>
      <c r="AF376" s="1397">
        <f t="shared" ref="AF376" si="491">AF332*1.1-AF375</f>
        <v>23483529.108919319</v>
      </c>
      <c r="AG376" s="1397">
        <f t="shared" ref="AG376" si="492">AG332*1.1-AG375</f>
        <v>23483529.108919319</v>
      </c>
      <c r="AH376" s="1397">
        <f t="shared" ref="AH376" si="493">AH332*1.1-AH375</f>
        <v>23483529.108919319</v>
      </c>
      <c r="AI376" s="1405">
        <f t="shared" ref="AI376:AK376" si="494">AI332-AI375</f>
        <v>210754773.71822581</v>
      </c>
      <c r="AJ376" s="1405">
        <f t="shared" si="494"/>
        <v>421509547.43645155</v>
      </c>
      <c r="AK376" s="1406">
        <f t="shared" si="494"/>
        <v>632264321.15467775</v>
      </c>
    </row>
    <row r="377" spans="1:37" ht="11.5" x14ac:dyDescent="0.25">
      <c r="A377" s="439" t="s">
        <v>206</v>
      </c>
      <c r="B377" s="416"/>
      <c r="C377" s="452"/>
      <c r="D377" s="493"/>
      <c r="E377" s="493"/>
      <c r="F377" s="493"/>
      <c r="G377" s="493"/>
      <c r="H377" s="493"/>
      <c r="I377" s="493"/>
      <c r="J377" s="493"/>
      <c r="K377" s="493"/>
      <c r="L377" s="493"/>
      <c r="M377" s="493"/>
      <c r="N377" s="493"/>
      <c r="O377" s="493"/>
      <c r="P377" s="493"/>
      <c r="Q377" s="493"/>
      <c r="R377" s="493"/>
      <c r="S377" s="493"/>
      <c r="T377" s="493"/>
      <c r="U377" s="493"/>
      <c r="V377" s="493"/>
      <c r="W377" s="493"/>
      <c r="X377" s="493"/>
      <c r="Y377" s="493"/>
      <c r="Z377" s="493"/>
      <c r="AA377" s="493"/>
      <c r="AB377" s="493"/>
      <c r="AC377" s="493"/>
      <c r="AD377" s="493"/>
      <c r="AE377" s="493"/>
      <c r="AF377" s="493"/>
      <c r="AG377" s="493"/>
      <c r="AH377" s="493"/>
      <c r="AI377" s="535"/>
      <c r="AJ377" s="535"/>
      <c r="AK377" s="497"/>
    </row>
    <row r="378" spans="1:37" ht="11.5" x14ac:dyDescent="0.25">
      <c r="A378" s="439" t="s">
        <v>207</v>
      </c>
      <c r="B378" s="416"/>
      <c r="C378" s="451" t="s">
        <v>37</v>
      </c>
      <c r="D378" s="493"/>
      <c r="E378" s="493">
        <f>E39*地域経済性分析・初期条件!$F$41</f>
        <v>0</v>
      </c>
      <c r="F378" s="493">
        <f>F39*地域経済性分析・初期条件!$F$41</f>
        <v>0</v>
      </c>
      <c r="G378" s="493">
        <f>G39*地域経済性分析・初期条件!$F$41</f>
        <v>0</v>
      </c>
      <c r="H378" s="493">
        <f>H39*地域経済性分析・初期条件!$F$41</f>
        <v>0</v>
      </c>
      <c r="I378" s="493">
        <f>I39*地域経済性分析・初期条件!$F$41</f>
        <v>0</v>
      </c>
      <c r="J378" s="493">
        <f>J39*地域経済性分析・初期条件!$F$41</f>
        <v>0</v>
      </c>
      <c r="K378" s="493">
        <f>K39*地域経済性分析・初期条件!$F$41</f>
        <v>0</v>
      </c>
      <c r="L378" s="493">
        <f>L39*地域経済性分析・初期条件!$F$41</f>
        <v>0</v>
      </c>
      <c r="M378" s="493">
        <f>M39*地域経済性分析・初期条件!$F$41</f>
        <v>0</v>
      </c>
      <c r="N378" s="493">
        <f>N39*地域経済性分析・初期条件!$F$41</f>
        <v>0</v>
      </c>
      <c r="O378" s="493">
        <f>O39*地域経済性分析・初期条件!$F$41</f>
        <v>0</v>
      </c>
      <c r="P378" s="493">
        <f>P39*地域経済性分析・初期条件!$F$41</f>
        <v>0</v>
      </c>
      <c r="Q378" s="493">
        <f>Q39*地域経済性分析・初期条件!$F$41</f>
        <v>0</v>
      </c>
      <c r="R378" s="493">
        <f>R39*地域経済性分析・初期条件!$F$41</f>
        <v>0</v>
      </c>
      <c r="S378" s="493">
        <f>S39*地域経済性分析・初期条件!$F$41</f>
        <v>0</v>
      </c>
      <c r="T378" s="493">
        <f>T39*地域経済性分析・初期条件!$F$41</f>
        <v>0</v>
      </c>
      <c r="U378" s="493">
        <f>U39*地域経済性分析・初期条件!$F$41</f>
        <v>0</v>
      </c>
      <c r="V378" s="493">
        <f>V39*地域経済性分析・初期条件!$F$41</f>
        <v>0</v>
      </c>
      <c r="W378" s="493">
        <f>W39*地域経済性分析・初期条件!$F$41</f>
        <v>0</v>
      </c>
      <c r="X378" s="493">
        <f>X39*地域経済性分析・初期条件!$F$41</f>
        <v>0</v>
      </c>
      <c r="Y378" s="493">
        <f>Y39*地域経済性分析・初期条件!$F$41</f>
        <v>0</v>
      </c>
      <c r="Z378" s="493">
        <f>Z39*地域経済性分析・初期条件!$F$41</f>
        <v>0</v>
      </c>
      <c r="AA378" s="493">
        <f>AA39*地域経済性分析・初期条件!$F$41</f>
        <v>0</v>
      </c>
      <c r="AB378" s="493">
        <f>AB39*地域経済性分析・初期条件!$F$41</f>
        <v>0</v>
      </c>
      <c r="AC378" s="493">
        <f>AC39*地域経済性分析・初期条件!$F$41</f>
        <v>0</v>
      </c>
      <c r="AD378" s="493">
        <f>AD39*地域経済性分析・初期条件!$F$41</f>
        <v>0</v>
      </c>
      <c r="AE378" s="493">
        <f>AE39*地域経済性分析・初期条件!$F$41</f>
        <v>0</v>
      </c>
      <c r="AF378" s="493">
        <f>AF39*地域経済性分析・初期条件!$F$41</f>
        <v>0</v>
      </c>
      <c r="AG378" s="493">
        <f>AG39*地域経済性分析・初期条件!$F$41</f>
        <v>0</v>
      </c>
      <c r="AH378" s="493">
        <f>AH39*地域経済性分析・初期条件!$F$41</f>
        <v>0</v>
      </c>
      <c r="AI378" s="535">
        <f t="shared" ref="AI378:AI391" si="495">SUM(D378:N378)</f>
        <v>0</v>
      </c>
      <c r="AJ378" s="535">
        <f>SUM(D378:X378)</f>
        <v>0</v>
      </c>
      <c r="AK378" s="497">
        <f>SUM(D378:AH378)</f>
        <v>0</v>
      </c>
    </row>
    <row r="379" spans="1:37" ht="11.5" x14ac:dyDescent="0.25">
      <c r="A379" s="491"/>
      <c r="B379" s="439" t="s">
        <v>269</v>
      </c>
      <c r="C379" s="451" t="s">
        <v>37</v>
      </c>
      <c r="D379" s="493"/>
      <c r="E379" s="493">
        <f>E$378*地域経済性分析・初期条件!$H$41</f>
        <v>0</v>
      </c>
      <c r="F379" s="493">
        <f>F$378*地域経済性分析・初期条件!$H$41</f>
        <v>0</v>
      </c>
      <c r="G379" s="493">
        <f>G$378*地域経済性分析・初期条件!$H$41</f>
        <v>0</v>
      </c>
      <c r="H379" s="493">
        <f>H$378*地域経済性分析・初期条件!$H$41</f>
        <v>0</v>
      </c>
      <c r="I379" s="493">
        <f>I$378*地域経済性分析・初期条件!$H$41</f>
        <v>0</v>
      </c>
      <c r="J379" s="493">
        <f>J$378*地域経済性分析・初期条件!$H$41</f>
        <v>0</v>
      </c>
      <c r="K379" s="493">
        <f>K$378*地域経済性分析・初期条件!$H$41</f>
        <v>0</v>
      </c>
      <c r="L379" s="493">
        <f>L$378*地域経済性分析・初期条件!$H$41</f>
        <v>0</v>
      </c>
      <c r="M379" s="493">
        <f>M$378*地域経済性分析・初期条件!$H$41</f>
        <v>0</v>
      </c>
      <c r="N379" s="493">
        <f>N$378*地域経済性分析・初期条件!$H$41</f>
        <v>0</v>
      </c>
      <c r="O379" s="493">
        <f>O$378*地域経済性分析・初期条件!$H$41</f>
        <v>0</v>
      </c>
      <c r="P379" s="493">
        <f>P$378*地域経済性分析・初期条件!$H$41</f>
        <v>0</v>
      </c>
      <c r="Q379" s="493">
        <f>Q$378*地域経済性分析・初期条件!$H$41</f>
        <v>0</v>
      </c>
      <c r="R379" s="493">
        <f>R$378*地域経済性分析・初期条件!$H$41</f>
        <v>0</v>
      </c>
      <c r="S379" s="493">
        <f>S$378*地域経済性分析・初期条件!$H$41</f>
        <v>0</v>
      </c>
      <c r="T379" s="493">
        <f>T$378*地域経済性分析・初期条件!$H$41</f>
        <v>0</v>
      </c>
      <c r="U379" s="493">
        <f>U$378*地域経済性分析・初期条件!$H$41</f>
        <v>0</v>
      </c>
      <c r="V379" s="493">
        <f>V$378*地域経済性分析・初期条件!$H$41</f>
        <v>0</v>
      </c>
      <c r="W379" s="493">
        <f>W$378*地域経済性分析・初期条件!$H$41</f>
        <v>0</v>
      </c>
      <c r="X379" s="493">
        <f>X$378*地域経済性分析・初期条件!$H$41</f>
        <v>0</v>
      </c>
      <c r="Y379" s="493">
        <f>Y$378*地域経済性分析・初期条件!$H$41</f>
        <v>0</v>
      </c>
      <c r="Z379" s="493">
        <f>Z$378*地域経済性分析・初期条件!$H$41</f>
        <v>0</v>
      </c>
      <c r="AA379" s="493">
        <f>AA$378*地域経済性分析・初期条件!$H$41</f>
        <v>0</v>
      </c>
      <c r="AB379" s="493">
        <f>AB$378*地域経済性分析・初期条件!$H$41</f>
        <v>0</v>
      </c>
      <c r="AC379" s="493">
        <f>AC$378*地域経済性分析・初期条件!$H$41</f>
        <v>0</v>
      </c>
      <c r="AD379" s="493">
        <f>AD$378*地域経済性分析・初期条件!$H$41</f>
        <v>0</v>
      </c>
      <c r="AE379" s="493">
        <f>AE$378*地域経済性分析・初期条件!$H$41</f>
        <v>0</v>
      </c>
      <c r="AF379" s="493">
        <f>AF$378*地域経済性分析・初期条件!$H$41</f>
        <v>0</v>
      </c>
      <c r="AG379" s="493">
        <f>AG$378*地域経済性分析・初期条件!$H$41</f>
        <v>0</v>
      </c>
      <c r="AH379" s="493">
        <f>AH$378*地域経済性分析・初期条件!$H$41</f>
        <v>0</v>
      </c>
      <c r="AI379" s="535">
        <f t="shared" si="495"/>
        <v>0</v>
      </c>
      <c r="AJ379" s="535">
        <f>SUM(D379:X379)</f>
        <v>0</v>
      </c>
      <c r="AK379" s="497">
        <f>SUM(D379:AH379)</f>
        <v>0</v>
      </c>
    </row>
    <row r="380" spans="1:37" ht="11.5" x14ac:dyDescent="0.25">
      <c r="A380" s="491"/>
      <c r="B380" s="439" t="s">
        <v>270</v>
      </c>
      <c r="C380" s="451" t="s">
        <v>239</v>
      </c>
      <c r="D380" s="493"/>
      <c r="E380" s="493">
        <f>E$378*地域経済性分析・初期条件!$I$41</f>
        <v>0</v>
      </c>
      <c r="F380" s="493">
        <f>F$378*地域経済性分析・初期条件!$I$41</f>
        <v>0</v>
      </c>
      <c r="G380" s="493">
        <f>G$378*地域経済性分析・初期条件!$I$41</f>
        <v>0</v>
      </c>
      <c r="H380" s="493">
        <f>H$378*地域経済性分析・初期条件!$I$41</f>
        <v>0</v>
      </c>
      <c r="I380" s="493">
        <f>I$378*地域経済性分析・初期条件!$I$41</f>
        <v>0</v>
      </c>
      <c r="J380" s="493">
        <f>J$378*地域経済性分析・初期条件!$I$41</f>
        <v>0</v>
      </c>
      <c r="K380" s="493">
        <f>K$378*地域経済性分析・初期条件!$I$41</f>
        <v>0</v>
      </c>
      <c r="L380" s="493">
        <f>L$378*地域経済性分析・初期条件!$I$41</f>
        <v>0</v>
      </c>
      <c r="M380" s="493">
        <f>M$378*地域経済性分析・初期条件!$I$41</f>
        <v>0</v>
      </c>
      <c r="N380" s="493">
        <f>N$378*地域経済性分析・初期条件!$I$41</f>
        <v>0</v>
      </c>
      <c r="O380" s="493">
        <f>O$378*地域経済性分析・初期条件!$I$41</f>
        <v>0</v>
      </c>
      <c r="P380" s="493">
        <f>P$378*地域経済性分析・初期条件!$I$41</f>
        <v>0</v>
      </c>
      <c r="Q380" s="493">
        <f>Q$378*地域経済性分析・初期条件!$I$41</f>
        <v>0</v>
      </c>
      <c r="R380" s="493">
        <f>R$378*地域経済性分析・初期条件!$I$41</f>
        <v>0</v>
      </c>
      <c r="S380" s="493">
        <f>S$378*地域経済性分析・初期条件!$I$41</f>
        <v>0</v>
      </c>
      <c r="T380" s="493">
        <f>T$378*地域経済性分析・初期条件!$I$41</f>
        <v>0</v>
      </c>
      <c r="U380" s="493">
        <f>U$378*地域経済性分析・初期条件!$I$41</f>
        <v>0</v>
      </c>
      <c r="V380" s="493">
        <f>V$378*地域経済性分析・初期条件!$I$41</f>
        <v>0</v>
      </c>
      <c r="W380" s="493">
        <f>W$378*地域経済性分析・初期条件!$I$41</f>
        <v>0</v>
      </c>
      <c r="X380" s="493">
        <f>X$378*地域経済性分析・初期条件!$I$41</f>
        <v>0</v>
      </c>
      <c r="Y380" s="493">
        <f>Y$378*地域経済性分析・初期条件!$I$41</f>
        <v>0</v>
      </c>
      <c r="Z380" s="493">
        <f>Z$378*地域経済性分析・初期条件!$I$41</f>
        <v>0</v>
      </c>
      <c r="AA380" s="493">
        <f>AA$378*地域経済性分析・初期条件!$I$41</f>
        <v>0</v>
      </c>
      <c r="AB380" s="493">
        <f>AB$378*地域経済性分析・初期条件!$I$41</f>
        <v>0</v>
      </c>
      <c r="AC380" s="493">
        <f>AC$378*地域経済性分析・初期条件!$I$41</f>
        <v>0</v>
      </c>
      <c r="AD380" s="493">
        <f>AD$378*地域経済性分析・初期条件!$I$41</f>
        <v>0</v>
      </c>
      <c r="AE380" s="493">
        <f>AE$378*地域経済性分析・初期条件!$I$41</f>
        <v>0</v>
      </c>
      <c r="AF380" s="493">
        <f>AF$378*地域経済性分析・初期条件!$I$41</f>
        <v>0</v>
      </c>
      <c r="AG380" s="493">
        <f>AG$378*地域経済性分析・初期条件!$I$41</f>
        <v>0</v>
      </c>
      <c r="AH380" s="493">
        <f>AH$378*地域経済性分析・初期条件!$I$41</f>
        <v>0</v>
      </c>
      <c r="AI380" s="535">
        <f t="shared" si="495"/>
        <v>0</v>
      </c>
      <c r="AJ380" s="535">
        <f>SUM(D380:X380)</f>
        <v>0</v>
      </c>
      <c r="AK380" s="497">
        <f>SUM(D380:AH380)</f>
        <v>0</v>
      </c>
    </row>
    <row r="381" spans="1:37" ht="11.5" x14ac:dyDescent="0.25">
      <c r="A381" s="533"/>
      <c r="B381" s="439" t="s">
        <v>351</v>
      </c>
      <c r="C381" s="452" t="s">
        <v>333</v>
      </c>
      <c r="D381" s="493"/>
      <c r="E381" s="493">
        <f>E378*地域経済性分析・初期条件!$P$41</f>
        <v>0</v>
      </c>
      <c r="F381" s="493">
        <f>F378*地域経済性分析・初期条件!$P$41</f>
        <v>0</v>
      </c>
      <c r="G381" s="493">
        <f>G378*地域経済性分析・初期条件!$P$41</f>
        <v>0</v>
      </c>
      <c r="H381" s="493">
        <f>H378*地域経済性分析・初期条件!$P$41</f>
        <v>0</v>
      </c>
      <c r="I381" s="493">
        <f>I378*地域経済性分析・初期条件!$P$41</f>
        <v>0</v>
      </c>
      <c r="J381" s="493">
        <f>J378*地域経済性分析・初期条件!$P$41</f>
        <v>0</v>
      </c>
      <c r="K381" s="493">
        <f>K378*地域経済性分析・初期条件!$P$41</f>
        <v>0</v>
      </c>
      <c r="L381" s="493">
        <f>L378*地域経済性分析・初期条件!$P$41</f>
        <v>0</v>
      </c>
      <c r="M381" s="493">
        <f>M378*地域経済性分析・初期条件!$P$41</f>
        <v>0</v>
      </c>
      <c r="N381" s="493">
        <f>N378*地域経済性分析・初期条件!$P$41</f>
        <v>0</v>
      </c>
      <c r="O381" s="493">
        <f>O378*地域経済性分析・初期条件!$P$41</f>
        <v>0</v>
      </c>
      <c r="P381" s="493">
        <f>P378*地域経済性分析・初期条件!$P$41</f>
        <v>0</v>
      </c>
      <c r="Q381" s="493">
        <f>Q378*地域経済性分析・初期条件!$P$41</f>
        <v>0</v>
      </c>
      <c r="R381" s="493">
        <f>R378*地域経済性分析・初期条件!$P$41</f>
        <v>0</v>
      </c>
      <c r="S381" s="493">
        <f>S378*地域経済性分析・初期条件!$P$41</f>
        <v>0</v>
      </c>
      <c r="T381" s="493">
        <f>T378*地域経済性分析・初期条件!$P$41</f>
        <v>0</v>
      </c>
      <c r="U381" s="493">
        <f>U378*地域経済性分析・初期条件!$P$41</f>
        <v>0</v>
      </c>
      <c r="V381" s="493">
        <f>V378*地域経済性分析・初期条件!$P$41</f>
        <v>0</v>
      </c>
      <c r="W381" s="493">
        <f>W378*地域経済性分析・初期条件!$P$41</f>
        <v>0</v>
      </c>
      <c r="X381" s="493">
        <f>X378*地域経済性分析・初期条件!$P$41</f>
        <v>0</v>
      </c>
      <c r="Y381" s="493">
        <f>Y378*地域経済性分析・初期条件!$P$41</f>
        <v>0</v>
      </c>
      <c r="Z381" s="493">
        <f>Z378*地域経済性分析・初期条件!$P$41</f>
        <v>0</v>
      </c>
      <c r="AA381" s="493">
        <f>AA378*地域経済性分析・初期条件!$P$41</f>
        <v>0</v>
      </c>
      <c r="AB381" s="493">
        <f>AB378*地域経済性分析・初期条件!$P$41</f>
        <v>0</v>
      </c>
      <c r="AC381" s="493">
        <f>AC378*地域経済性分析・初期条件!$P$41</f>
        <v>0</v>
      </c>
      <c r="AD381" s="493">
        <f>AD378*地域経済性分析・初期条件!$P$41</f>
        <v>0</v>
      </c>
      <c r="AE381" s="493">
        <f>AE378*地域経済性分析・初期条件!$P$41</f>
        <v>0</v>
      </c>
      <c r="AF381" s="493">
        <f>AF378*地域経済性分析・初期条件!$P$41</f>
        <v>0</v>
      </c>
      <c r="AG381" s="493">
        <f>AG378*地域経済性分析・初期条件!$P$41</f>
        <v>0</v>
      </c>
      <c r="AH381" s="493">
        <f>AH378*地域経済性分析・初期条件!$P$41</f>
        <v>0</v>
      </c>
      <c r="AI381" s="535">
        <f t="shared" si="495"/>
        <v>0</v>
      </c>
      <c r="AJ381" s="535">
        <f>SUM(D381:X381)</f>
        <v>0</v>
      </c>
      <c r="AK381" s="497">
        <f>SUM(D381:AH381)</f>
        <v>0</v>
      </c>
    </row>
    <row r="382" spans="1:37" ht="11.5" x14ac:dyDescent="0.25">
      <c r="A382" s="533"/>
      <c r="B382" s="439" t="s">
        <v>350</v>
      </c>
      <c r="C382" s="452" t="s">
        <v>333</v>
      </c>
      <c r="D382" s="493"/>
      <c r="E382" s="493">
        <f>E378*地域経済性分析・初期条件!$Q$41</f>
        <v>0</v>
      </c>
      <c r="F382" s="493">
        <f>F378*地域経済性分析・初期条件!$Q$41</f>
        <v>0</v>
      </c>
      <c r="G382" s="493">
        <f>G378*地域経済性分析・初期条件!$Q$41</f>
        <v>0</v>
      </c>
      <c r="H382" s="493">
        <f>H378*地域経済性分析・初期条件!$Q$41</f>
        <v>0</v>
      </c>
      <c r="I382" s="493">
        <f>I378*地域経済性分析・初期条件!$Q$41</f>
        <v>0</v>
      </c>
      <c r="J382" s="493">
        <f>J378*地域経済性分析・初期条件!$Q$41</f>
        <v>0</v>
      </c>
      <c r="K382" s="493">
        <f>K378*地域経済性分析・初期条件!$Q$41</f>
        <v>0</v>
      </c>
      <c r="L382" s="493">
        <f>L378*地域経済性分析・初期条件!$Q$41</f>
        <v>0</v>
      </c>
      <c r="M382" s="493">
        <f>M378*地域経済性分析・初期条件!$Q$41</f>
        <v>0</v>
      </c>
      <c r="N382" s="493">
        <f>N378*地域経済性分析・初期条件!$Q$41</f>
        <v>0</v>
      </c>
      <c r="O382" s="493">
        <f>O378*地域経済性分析・初期条件!$Q$41</f>
        <v>0</v>
      </c>
      <c r="P382" s="493">
        <f>P378*地域経済性分析・初期条件!$Q$41</f>
        <v>0</v>
      </c>
      <c r="Q382" s="493">
        <f>Q378*地域経済性分析・初期条件!$Q$41</f>
        <v>0</v>
      </c>
      <c r="R382" s="493">
        <f>R378*地域経済性分析・初期条件!$Q$41</f>
        <v>0</v>
      </c>
      <c r="S382" s="493">
        <f>S378*地域経済性分析・初期条件!$Q$41</f>
        <v>0</v>
      </c>
      <c r="T382" s="493">
        <f>T378*地域経済性分析・初期条件!$Q$41</f>
        <v>0</v>
      </c>
      <c r="U382" s="493">
        <f>U378*地域経済性分析・初期条件!$Q$41</f>
        <v>0</v>
      </c>
      <c r="V382" s="493">
        <f>V378*地域経済性分析・初期条件!$Q$41</f>
        <v>0</v>
      </c>
      <c r="W382" s="493">
        <f>W378*地域経済性分析・初期条件!$Q$41</f>
        <v>0</v>
      </c>
      <c r="X382" s="493">
        <f>X378*地域経済性分析・初期条件!$Q$41</f>
        <v>0</v>
      </c>
      <c r="Y382" s="493">
        <f>Y378*地域経済性分析・初期条件!$Q$41</f>
        <v>0</v>
      </c>
      <c r="Z382" s="493">
        <f>Z378*地域経済性分析・初期条件!$Q$41</f>
        <v>0</v>
      </c>
      <c r="AA382" s="493">
        <f>AA378*地域経済性分析・初期条件!$Q$41</f>
        <v>0</v>
      </c>
      <c r="AB382" s="493">
        <f>AB378*地域経済性分析・初期条件!$Q$41</f>
        <v>0</v>
      </c>
      <c r="AC382" s="493">
        <f>AC378*地域経済性分析・初期条件!$Q$41</f>
        <v>0</v>
      </c>
      <c r="AD382" s="493">
        <f>AD378*地域経済性分析・初期条件!$Q$41</f>
        <v>0</v>
      </c>
      <c r="AE382" s="493">
        <f>AE378*地域経済性分析・初期条件!$Q$41</f>
        <v>0</v>
      </c>
      <c r="AF382" s="493">
        <f>AF378*地域経済性分析・初期条件!$Q$41</f>
        <v>0</v>
      </c>
      <c r="AG382" s="493">
        <f>AG378*地域経済性分析・初期条件!$Q$41</f>
        <v>0</v>
      </c>
      <c r="AH382" s="493">
        <f>AH378*地域経済性分析・初期条件!$Q$41</f>
        <v>0</v>
      </c>
      <c r="AI382" s="535">
        <f t="shared" si="495"/>
        <v>0</v>
      </c>
      <c r="AJ382" s="535">
        <f>SUM(D382:X382)</f>
        <v>0</v>
      </c>
      <c r="AK382" s="497">
        <f>SUM(D382:AH382)</f>
        <v>0</v>
      </c>
    </row>
    <row r="383" spans="1:37" ht="11.5" x14ac:dyDescent="0.25">
      <c r="A383" s="533" t="e">
        <f>#REF!&amp;B383</f>
        <v>#REF!</v>
      </c>
      <c r="B383" s="439" t="s">
        <v>331</v>
      </c>
      <c r="C383" s="451" t="s">
        <v>37</v>
      </c>
      <c r="D383" s="493"/>
      <c r="E383" s="493">
        <f>E378*地域経済性分析・初期条件!$J$41</f>
        <v>0</v>
      </c>
      <c r="F383" s="493">
        <f>F378*地域経済性分析・初期条件!$J$41</f>
        <v>0</v>
      </c>
      <c r="G383" s="493">
        <f>G378*地域経済性分析・初期条件!$J$41</f>
        <v>0</v>
      </c>
      <c r="H383" s="493">
        <f>H378*地域経済性分析・初期条件!$J$41</f>
        <v>0</v>
      </c>
      <c r="I383" s="493">
        <f>I378*地域経済性分析・初期条件!$J$41</f>
        <v>0</v>
      </c>
      <c r="J383" s="493">
        <f>J378*地域経済性分析・初期条件!$J$41</f>
        <v>0</v>
      </c>
      <c r="K383" s="493">
        <f>K378*地域経済性分析・初期条件!$J$41</f>
        <v>0</v>
      </c>
      <c r="L383" s="493">
        <f>L378*地域経済性分析・初期条件!$J$41</f>
        <v>0</v>
      </c>
      <c r="M383" s="493">
        <f>M378*地域経済性分析・初期条件!$J$41</f>
        <v>0</v>
      </c>
      <c r="N383" s="493">
        <f>N378*地域経済性分析・初期条件!$J$41</f>
        <v>0</v>
      </c>
      <c r="O383" s="493">
        <f>O378*地域経済性分析・初期条件!$J$41</f>
        <v>0</v>
      </c>
      <c r="P383" s="493">
        <f>P378*地域経済性分析・初期条件!$J$41</f>
        <v>0</v>
      </c>
      <c r="Q383" s="493">
        <f>Q378*地域経済性分析・初期条件!$J$41</f>
        <v>0</v>
      </c>
      <c r="R383" s="493">
        <f>R378*地域経済性分析・初期条件!$J$41</f>
        <v>0</v>
      </c>
      <c r="S383" s="493">
        <f>S378*地域経済性分析・初期条件!$J$41</f>
        <v>0</v>
      </c>
      <c r="T383" s="493">
        <f>T378*地域経済性分析・初期条件!$J$41</f>
        <v>0</v>
      </c>
      <c r="U383" s="493">
        <f>U378*地域経済性分析・初期条件!$J$41</f>
        <v>0</v>
      </c>
      <c r="V383" s="493">
        <f>V378*地域経済性分析・初期条件!$J$41</f>
        <v>0</v>
      </c>
      <c r="W383" s="493">
        <f>W378*地域経済性分析・初期条件!$J$41</f>
        <v>0</v>
      </c>
      <c r="X383" s="493">
        <f>X378*地域経済性分析・初期条件!$J$41</f>
        <v>0</v>
      </c>
      <c r="Y383" s="493">
        <f>Y378*地域経済性分析・初期条件!$J$41</f>
        <v>0</v>
      </c>
      <c r="Z383" s="493">
        <f>Z378*地域経済性分析・初期条件!$J$41</f>
        <v>0</v>
      </c>
      <c r="AA383" s="493">
        <f>AA378*地域経済性分析・初期条件!$J$41</f>
        <v>0</v>
      </c>
      <c r="AB383" s="493">
        <f>AB378*地域経済性分析・初期条件!$J$41</f>
        <v>0</v>
      </c>
      <c r="AC383" s="493">
        <f>AC378*地域経済性分析・初期条件!$J$41</f>
        <v>0</v>
      </c>
      <c r="AD383" s="493">
        <f>AD378*地域経済性分析・初期条件!$J$41</f>
        <v>0</v>
      </c>
      <c r="AE383" s="493">
        <f>AE378*地域経済性分析・初期条件!$J$41</f>
        <v>0</v>
      </c>
      <c r="AF383" s="493">
        <f>AF378*地域経済性分析・初期条件!$J$41</f>
        <v>0</v>
      </c>
      <c r="AG383" s="493">
        <f>AG378*地域経済性分析・初期条件!$J$41</f>
        <v>0</v>
      </c>
      <c r="AH383" s="493">
        <f>AH378*地域経済性分析・初期条件!$J$41</f>
        <v>0</v>
      </c>
      <c r="AI383" s="535">
        <f t="shared" si="495"/>
        <v>0</v>
      </c>
      <c r="AJ383" s="535">
        <f t="shared" ref="AJ383:AJ388" si="496">SUM(D383:X383)</f>
        <v>0</v>
      </c>
      <c r="AK383" s="497">
        <f t="shared" ref="AK383:AK388" si="497">SUM(D383:AH383)</f>
        <v>0</v>
      </c>
    </row>
    <row r="384" spans="1:37" ht="11.5" x14ac:dyDescent="0.25">
      <c r="A384" s="533" t="e">
        <f>#REF!&amp;B384</f>
        <v>#REF!</v>
      </c>
      <c r="B384" s="439" t="s">
        <v>332</v>
      </c>
      <c r="C384" s="452" t="s">
        <v>37</v>
      </c>
      <c r="D384" s="493"/>
      <c r="E384" s="493">
        <f>E378*地域経済性分析・初期条件!$K$41</f>
        <v>0</v>
      </c>
      <c r="F384" s="493">
        <f>F378*地域経済性分析・初期条件!$K$41</f>
        <v>0</v>
      </c>
      <c r="G384" s="493">
        <f>G378*地域経済性分析・初期条件!$K$41</f>
        <v>0</v>
      </c>
      <c r="H384" s="493">
        <f>H378*地域経済性分析・初期条件!$K$41</f>
        <v>0</v>
      </c>
      <c r="I384" s="493">
        <f>I378*地域経済性分析・初期条件!$K$41</f>
        <v>0</v>
      </c>
      <c r="J384" s="493">
        <f>J378*地域経済性分析・初期条件!$K$41</f>
        <v>0</v>
      </c>
      <c r="K384" s="493">
        <f>K378*地域経済性分析・初期条件!$K$41</f>
        <v>0</v>
      </c>
      <c r="L384" s="493">
        <f>L378*地域経済性分析・初期条件!$K$41</f>
        <v>0</v>
      </c>
      <c r="M384" s="493">
        <f>M378*地域経済性分析・初期条件!$K$41</f>
        <v>0</v>
      </c>
      <c r="N384" s="493">
        <f>N378*地域経済性分析・初期条件!$K$41</f>
        <v>0</v>
      </c>
      <c r="O384" s="493">
        <f>O378*地域経済性分析・初期条件!$K$41</f>
        <v>0</v>
      </c>
      <c r="P384" s="493">
        <f>P378*地域経済性分析・初期条件!$K$41</f>
        <v>0</v>
      </c>
      <c r="Q384" s="493">
        <f>Q378*地域経済性分析・初期条件!$K$41</f>
        <v>0</v>
      </c>
      <c r="R384" s="493">
        <f>R378*地域経済性分析・初期条件!$K$41</f>
        <v>0</v>
      </c>
      <c r="S384" s="493">
        <f>S378*地域経済性分析・初期条件!$K$41</f>
        <v>0</v>
      </c>
      <c r="T384" s="493">
        <f>T378*地域経済性分析・初期条件!$K$41</f>
        <v>0</v>
      </c>
      <c r="U384" s="493">
        <f>U378*地域経済性分析・初期条件!$K$41</f>
        <v>0</v>
      </c>
      <c r="V384" s="493">
        <f>V378*地域経済性分析・初期条件!$K$41</f>
        <v>0</v>
      </c>
      <c r="W384" s="493">
        <f>W378*地域経済性分析・初期条件!$K$41</f>
        <v>0</v>
      </c>
      <c r="X384" s="493">
        <f>X378*地域経済性分析・初期条件!$K$41</f>
        <v>0</v>
      </c>
      <c r="Y384" s="493">
        <f>Y378*地域経済性分析・初期条件!$K$41</f>
        <v>0</v>
      </c>
      <c r="Z384" s="493">
        <f>Z378*地域経済性分析・初期条件!$K$41</f>
        <v>0</v>
      </c>
      <c r="AA384" s="493">
        <f>AA378*地域経済性分析・初期条件!$K$41</f>
        <v>0</v>
      </c>
      <c r="AB384" s="493">
        <f>AB378*地域経済性分析・初期条件!$K$41</f>
        <v>0</v>
      </c>
      <c r="AC384" s="493">
        <f>AC378*地域経済性分析・初期条件!$K$41</f>
        <v>0</v>
      </c>
      <c r="AD384" s="493">
        <f>AD378*地域経済性分析・初期条件!$K$41</f>
        <v>0</v>
      </c>
      <c r="AE384" s="493">
        <f>AE378*地域経済性分析・初期条件!$K$41</f>
        <v>0</v>
      </c>
      <c r="AF384" s="493">
        <f>AF378*地域経済性分析・初期条件!$K$41</f>
        <v>0</v>
      </c>
      <c r="AG384" s="493">
        <f>AG378*地域経済性分析・初期条件!$K$41</f>
        <v>0</v>
      </c>
      <c r="AH384" s="493">
        <f>AH378*地域経済性分析・初期条件!$K$41</f>
        <v>0</v>
      </c>
      <c r="AI384" s="535">
        <f t="shared" si="495"/>
        <v>0</v>
      </c>
      <c r="AJ384" s="535">
        <f t="shared" si="496"/>
        <v>0</v>
      </c>
      <c r="AK384" s="497">
        <f t="shared" si="497"/>
        <v>0</v>
      </c>
    </row>
    <row r="385" spans="1:37" ht="11.5" x14ac:dyDescent="0.25">
      <c r="A385" s="533"/>
      <c r="B385" s="439" t="s">
        <v>334</v>
      </c>
      <c r="C385" s="452" t="s">
        <v>333</v>
      </c>
      <c r="D385" s="493"/>
      <c r="E385" s="493">
        <f>E378*地域経済性分析・初期条件!$L$41</f>
        <v>0</v>
      </c>
      <c r="F385" s="493">
        <f>F378*地域経済性分析・初期条件!$L$41</f>
        <v>0</v>
      </c>
      <c r="G385" s="493">
        <f>G378*地域経済性分析・初期条件!$L$41</f>
        <v>0</v>
      </c>
      <c r="H385" s="493">
        <f>H378*地域経済性分析・初期条件!$L$41</f>
        <v>0</v>
      </c>
      <c r="I385" s="493">
        <f>I378*地域経済性分析・初期条件!$L$41</f>
        <v>0</v>
      </c>
      <c r="J385" s="493">
        <f>J378*地域経済性分析・初期条件!$L$41</f>
        <v>0</v>
      </c>
      <c r="K385" s="493">
        <f>K378*地域経済性分析・初期条件!$L$41</f>
        <v>0</v>
      </c>
      <c r="L385" s="493">
        <f>L378*地域経済性分析・初期条件!$L$41</f>
        <v>0</v>
      </c>
      <c r="M385" s="493">
        <f>M378*地域経済性分析・初期条件!$L$41</f>
        <v>0</v>
      </c>
      <c r="N385" s="493">
        <f>N378*地域経済性分析・初期条件!$L$41</f>
        <v>0</v>
      </c>
      <c r="O385" s="493">
        <f>O378*地域経済性分析・初期条件!$L$41</f>
        <v>0</v>
      </c>
      <c r="P385" s="493">
        <f>P378*地域経済性分析・初期条件!$L$41</f>
        <v>0</v>
      </c>
      <c r="Q385" s="493">
        <f>Q378*地域経済性分析・初期条件!$L$41</f>
        <v>0</v>
      </c>
      <c r="R385" s="493">
        <f>R378*地域経済性分析・初期条件!$L$41</f>
        <v>0</v>
      </c>
      <c r="S385" s="493">
        <f>S378*地域経済性分析・初期条件!$L$41</f>
        <v>0</v>
      </c>
      <c r="T385" s="493">
        <f>T378*地域経済性分析・初期条件!$L$41</f>
        <v>0</v>
      </c>
      <c r="U385" s="493">
        <f>U378*地域経済性分析・初期条件!$L$41</f>
        <v>0</v>
      </c>
      <c r="V385" s="493">
        <f>V378*地域経済性分析・初期条件!$L$41</f>
        <v>0</v>
      </c>
      <c r="W385" s="493">
        <f>W378*地域経済性分析・初期条件!$L$41</f>
        <v>0</v>
      </c>
      <c r="X385" s="493">
        <f>X378*地域経済性分析・初期条件!$L$41</f>
        <v>0</v>
      </c>
      <c r="Y385" s="493">
        <f>Y378*地域経済性分析・初期条件!$L$41</f>
        <v>0</v>
      </c>
      <c r="Z385" s="493">
        <f>Z378*地域経済性分析・初期条件!$L$41</f>
        <v>0</v>
      </c>
      <c r="AA385" s="493">
        <f>AA378*地域経済性分析・初期条件!$L$41</f>
        <v>0</v>
      </c>
      <c r="AB385" s="493">
        <f>AB378*地域経済性分析・初期条件!$L$41</f>
        <v>0</v>
      </c>
      <c r="AC385" s="493">
        <f>AC378*地域経済性分析・初期条件!$L$41</f>
        <v>0</v>
      </c>
      <c r="AD385" s="493">
        <f>AD378*地域経済性分析・初期条件!$L$41</f>
        <v>0</v>
      </c>
      <c r="AE385" s="493">
        <f>AE378*地域経済性分析・初期条件!$L$41</f>
        <v>0</v>
      </c>
      <c r="AF385" s="493">
        <f>AF378*地域経済性分析・初期条件!$L$41</f>
        <v>0</v>
      </c>
      <c r="AG385" s="493">
        <f>AG378*地域経済性分析・初期条件!$L$41</f>
        <v>0</v>
      </c>
      <c r="AH385" s="493">
        <f>AH378*地域経済性分析・初期条件!$L$41</f>
        <v>0</v>
      </c>
      <c r="AI385" s="535">
        <f t="shared" si="495"/>
        <v>0</v>
      </c>
      <c r="AJ385" s="535">
        <f t="shared" si="496"/>
        <v>0</v>
      </c>
      <c r="AK385" s="497">
        <f t="shared" si="497"/>
        <v>0</v>
      </c>
    </row>
    <row r="386" spans="1:37" ht="11.5" x14ac:dyDescent="0.25">
      <c r="A386" s="533"/>
      <c r="B386" s="439" t="s">
        <v>335</v>
      </c>
      <c r="C386" s="452" t="s">
        <v>333</v>
      </c>
      <c r="D386" s="493"/>
      <c r="E386" s="493">
        <f>E378*地域経済性分析・初期条件!$M$41</f>
        <v>0</v>
      </c>
      <c r="F386" s="493">
        <f>F378*地域経済性分析・初期条件!$M$41</f>
        <v>0</v>
      </c>
      <c r="G386" s="493">
        <f>G378*地域経済性分析・初期条件!$M$41</f>
        <v>0</v>
      </c>
      <c r="H386" s="493">
        <f>H378*地域経済性分析・初期条件!$M$41</f>
        <v>0</v>
      </c>
      <c r="I386" s="493">
        <f>I378*地域経済性分析・初期条件!$M$41</f>
        <v>0</v>
      </c>
      <c r="J386" s="493">
        <f>J378*地域経済性分析・初期条件!$M$41</f>
        <v>0</v>
      </c>
      <c r="K386" s="493">
        <f>K378*地域経済性分析・初期条件!$M$41</f>
        <v>0</v>
      </c>
      <c r="L386" s="493">
        <f>L378*地域経済性分析・初期条件!$M$41</f>
        <v>0</v>
      </c>
      <c r="M386" s="493">
        <f>M378*地域経済性分析・初期条件!$M$41</f>
        <v>0</v>
      </c>
      <c r="N386" s="493">
        <f>N378*地域経済性分析・初期条件!$M$41</f>
        <v>0</v>
      </c>
      <c r="O386" s="493">
        <f>O378*地域経済性分析・初期条件!$M$41</f>
        <v>0</v>
      </c>
      <c r="P386" s="493">
        <f>P378*地域経済性分析・初期条件!$M$41</f>
        <v>0</v>
      </c>
      <c r="Q386" s="493">
        <f>Q378*地域経済性分析・初期条件!$M$41</f>
        <v>0</v>
      </c>
      <c r="R386" s="493">
        <f>R378*地域経済性分析・初期条件!$M$41</f>
        <v>0</v>
      </c>
      <c r="S386" s="493">
        <f>S378*地域経済性分析・初期条件!$M$41</f>
        <v>0</v>
      </c>
      <c r="T386" s="493">
        <f>T378*地域経済性分析・初期条件!$M$41</f>
        <v>0</v>
      </c>
      <c r="U386" s="493">
        <f>U378*地域経済性分析・初期条件!$M$41</f>
        <v>0</v>
      </c>
      <c r="V386" s="493">
        <f>V378*地域経済性分析・初期条件!$M$41</f>
        <v>0</v>
      </c>
      <c r="W386" s="493">
        <f>W378*地域経済性分析・初期条件!$M$41</f>
        <v>0</v>
      </c>
      <c r="X386" s="493">
        <f>X378*地域経済性分析・初期条件!$M$41</f>
        <v>0</v>
      </c>
      <c r="Y386" s="493">
        <f>Y378*地域経済性分析・初期条件!$M$41</f>
        <v>0</v>
      </c>
      <c r="Z386" s="493">
        <f>Z378*地域経済性分析・初期条件!$M$41</f>
        <v>0</v>
      </c>
      <c r="AA386" s="493">
        <f>AA378*地域経済性分析・初期条件!$M$41</f>
        <v>0</v>
      </c>
      <c r="AB386" s="493">
        <f>AB378*地域経済性分析・初期条件!$M$41</f>
        <v>0</v>
      </c>
      <c r="AC386" s="493">
        <f>AC378*地域経済性分析・初期条件!$M$41</f>
        <v>0</v>
      </c>
      <c r="AD386" s="493">
        <f>AD378*地域経済性分析・初期条件!$M$41</f>
        <v>0</v>
      </c>
      <c r="AE386" s="493">
        <f>AE378*地域経済性分析・初期条件!$M$41</f>
        <v>0</v>
      </c>
      <c r="AF386" s="493">
        <f>AF378*地域経済性分析・初期条件!$M$41</f>
        <v>0</v>
      </c>
      <c r="AG386" s="493">
        <f>AG378*地域経済性分析・初期条件!$M$41</f>
        <v>0</v>
      </c>
      <c r="AH386" s="493">
        <f>AH378*地域経済性分析・初期条件!$M$41</f>
        <v>0</v>
      </c>
      <c r="AI386" s="535">
        <f t="shared" si="495"/>
        <v>0</v>
      </c>
      <c r="AJ386" s="535">
        <f t="shared" si="496"/>
        <v>0</v>
      </c>
      <c r="AK386" s="497">
        <f t="shared" si="497"/>
        <v>0</v>
      </c>
    </row>
    <row r="387" spans="1:37" ht="11.5" x14ac:dyDescent="0.25">
      <c r="A387" s="533"/>
      <c r="B387" s="439" t="s">
        <v>336</v>
      </c>
      <c r="C387" s="452" t="s">
        <v>333</v>
      </c>
      <c r="D387" s="493"/>
      <c r="E387" s="493">
        <f>E378*地域経済性分析・初期条件!$N$41</f>
        <v>0</v>
      </c>
      <c r="F387" s="493">
        <f>F378*地域経済性分析・初期条件!$N$41</f>
        <v>0</v>
      </c>
      <c r="G387" s="493">
        <f>G378*地域経済性分析・初期条件!$N$41</f>
        <v>0</v>
      </c>
      <c r="H387" s="493">
        <f>H378*地域経済性分析・初期条件!$N$41</f>
        <v>0</v>
      </c>
      <c r="I387" s="493">
        <f>I378*地域経済性分析・初期条件!$N$41</f>
        <v>0</v>
      </c>
      <c r="J387" s="493">
        <f>J378*地域経済性分析・初期条件!$N$41</f>
        <v>0</v>
      </c>
      <c r="K387" s="493">
        <f>K378*地域経済性分析・初期条件!$N$41</f>
        <v>0</v>
      </c>
      <c r="L387" s="493">
        <f>L378*地域経済性分析・初期条件!$N$41</f>
        <v>0</v>
      </c>
      <c r="M387" s="493">
        <f>M378*地域経済性分析・初期条件!$N$41</f>
        <v>0</v>
      </c>
      <c r="N387" s="493">
        <f>N378*地域経済性分析・初期条件!$N$41</f>
        <v>0</v>
      </c>
      <c r="O387" s="493">
        <f>O378*地域経済性分析・初期条件!$N$41</f>
        <v>0</v>
      </c>
      <c r="P387" s="493">
        <f>P378*地域経済性分析・初期条件!$N$41</f>
        <v>0</v>
      </c>
      <c r="Q387" s="493">
        <f>Q378*地域経済性分析・初期条件!$N$41</f>
        <v>0</v>
      </c>
      <c r="R387" s="493">
        <f>R378*地域経済性分析・初期条件!$N$41</f>
        <v>0</v>
      </c>
      <c r="S387" s="493">
        <f>S378*地域経済性分析・初期条件!$N$41</f>
        <v>0</v>
      </c>
      <c r="T387" s="493">
        <f>T378*地域経済性分析・初期条件!$N$41</f>
        <v>0</v>
      </c>
      <c r="U387" s="493">
        <f>U378*地域経済性分析・初期条件!$N$41</f>
        <v>0</v>
      </c>
      <c r="V387" s="493">
        <f>V378*地域経済性分析・初期条件!$N$41</f>
        <v>0</v>
      </c>
      <c r="W387" s="493">
        <f>W378*地域経済性分析・初期条件!$N$41</f>
        <v>0</v>
      </c>
      <c r="X387" s="493">
        <f>X378*地域経済性分析・初期条件!$N$41</f>
        <v>0</v>
      </c>
      <c r="Y387" s="493">
        <f>Y378*地域経済性分析・初期条件!$N$41</f>
        <v>0</v>
      </c>
      <c r="Z387" s="493">
        <f>Z378*地域経済性分析・初期条件!$N$41</f>
        <v>0</v>
      </c>
      <c r="AA387" s="493">
        <f>AA378*地域経済性分析・初期条件!$N$41</f>
        <v>0</v>
      </c>
      <c r="AB387" s="493">
        <f>AB378*地域経済性分析・初期条件!$N$41</f>
        <v>0</v>
      </c>
      <c r="AC387" s="493">
        <f>AC378*地域経済性分析・初期条件!$N$41</f>
        <v>0</v>
      </c>
      <c r="AD387" s="493">
        <f>AD378*地域経済性分析・初期条件!$N$41</f>
        <v>0</v>
      </c>
      <c r="AE387" s="493">
        <f>AE378*地域経済性分析・初期条件!$N$41</f>
        <v>0</v>
      </c>
      <c r="AF387" s="493">
        <f>AF378*地域経済性分析・初期条件!$N$41</f>
        <v>0</v>
      </c>
      <c r="AG387" s="493">
        <f>AG378*地域経済性分析・初期条件!$N$41</f>
        <v>0</v>
      </c>
      <c r="AH387" s="493">
        <f>AH378*地域経済性分析・初期条件!$N$41</f>
        <v>0</v>
      </c>
      <c r="AI387" s="535">
        <f t="shared" si="495"/>
        <v>0</v>
      </c>
      <c r="AJ387" s="535">
        <f t="shared" si="496"/>
        <v>0</v>
      </c>
      <c r="AK387" s="497">
        <f t="shared" si="497"/>
        <v>0</v>
      </c>
    </row>
    <row r="388" spans="1:37" ht="11.5" x14ac:dyDescent="0.25">
      <c r="A388" s="700"/>
      <c r="B388" s="489" t="s">
        <v>337</v>
      </c>
      <c r="C388" s="453" t="s">
        <v>333</v>
      </c>
      <c r="D388" s="495"/>
      <c r="E388" s="495">
        <f>E378*地域経済性分析・初期条件!$O$41</f>
        <v>0</v>
      </c>
      <c r="F388" s="495">
        <f>F378*地域経済性分析・初期条件!$O$41</f>
        <v>0</v>
      </c>
      <c r="G388" s="495">
        <f>G378*地域経済性分析・初期条件!$O$41</f>
        <v>0</v>
      </c>
      <c r="H388" s="495">
        <f>H378*地域経済性分析・初期条件!$O$41</f>
        <v>0</v>
      </c>
      <c r="I388" s="495">
        <f>I378*地域経済性分析・初期条件!$O$41</f>
        <v>0</v>
      </c>
      <c r="J388" s="495">
        <f>J378*地域経済性分析・初期条件!$O$41</f>
        <v>0</v>
      </c>
      <c r="K388" s="495">
        <f>K378*地域経済性分析・初期条件!$O$41</f>
        <v>0</v>
      </c>
      <c r="L388" s="495">
        <f>L378*地域経済性分析・初期条件!$O$41</f>
        <v>0</v>
      </c>
      <c r="M388" s="495">
        <f>M378*地域経済性分析・初期条件!$O$41</f>
        <v>0</v>
      </c>
      <c r="N388" s="495">
        <f>N378*地域経済性分析・初期条件!$O$41</f>
        <v>0</v>
      </c>
      <c r="O388" s="495">
        <f>O378*地域経済性分析・初期条件!$O$41</f>
        <v>0</v>
      </c>
      <c r="P388" s="495">
        <f>P378*地域経済性分析・初期条件!$O$41</f>
        <v>0</v>
      </c>
      <c r="Q388" s="495">
        <f>Q378*地域経済性分析・初期条件!$O$41</f>
        <v>0</v>
      </c>
      <c r="R388" s="495">
        <f>R378*地域経済性分析・初期条件!$O$41</f>
        <v>0</v>
      </c>
      <c r="S388" s="495">
        <f>S378*地域経済性分析・初期条件!$O$41</f>
        <v>0</v>
      </c>
      <c r="T388" s="495">
        <f>T378*地域経済性分析・初期条件!$O$41</f>
        <v>0</v>
      </c>
      <c r="U388" s="495">
        <f>U378*地域経済性分析・初期条件!$O$41</f>
        <v>0</v>
      </c>
      <c r="V388" s="495">
        <f>V378*地域経済性分析・初期条件!$O$41</f>
        <v>0</v>
      </c>
      <c r="W388" s="495">
        <f>W378*地域経済性分析・初期条件!$O$41</f>
        <v>0</v>
      </c>
      <c r="X388" s="495">
        <f>X378*地域経済性分析・初期条件!$O$41</f>
        <v>0</v>
      </c>
      <c r="Y388" s="495">
        <f>Y378*地域経済性分析・初期条件!$O$41</f>
        <v>0</v>
      </c>
      <c r="Z388" s="495">
        <f>Z378*地域経済性分析・初期条件!$O$41</f>
        <v>0</v>
      </c>
      <c r="AA388" s="495">
        <f>AA378*地域経済性分析・初期条件!$O$41</f>
        <v>0</v>
      </c>
      <c r="AB388" s="495">
        <f>AB378*地域経済性分析・初期条件!$O$41</f>
        <v>0</v>
      </c>
      <c r="AC388" s="495">
        <f>AC378*地域経済性分析・初期条件!$O$41</f>
        <v>0</v>
      </c>
      <c r="AD388" s="495">
        <f>AD378*地域経済性分析・初期条件!$O$41</f>
        <v>0</v>
      </c>
      <c r="AE388" s="495">
        <f>AE378*地域経済性分析・初期条件!$O$41</f>
        <v>0</v>
      </c>
      <c r="AF388" s="495">
        <f>AF378*地域経済性分析・初期条件!$O$41</f>
        <v>0</v>
      </c>
      <c r="AG388" s="495">
        <f>AG378*地域経済性分析・初期条件!$O$41</f>
        <v>0</v>
      </c>
      <c r="AH388" s="495">
        <f>AH378*地域経済性分析・初期条件!$O$41</f>
        <v>0</v>
      </c>
      <c r="AI388" s="537">
        <f t="shared" si="495"/>
        <v>0</v>
      </c>
      <c r="AJ388" s="537">
        <f t="shared" si="496"/>
        <v>0</v>
      </c>
      <c r="AK388" s="538">
        <f t="shared" si="497"/>
        <v>0</v>
      </c>
    </row>
    <row r="389" spans="1:37" ht="11.5" x14ac:dyDescent="0.25">
      <c r="A389" s="1409" t="s">
        <v>1089</v>
      </c>
      <c r="B389" s="439"/>
      <c r="C389" s="452" t="s">
        <v>1090</v>
      </c>
      <c r="D389" s="493">
        <f>SUM(D379:D380,D383:D388)</f>
        <v>0</v>
      </c>
      <c r="E389" s="493">
        <f>SUM(E379:E380,E383:E388)</f>
        <v>0</v>
      </c>
      <c r="F389" s="493">
        <f t="shared" ref="F389:AH389" si="498">SUM(F379:F380,F383:F388)</f>
        <v>0</v>
      </c>
      <c r="G389" s="493">
        <f t="shared" si="498"/>
        <v>0</v>
      </c>
      <c r="H389" s="493">
        <f t="shared" si="498"/>
        <v>0</v>
      </c>
      <c r="I389" s="493">
        <f t="shared" si="498"/>
        <v>0</v>
      </c>
      <c r="J389" s="493">
        <f t="shared" si="498"/>
        <v>0</v>
      </c>
      <c r="K389" s="493">
        <f t="shared" si="498"/>
        <v>0</v>
      </c>
      <c r="L389" s="493">
        <f t="shared" si="498"/>
        <v>0</v>
      </c>
      <c r="M389" s="493">
        <f t="shared" si="498"/>
        <v>0</v>
      </c>
      <c r="N389" s="493">
        <f t="shared" si="498"/>
        <v>0</v>
      </c>
      <c r="O389" s="493">
        <f t="shared" si="498"/>
        <v>0</v>
      </c>
      <c r="P389" s="493">
        <f t="shared" si="498"/>
        <v>0</v>
      </c>
      <c r="Q389" s="493">
        <f t="shared" si="498"/>
        <v>0</v>
      </c>
      <c r="R389" s="493">
        <f t="shared" si="498"/>
        <v>0</v>
      </c>
      <c r="S389" s="493">
        <f t="shared" si="498"/>
        <v>0</v>
      </c>
      <c r="T389" s="493">
        <f t="shared" si="498"/>
        <v>0</v>
      </c>
      <c r="U389" s="493">
        <f t="shared" si="498"/>
        <v>0</v>
      </c>
      <c r="V389" s="493">
        <f t="shared" si="498"/>
        <v>0</v>
      </c>
      <c r="W389" s="493">
        <f t="shared" si="498"/>
        <v>0</v>
      </c>
      <c r="X389" s="493">
        <f t="shared" si="498"/>
        <v>0</v>
      </c>
      <c r="Y389" s="493">
        <f t="shared" si="498"/>
        <v>0</v>
      </c>
      <c r="Z389" s="493">
        <f t="shared" si="498"/>
        <v>0</v>
      </c>
      <c r="AA389" s="493">
        <f t="shared" si="498"/>
        <v>0</v>
      </c>
      <c r="AB389" s="493">
        <f t="shared" si="498"/>
        <v>0</v>
      </c>
      <c r="AC389" s="493">
        <f t="shared" si="498"/>
        <v>0</v>
      </c>
      <c r="AD389" s="493">
        <f t="shared" si="498"/>
        <v>0</v>
      </c>
      <c r="AE389" s="493">
        <f t="shared" si="498"/>
        <v>0</v>
      </c>
      <c r="AF389" s="493">
        <f t="shared" si="498"/>
        <v>0</v>
      </c>
      <c r="AG389" s="493">
        <f t="shared" si="498"/>
        <v>0</v>
      </c>
      <c r="AH389" s="493">
        <f t="shared" si="498"/>
        <v>0</v>
      </c>
      <c r="AI389" s="535">
        <f t="shared" ref="AI389" si="499">SUM(AI355:AI362,AI369:AI376,,AI381:AI388)</f>
        <v>291262388.59292555</v>
      </c>
      <c r="AJ389" s="535">
        <f t="shared" ref="AJ389" si="500">SUM(AJ355:AJ362,AJ369:AJ376,,AJ381:AJ388)</f>
        <v>582524777.1858511</v>
      </c>
      <c r="AK389" s="497">
        <f t="shared" ref="AK389" si="501">SUM(AK355:AK362,AK369:AK376,,AK381:AK388)</f>
        <v>873787165.778777</v>
      </c>
    </row>
    <row r="390" spans="1:37" ht="11.5" x14ac:dyDescent="0.25">
      <c r="A390" s="1410" t="s">
        <v>1091</v>
      </c>
      <c r="B390" s="1403"/>
      <c r="C390" s="1404" t="s">
        <v>37</v>
      </c>
      <c r="D390" s="1397">
        <f t="shared" ref="D390:AH390" si="502">D378-D389+D40</f>
        <v>0</v>
      </c>
      <c r="E390" s="1397">
        <f>E378-E389+E40</f>
        <v>0</v>
      </c>
      <c r="F390" s="1397">
        <f t="shared" si="502"/>
        <v>0</v>
      </c>
      <c r="G390" s="1397">
        <f t="shared" si="502"/>
        <v>0</v>
      </c>
      <c r="H390" s="1397">
        <f t="shared" si="502"/>
        <v>0</v>
      </c>
      <c r="I390" s="1397">
        <f t="shared" si="502"/>
        <v>0</v>
      </c>
      <c r="J390" s="1397">
        <f t="shared" si="502"/>
        <v>0</v>
      </c>
      <c r="K390" s="1397">
        <f t="shared" si="502"/>
        <v>0</v>
      </c>
      <c r="L390" s="1397">
        <f t="shared" si="502"/>
        <v>0</v>
      </c>
      <c r="M390" s="1397">
        <f t="shared" si="502"/>
        <v>0</v>
      </c>
      <c r="N390" s="1397">
        <f t="shared" si="502"/>
        <v>0</v>
      </c>
      <c r="O390" s="1397">
        <f t="shared" si="502"/>
        <v>0</v>
      </c>
      <c r="P390" s="1397">
        <f t="shared" si="502"/>
        <v>0</v>
      </c>
      <c r="Q390" s="1397">
        <f t="shared" si="502"/>
        <v>0</v>
      </c>
      <c r="R390" s="1397">
        <f t="shared" si="502"/>
        <v>0</v>
      </c>
      <c r="S390" s="1397">
        <f t="shared" si="502"/>
        <v>0</v>
      </c>
      <c r="T390" s="1397">
        <f t="shared" si="502"/>
        <v>0</v>
      </c>
      <c r="U390" s="1397">
        <f t="shared" si="502"/>
        <v>0</v>
      </c>
      <c r="V390" s="1397">
        <f t="shared" si="502"/>
        <v>0</v>
      </c>
      <c r="W390" s="1397">
        <f t="shared" si="502"/>
        <v>0</v>
      </c>
      <c r="X390" s="1397">
        <f t="shared" si="502"/>
        <v>0</v>
      </c>
      <c r="Y390" s="1397">
        <f t="shared" si="502"/>
        <v>0</v>
      </c>
      <c r="Z390" s="1397">
        <f t="shared" si="502"/>
        <v>0</v>
      </c>
      <c r="AA390" s="1397">
        <f t="shared" si="502"/>
        <v>0</v>
      </c>
      <c r="AB390" s="1397">
        <f t="shared" si="502"/>
        <v>0</v>
      </c>
      <c r="AC390" s="1397">
        <f t="shared" si="502"/>
        <v>0</v>
      </c>
      <c r="AD390" s="1397">
        <f t="shared" si="502"/>
        <v>0</v>
      </c>
      <c r="AE390" s="1397">
        <f t="shared" si="502"/>
        <v>0</v>
      </c>
      <c r="AF390" s="1397">
        <f t="shared" si="502"/>
        <v>0</v>
      </c>
      <c r="AG390" s="1397">
        <f t="shared" si="502"/>
        <v>0</v>
      </c>
      <c r="AH390" s="1397">
        <f t="shared" si="502"/>
        <v>0</v>
      </c>
      <c r="AI390" s="1405">
        <f t="shared" ref="AI390" si="503">AI348-AI389</f>
        <v>-251128192.97464666</v>
      </c>
      <c r="AJ390" s="1405">
        <f t="shared" ref="AJ390" si="504">AJ348-AJ389</f>
        <v>-502256385.94929332</v>
      </c>
      <c r="AK390" s="1406">
        <f t="shared" ref="AK390" si="505">AK348-AK389</f>
        <v>-753384578.92394042</v>
      </c>
    </row>
    <row r="391" spans="1:37" ht="11.5" x14ac:dyDescent="0.25">
      <c r="A391" s="701" t="s">
        <v>47</v>
      </c>
      <c r="B391" s="705"/>
      <c r="C391" s="706" t="s">
        <v>37</v>
      </c>
      <c r="D391" s="702"/>
      <c r="E391" s="702">
        <f>-計算シート!E82</f>
        <v>67482677.382815763</v>
      </c>
      <c r="F391" s="702">
        <f>-計算シート!F82</f>
        <v>63664578.530893296</v>
      </c>
      <c r="G391" s="702">
        <f>-計算シート!G82</f>
        <v>59846479.678970814</v>
      </c>
      <c r="H391" s="702">
        <f>-計算シート!H82</f>
        <v>56028380.827048354</v>
      </c>
      <c r="I391" s="702">
        <f>-計算シート!I82</f>
        <v>52210281.975125872</v>
      </c>
      <c r="J391" s="702">
        <f>-計算シート!J82</f>
        <v>48392183.123203412</v>
      </c>
      <c r="K391" s="702">
        <f>-計算シート!K82</f>
        <v>44574084.271280937</v>
      </c>
      <c r="L391" s="702">
        <f>-計算シート!L82</f>
        <v>40755985.41935847</v>
      </c>
      <c r="M391" s="702">
        <f>-計算シート!M82</f>
        <v>36937886.567436002</v>
      </c>
      <c r="N391" s="702">
        <f>-計算シート!N82</f>
        <v>33119787.715513531</v>
      </c>
      <c r="O391" s="702">
        <f>-計算シート!O82</f>
        <v>29301688.86359106</v>
      </c>
      <c r="P391" s="702">
        <f>-計算シート!P82</f>
        <v>25483590.011668589</v>
      </c>
      <c r="Q391" s="702">
        <f>-計算シート!Q82</f>
        <v>21665491.159746122</v>
      </c>
      <c r="R391" s="702">
        <f>-計算シート!R82</f>
        <v>17847392.307823651</v>
      </c>
      <c r="S391" s="702">
        <f>-計算シート!S82</f>
        <v>14029293.455901179</v>
      </c>
      <c r="T391" s="702">
        <f>-計算シート!T82</f>
        <v>10211194.60397871</v>
      </c>
      <c r="U391" s="702">
        <f>-計算シート!U82</f>
        <v>9767229.6211970262</v>
      </c>
      <c r="V391" s="702">
        <f>-計算シート!V82</f>
        <v>9323264.6384153459</v>
      </c>
      <c r="W391" s="702">
        <f>-計算シート!W82</f>
        <v>8879299.6556336619</v>
      </c>
      <c r="X391" s="702">
        <f>-計算シート!X82</f>
        <v>8435334.6728519816</v>
      </c>
      <c r="Y391" s="702">
        <f>-計算シート!Y82</f>
        <v>7991369.6900702976</v>
      </c>
      <c r="Z391" s="702">
        <f>-計算シート!Z82</f>
        <v>7547404.7072886173</v>
      </c>
      <c r="AA391" s="702">
        <f>-計算シート!AA82</f>
        <v>7103439.7245069342</v>
      </c>
      <c r="AB391" s="702">
        <f>-計算シート!AB82</f>
        <v>6659474.7417252511</v>
      </c>
      <c r="AC391" s="702">
        <f>-計算シート!AC82</f>
        <v>6215509.7589435689</v>
      </c>
      <c r="AD391" s="702">
        <f>-計算シート!AD82</f>
        <v>5771544.7761618868</v>
      </c>
      <c r="AE391" s="702">
        <f>-計算シート!AE82</f>
        <v>5327579.7933802046</v>
      </c>
      <c r="AF391" s="702">
        <f>-計算シート!AF82</f>
        <v>4883614.8105985224</v>
      </c>
      <c r="AG391" s="702">
        <f>-計算シート!AG82</f>
        <v>4439649.8278168403</v>
      </c>
      <c r="AH391" s="702">
        <f>-計算シート!AH82</f>
        <v>3995684.8450351581</v>
      </c>
      <c r="AI391" s="703">
        <f t="shared" si="495"/>
        <v>503012325.49164641</v>
      </c>
      <c r="AJ391" s="703">
        <f>SUM(D391:X391)</f>
        <v>657956104.48245382</v>
      </c>
      <c r="AK391" s="704">
        <f>SUM(D391:AH391)</f>
        <v>717891377.15798116</v>
      </c>
    </row>
    <row r="392" spans="1:37" x14ac:dyDescent="0.2">
      <c r="B392" s="519"/>
      <c r="C392" s="360"/>
      <c r="D392" s="493"/>
      <c r="E392" s="493"/>
      <c r="F392" s="493"/>
      <c r="G392" s="493"/>
      <c r="H392" s="493"/>
      <c r="I392" s="493"/>
      <c r="J392" s="493"/>
      <c r="K392" s="493"/>
      <c r="L392" s="493"/>
      <c r="M392" s="493"/>
      <c r="N392" s="493"/>
      <c r="O392" s="493"/>
      <c r="P392" s="493"/>
      <c r="Q392" s="493"/>
      <c r="R392" s="493"/>
      <c r="S392" s="493"/>
      <c r="T392" s="493"/>
      <c r="U392" s="493"/>
      <c r="V392" s="493"/>
      <c r="W392" s="493"/>
      <c r="X392" s="493"/>
      <c r="Y392" s="493"/>
      <c r="Z392" s="493"/>
      <c r="AA392" s="493"/>
      <c r="AB392" s="493"/>
      <c r="AC392" s="493"/>
      <c r="AD392" s="493"/>
      <c r="AE392" s="493"/>
      <c r="AF392" s="493"/>
      <c r="AG392" s="493"/>
      <c r="AH392" s="493"/>
      <c r="AI392" s="493"/>
      <c r="AJ392" s="493"/>
    </row>
    <row r="393" spans="1:37" ht="11.5" thickBot="1" x14ac:dyDescent="0.25">
      <c r="A393" s="465" t="s">
        <v>274</v>
      </c>
    </row>
    <row r="394" spans="1:37" ht="12" thickBot="1" x14ac:dyDescent="0.3">
      <c r="A394" s="446"/>
      <c r="B394" s="508" t="s">
        <v>265</v>
      </c>
      <c r="C394" s="447"/>
      <c r="D394" s="584">
        <v>0</v>
      </c>
      <c r="E394" s="448">
        <v>1</v>
      </c>
      <c r="F394" s="448">
        <v>2</v>
      </c>
      <c r="G394" s="448">
        <v>3</v>
      </c>
      <c r="H394" s="448">
        <v>4</v>
      </c>
      <c r="I394" s="448">
        <v>5</v>
      </c>
      <c r="J394" s="448">
        <v>6</v>
      </c>
      <c r="K394" s="448">
        <v>7</v>
      </c>
      <c r="L394" s="448">
        <v>8</v>
      </c>
      <c r="M394" s="448">
        <v>9</v>
      </c>
      <c r="N394" s="448">
        <v>10</v>
      </c>
      <c r="O394" s="448">
        <v>11</v>
      </c>
      <c r="P394" s="448">
        <v>12</v>
      </c>
      <c r="Q394" s="448">
        <v>13</v>
      </c>
      <c r="R394" s="448">
        <v>14</v>
      </c>
      <c r="S394" s="448">
        <v>15</v>
      </c>
      <c r="T394" s="448">
        <v>16</v>
      </c>
      <c r="U394" s="448">
        <v>17</v>
      </c>
      <c r="V394" s="448">
        <v>18</v>
      </c>
      <c r="W394" s="448">
        <v>19</v>
      </c>
      <c r="X394" s="449">
        <v>20</v>
      </c>
      <c r="Y394" s="449">
        <v>21</v>
      </c>
      <c r="Z394" s="449">
        <v>22</v>
      </c>
      <c r="AA394" s="449">
        <v>23</v>
      </c>
      <c r="AB394" s="449">
        <v>24</v>
      </c>
      <c r="AC394" s="449">
        <v>25</v>
      </c>
      <c r="AD394" s="449">
        <v>26</v>
      </c>
      <c r="AE394" s="449">
        <v>27</v>
      </c>
      <c r="AF394" s="449">
        <v>28</v>
      </c>
      <c r="AG394" s="449">
        <v>29</v>
      </c>
      <c r="AH394" s="463">
        <v>30</v>
      </c>
      <c r="AI394" s="536" t="s">
        <v>298</v>
      </c>
      <c r="AJ394" s="536" t="s">
        <v>261</v>
      </c>
      <c r="AK394" s="526" t="s">
        <v>262</v>
      </c>
    </row>
    <row r="395" spans="1:37" x14ac:dyDescent="0.2">
      <c r="A395" s="439" t="s">
        <v>203</v>
      </c>
      <c r="B395" s="465"/>
      <c r="C395" s="452"/>
      <c r="D395" s="493"/>
      <c r="E395" s="493"/>
      <c r="F395" s="493"/>
      <c r="G395" s="493"/>
      <c r="H395" s="493"/>
      <c r="I395" s="493"/>
      <c r="J395" s="493"/>
      <c r="K395" s="493"/>
      <c r="L395" s="493"/>
      <c r="M395" s="493"/>
      <c r="N395" s="493"/>
      <c r="O395" s="493"/>
      <c r="P395" s="493"/>
      <c r="Q395" s="493"/>
      <c r="R395" s="493"/>
      <c r="S395" s="493"/>
      <c r="T395" s="493"/>
      <c r="U395" s="493"/>
      <c r="V395" s="493"/>
      <c r="W395" s="493"/>
      <c r="X395" s="493"/>
      <c r="Y395" s="493"/>
      <c r="Z395" s="493"/>
      <c r="AA395" s="493"/>
      <c r="AB395" s="493"/>
      <c r="AC395" s="493"/>
      <c r="AD395" s="493"/>
      <c r="AE395" s="493"/>
      <c r="AF395" s="493"/>
      <c r="AG395" s="493"/>
      <c r="AH395" s="493"/>
      <c r="AI395" s="503"/>
      <c r="AJ395" s="503"/>
      <c r="AK395" s="503"/>
    </row>
    <row r="396" spans="1:37" s="1413" customFormat="1" x14ac:dyDescent="0.2">
      <c r="A396" s="1408" t="s">
        <v>1126</v>
      </c>
      <c r="B396" s="1411"/>
      <c r="C396" s="1416" t="s">
        <v>37</v>
      </c>
      <c r="D396" s="1407">
        <f>SUM(D28:D29)</f>
        <v>4820191241.6296968</v>
      </c>
      <c r="E396" s="1407">
        <f t="shared" ref="E396:AK396" si="506">SUM(E28:E29)</f>
        <v>0</v>
      </c>
      <c r="F396" s="1407">
        <f t="shared" si="506"/>
        <v>0</v>
      </c>
      <c r="G396" s="1407">
        <f t="shared" si="506"/>
        <v>0</v>
      </c>
      <c r="H396" s="1407">
        <f t="shared" si="506"/>
        <v>0</v>
      </c>
      <c r="I396" s="1407">
        <f t="shared" si="506"/>
        <v>0</v>
      </c>
      <c r="J396" s="1407">
        <f t="shared" si="506"/>
        <v>0</v>
      </c>
      <c r="K396" s="1407">
        <f t="shared" si="506"/>
        <v>0</v>
      </c>
      <c r="L396" s="1407">
        <f t="shared" si="506"/>
        <v>0</v>
      </c>
      <c r="M396" s="1407">
        <f t="shared" si="506"/>
        <v>0</v>
      </c>
      <c r="N396" s="1407">
        <f t="shared" si="506"/>
        <v>0</v>
      </c>
      <c r="O396" s="1407">
        <f t="shared" si="506"/>
        <v>0</v>
      </c>
      <c r="P396" s="1407">
        <f t="shared" si="506"/>
        <v>0</v>
      </c>
      <c r="Q396" s="1407">
        <f t="shared" si="506"/>
        <v>0</v>
      </c>
      <c r="R396" s="1407">
        <f t="shared" si="506"/>
        <v>0</v>
      </c>
      <c r="S396" s="1407">
        <f t="shared" si="506"/>
        <v>0</v>
      </c>
      <c r="T396" s="1407">
        <f t="shared" si="506"/>
        <v>0</v>
      </c>
      <c r="U396" s="1407">
        <f t="shared" si="506"/>
        <v>0</v>
      </c>
      <c r="V396" s="1407">
        <f t="shared" si="506"/>
        <v>0</v>
      </c>
      <c r="W396" s="1407">
        <f t="shared" si="506"/>
        <v>0</v>
      </c>
      <c r="X396" s="1407">
        <f t="shared" si="506"/>
        <v>0</v>
      </c>
      <c r="Y396" s="1407">
        <f t="shared" si="506"/>
        <v>0</v>
      </c>
      <c r="Z396" s="1407">
        <f t="shared" si="506"/>
        <v>0</v>
      </c>
      <c r="AA396" s="1407">
        <f t="shared" si="506"/>
        <v>0</v>
      </c>
      <c r="AB396" s="1407">
        <f t="shared" si="506"/>
        <v>0</v>
      </c>
      <c r="AC396" s="1407">
        <f t="shared" si="506"/>
        <v>0</v>
      </c>
      <c r="AD396" s="1407">
        <f t="shared" si="506"/>
        <v>0</v>
      </c>
      <c r="AE396" s="1407">
        <f t="shared" si="506"/>
        <v>0</v>
      </c>
      <c r="AF396" s="1407">
        <f t="shared" si="506"/>
        <v>0</v>
      </c>
      <c r="AG396" s="1407">
        <f t="shared" si="506"/>
        <v>0</v>
      </c>
      <c r="AH396" s="1407">
        <f t="shared" si="506"/>
        <v>0</v>
      </c>
      <c r="AI396" s="1431">
        <f t="shared" si="506"/>
        <v>4820191241.6296968</v>
      </c>
      <c r="AJ396" s="1431">
        <f t="shared" si="506"/>
        <v>4820191241.6296968</v>
      </c>
      <c r="AK396" s="1417">
        <f t="shared" si="506"/>
        <v>4820191241.6296968</v>
      </c>
    </row>
    <row r="397" spans="1:37" s="1413" customFormat="1" x14ac:dyDescent="0.2">
      <c r="A397" s="1412" t="s">
        <v>275</v>
      </c>
      <c r="B397" s="1408"/>
      <c r="C397" s="1416" t="s">
        <v>37</v>
      </c>
      <c r="D397" s="1407">
        <f>SUMIF($B$46:$B$136,"売上（税別）",D$46:D$136)</f>
        <v>1506309763.0092802</v>
      </c>
      <c r="E397" s="1407">
        <f t="shared" ref="E397:AK397" si="507">SUMIF($B$46:$B$136,"売上（税別）",E$46:E$136)</f>
        <v>0</v>
      </c>
      <c r="F397" s="1407">
        <f t="shared" si="507"/>
        <v>0</v>
      </c>
      <c r="G397" s="1407">
        <f t="shared" si="507"/>
        <v>0</v>
      </c>
      <c r="H397" s="1407">
        <f t="shared" si="507"/>
        <v>0</v>
      </c>
      <c r="I397" s="1407">
        <f t="shared" si="507"/>
        <v>0</v>
      </c>
      <c r="J397" s="1407">
        <f t="shared" si="507"/>
        <v>0</v>
      </c>
      <c r="K397" s="1407">
        <f t="shared" si="507"/>
        <v>0</v>
      </c>
      <c r="L397" s="1407">
        <f t="shared" si="507"/>
        <v>0</v>
      </c>
      <c r="M397" s="1407">
        <f t="shared" si="507"/>
        <v>0</v>
      </c>
      <c r="N397" s="1407">
        <f t="shared" si="507"/>
        <v>0</v>
      </c>
      <c r="O397" s="1407">
        <f t="shared" si="507"/>
        <v>0</v>
      </c>
      <c r="P397" s="1407">
        <f t="shared" si="507"/>
        <v>0</v>
      </c>
      <c r="Q397" s="1407">
        <f t="shared" si="507"/>
        <v>0</v>
      </c>
      <c r="R397" s="1407">
        <f t="shared" si="507"/>
        <v>0</v>
      </c>
      <c r="S397" s="1407">
        <f t="shared" si="507"/>
        <v>0</v>
      </c>
      <c r="T397" s="1407">
        <f t="shared" si="507"/>
        <v>0</v>
      </c>
      <c r="U397" s="1407">
        <f t="shared" si="507"/>
        <v>0</v>
      </c>
      <c r="V397" s="1407">
        <f t="shared" si="507"/>
        <v>0</v>
      </c>
      <c r="W397" s="1407">
        <f t="shared" si="507"/>
        <v>0</v>
      </c>
      <c r="X397" s="1407">
        <f t="shared" si="507"/>
        <v>0</v>
      </c>
      <c r="Y397" s="1407">
        <f t="shared" si="507"/>
        <v>0</v>
      </c>
      <c r="Z397" s="1407">
        <f t="shared" si="507"/>
        <v>0</v>
      </c>
      <c r="AA397" s="1407">
        <f t="shared" si="507"/>
        <v>0</v>
      </c>
      <c r="AB397" s="1407">
        <f t="shared" si="507"/>
        <v>0</v>
      </c>
      <c r="AC397" s="1407">
        <f t="shared" si="507"/>
        <v>0</v>
      </c>
      <c r="AD397" s="1407">
        <f t="shared" si="507"/>
        <v>0</v>
      </c>
      <c r="AE397" s="1407">
        <f t="shared" si="507"/>
        <v>0</v>
      </c>
      <c r="AF397" s="1407">
        <f t="shared" si="507"/>
        <v>0</v>
      </c>
      <c r="AG397" s="1407">
        <f t="shared" si="507"/>
        <v>0</v>
      </c>
      <c r="AH397" s="1407">
        <f t="shared" si="507"/>
        <v>0</v>
      </c>
      <c r="AI397" s="1431">
        <f t="shared" si="507"/>
        <v>1506309763.0092802</v>
      </c>
      <c r="AJ397" s="1431">
        <f t="shared" si="507"/>
        <v>1506309763.0092802</v>
      </c>
      <c r="AK397" s="1432">
        <f t="shared" si="507"/>
        <v>1506309763.0092802</v>
      </c>
    </row>
    <row r="398" spans="1:37" x14ac:dyDescent="0.2">
      <c r="A398" s="416"/>
      <c r="B398" s="1411" t="s">
        <v>1137</v>
      </c>
      <c r="C398" s="452" t="s">
        <v>37</v>
      </c>
      <c r="D398" s="493">
        <f t="shared" ref="D398:M409" si="508">SUMIF($B$46:$B$136,$B398,D$46:D$136)</f>
        <v>16569407.393102083</v>
      </c>
      <c r="E398" s="493">
        <f t="shared" si="508"/>
        <v>0</v>
      </c>
      <c r="F398" s="493">
        <f t="shared" si="508"/>
        <v>0</v>
      </c>
      <c r="G398" s="493">
        <f t="shared" si="508"/>
        <v>0</v>
      </c>
      <c r="H398" s="493">
        <f t="shared" si="508"/>
        <v>0</v>
      </c>
      <c r="I398" s="493">
        <f t="shared" si="508"/>
        <v>0</v>
      </c>
      <c r="J398" s="493">
        <f t="shared" si="508"/>
        <v>0</v>
      </c>
      <c r="K398" s="493">
        <f t="shared" si="508"/>
        <v>0</v>
      </c>
      <c r="L398" s="493">
        <f t="shared" si="508"/>
        <v>0</v>
      </c>
      <c r="M398" s="493">
        <f t="shared" si="508"/>
        <v>0</v>
      </c>
      <c r="N398" s="493">
        <f t="shared" ref="N398:W409" si="509">SUMIF($B$46:$B$136,$B398,N$46:N$136)</f>
        <v>0</v>
      </c>
      <c r="O398" s="493">
        <f t="shared" si="509"/>
        <v>0</v>
      </c>
      <c r="P398" s="493">
        <f t="shared" si="509"/>
        <v>0</v>
      </c>
      <c r="Q398" s="493">
        <f t="shared" si="509"/>
        <v>0</v>
      </c>
      <c r="R398" s="493">
        <f t="shared" si="509"/>
        <v>0</v>
      </c>
      <c r="S398" s="493">
        <f t="shared" si="509"/>
        <v>0</v>
      </c>
      <c r="T398" s="493">
        <f t="shared" si="509"/>
        <v>0</v>
      </c>
      <c r="U398" s="493">
        <f t="shared" si="509"/>
        <v>0</v>
      </c>
      <c r="V398" s="493">
        <f t="shared" si="509"/>
        <v>0</v>
      </c>
      <c r="W398" s="493">
        <f t="shared" si="509"/>
        <v>0</v>
      </c>
      <c r="X398" s="493">
        <f t="shared" ref="X398:AH409" si="510">SUMIF($B$46:$B$136,$B398,X$46:X$136)</f>
        <v>0</v>
      </c>
      <c r="Y398" s="493">
        <f t="shared" si="510"/>
        <v>0</v>
      </c>
      <c r="Z398" s="493">
        <f t="shared" si="510"/>
        <v>0</v>
      </c>
      <c r="AA398" s="493">
        <f t="shared" si="510"/>
        <v>0</v>
      </c>
      <c r="AB398" s="493">
        <f t="shared" si="510"/>
        <v>0</v>
      </c>
      <c r="AC398" s="493">
        <f t="shared" si="510"/>
        <v>0</v>
      </c>
      <c r="AD398" s="493">
        <f t="shared" si="510"/>
        <v>0</v>
      </c>
      <c r="AE398" s="493">
        <f t="shared" si="510"/>
        <v>0</v>
      </c>
      <c r="AF398" s="493">
        <f t="shared" si="510"/>
        <v>0</v>
      </c>
      <c r="AG398" s="493">
        <f t="shared" si="510"/>
        <v>0</v>
      </c>
      <c r="AH398" s="493">
        <f t="shared" si="510"/>
        <v>0</v>
      </c>
      <c r="AI398" s="503">
        <f>SUM(D398:N398)</f>
        <v>16569407.393102083</v>
      </c>
      <c r="AJ398" s="503">
        <f>SUM(D398:X398)</f>
        <v>16569407.393102083</v>
      </c>
      <c r="AK398" s="590">
        <f>SUM(D398:AH398)</f>
        <v>16569407.393102083</v>
      </c>
    </row>
    <row r="399" spans="1:37" x14ac:dyDescent="0.2">
      <c r="A399" s="416"/>
      <c r="B399" s="465" t="s">
        <v>1136</v>
      </c>
      <c r="C399" s="452" t="s">
        <v>37</v>
      </c>
      <c r="D399" s="493">
        <f t="shared" si="508"/>
        <v>16569407.393102083</v>
      </c>
      <c r="E399" s="493">
        <f t="shared" si="508"/>
        <v>0</v>
      </c>
      <c r="F399" s="493">
        <f t="shared" si="508"/>
        <v>0</v>
      </c>
      <c r="G399" s="493">
        <f t="shared" si="508"/>
        <v>0</v>
      </c>
      <c r="H399" s="493">
        <f t="shared" si="508"/>
        <v>0</v>
      </c>
      <c r="I399" s="493">
        <f t="shared" si="508"/>
        <v>0</v>
      </c>
      <c r="J399" s="493">
        <f t="shared" si="508"/>
        <v>0</v>
      </c>
      <c r="K399" s="493">
        <f t="shared" si="508"/>
        <v>0</v>
      </c>
      <c r="L399" s="493">
        <f t="shared" si="508"/>
        <v>0</v>
      </c>
      <c r="M399" s="493">
        <f t="shared" si="508"/>
        <v>0</v>
      </c>
      <c r="N399" s="493">
        <f t="shared" si="509"/>
        <v>0</v>
      </c>
      <c r="O399" s="493">
        <f t="shared" si="509"/>
        <v>0</v>
      </c>
      <c r="P399" s="493">
        <f t="shared" si="509"/>
        <v>0</v>
      </c>
      <c r="Q399" s="493">
        <f t="shared" si="509"/>
        <v>0</v>
      </c>
      <c r="R399" s="493">
        <f t="shared" si="509"/>
        <v>0</v>
      </c>
      <c r="S399" s="493">
        <f t="shared" si="509"/>
        <v>0</v>
      </c>
      <c r="T399" s="493">
        <f t="shared" si="509"/>
        <v>0</v>
      </c>
      <c r="U399" s="493">
        <f t="shared" si="509"/>
        <v>0</v>
      </c>
      <c r="V399" s="493">
        <f t="shared" si="509"/>
        <v>0</v>
      </c>
      <c r="W399" s="493">
        <f t="shared" si="509"/>
        <v>0</v>
      </c>
      <c r="X399" s="493">
        <f t="shared" si="510"/>
        <v>0</v>
      </c>
      <c r="Y399" s="493">
        <f t="shared" si="510"/>
        <v>0</v>
      </c>
      <c r="Z399" s="493">
        <f t="shared" si="510"/>
        <v>0</v>
      </c>
      <c r="AA399" s="493">
        <f t="shared" si="510"/>
        <v>0</v>
      </c>
      <c r="AB399" s="493">
        <f t="shared" si="510"/>
        <v>0</v>
      </c>
      <c r="AC399" s="493">
        <f t="shared" si="510"/>
        <v>0</v>
      </c>
      <c r="AD399" s="493">
        <f t="shared" si="510"/>
        <v>0</v>
      </c>
      <c r="AE399" s="493">
        <f t="shared" si="510"/>
        <v>0</v>
      </c>
      <c r="AF399" s="493">
        <f t="shared" si="510"/>
        <v>0</v>
      </c>
      <c r="AG399" s="493">
        <f t="shared" si="510"/>
        <v>0</v>
      </c>
      <c r="AH399" s="493">
        <f t="shared" si="510"/>
        <v>0</v>
      </c>
      <c r="AI399" s="503">
        <f>SUM(D399:N399)</f>
        <v>16569407.393102083</v>
      </c>
      <c r="AJ399" s="503">
        <f>SUM(D399:X399)</f>
        <v>16569407.393102083</v>
      </c>
      <c r="AK399" s="590">
        <f>SUM(D399:AH399)</f>
        <v>16569407.393102083</v>
      </c>
    </row>
    <row r="400" spans="1:37" x14ac:dyDescent="0.2">
      <c r="A400" s="416"/>
      <c r="B400" s="439" t="s">
        <v>351</v>
      </c>
      <c r="C400" s="452" t="s">
        <v>37</v>
      </c>
      <c r="D400" s="493">
        <f t="shared" si="508"/>
        <v>301261952.60185611</v>
      </c>
      <c r="E400" s="493">
        <f t="shared" si="508"/>
        <v>0</v>
      </c>
      <c r="F400" s="493">
        <f t="shared" si="508"/>
        <v>0</v>
      </c>
      <c r="G400" s="493">
        <f t="shared" si="508"/>
        <v>0</v>
      </c>
      <c r="H400" s="493">
        <f t="shared" si="508"/>
        <v>0</v>
      </c>
      <c r="I400" s="493">
        <f t="shared" si="508"/>
        <v>0</v>
      </c>
      <c r="J400" s="493">
        <f t="shared" si="508"/>
        <v>0</v>
      </c>
      <c r="K400" s="493">
        <f t="shared" si="508"/>
        <v>0</v>
      </c>
      <c r="L400" s="493">
        <f t="shared" si="508"/>
        <v>0</v>
      </c>
      <c r="M400" s="493">
        <f t="shared" si="508"/>
        <v>0</v>
      </c>
      <c r="N400" s="493">
        <f t="shared" si="509"/>
        <v>0</v>
      </c>
      <c r="O400" s="493">
        <f t="shared" si="509"/>
        <v>0</v>
      </c>
      <c r="P400" s="493">
        <f t="shared" si="509"/>
        <v>0</v>
      </c>
      <c r="Q400" s="493">
        <f t="shared" si="509"/>
        <v>0</v>
      </c>
      <c r="R400" s="493">
        <f t="shared" si="509"/>
        <v>0</v>
      </c>
      <c r="S400" s="493">
        <f t="shared" si="509"/>
        <v>0</v>
      </c>
      <c r="T400" s="493">
        <f t="shared" si="509"/>
        <v>0</v>
      </c>
      <c r="U400" s="493">
        <f t="shared" si="509"/>
        <v>0</v>
      </c>
      <c r="V400" s="493">
        <f t="shared" si="509"/>
        <v>0</v>
      </c>
      <c r="W400" s="493">
        <f t="shared" si="509"/>
        <v>0</v>
      </c>
      <c r="X400" s="493">
        <f t="shared" si="510"/>
        <v>0</v>
      </c>
      <c r="Y400" s="493">
        <f t="shared" si="510"/>
        <v>0</v>
      </c>
      <c r="Z400" s="493">
        <f t="shared" si="510"/>
        <v>0</v>
      </c>
      <c r="AA400" s="493">
        <f t="shared" si="510"/>
        <v>0</v>
      </c>
      <c r="AB400" s="493">
        <f t="shared" si="510"/>
        <v>0</v>
      </c>
      <c r="AC400" s="493">
        <f t="shared" si="510"/>
        <v>0</v>
      </c>
      <c r="AD400" s="493">
        <f t="shared" si="510"/>
        <v>0</v>
      </c>
      <c r="AE400" s="493">
        <f t="shared" si="510"/>
        <v>0</v>
      </c>
      <c r="AF400" s="493">
        <f t="shared" si="510"/>
        <v>0</v>
      </c>
      <c r="AG400" s="493">
        <f t="shared" si="510"/>
        <v>0</v>
      </c>
      <c r="AH400" s="493">
        <f t="shared" si="510"/>
        <v>0</v>
      </c>
      <c r="AI400" s="503">
        <f>SUM(D400:N400)</f>
        <v>301261952.60185611</v>
      </c>
      <c r="AJ400" s="503">
        <f>SUM(D400:X400)</f>
        <v>301261952.60185611</v>
      </c>
      <c r="AK400" s="590">
        <f>SUM(D400:AH400)</f>
        <v>301261952.60185611</v>
      </c>
    </row>
    <row r="401" spans="1:37" x14ac:dyDescent="0.2">
      <c r="A401" s="416"/>
      <c r="B401" s="439" t="s">
        <v>350</v>
      </c>
      <c r="C401" s="452" t="s">
        <v>37</v>
      </c>
      <c r="D401" s="493">
        <f t="shared" si="508"/>
        <v>225946464.45139205</v>
      </c>
      <c r="E401" s="493">
        <f t="shared" si="508"/>
        <v>0</v>
      </c>
      <c r="F401" s="493">
        <f t="shared" si="508"/>
        <v>0</v>
      </c>
      <c r="G401" s="493">
        <f t="shared" si="508"/>
        <v>0</v>
      </c>
      <c r="H401" s="493">
        <f t="shared" si="508"/>
        <v>0</v>
      </c>
      <c r="I401" s="493">
        <f t="shared" si="508"/>
        <v>0</v>
      </c>
      <c r="J401" s="493">
        <f t="shared" si="508"/>
        <v>0</v>
      </c>
      <c r="K401" s="493">
        <f t="shared" si="508"/>
        <v>0</v>
      </c>
      <c r="L401" s="493">
        <f t="shared" si="508"/>
        <v>0</v>
      </c>
      <c r="M401" s="493">
        <f t="shared" si="508"/>
        <v>0</v>
      </c>
      <c r="N401" s="493">
        <f t="shared" si="509"/>
        <v>0</v>
      </c>
      <c r="O401" s="493">
        <f t="shared" si="509"/>
        <v>0</v>
      </c>
      <c r="P401" s="493">
        <f t="shared" si="509"/>
        <v>0</v>
      </c>
      <c r="Q401" s="493">
        <f t="shared" si="509"/>
        <v>0</v>
      </c>
      <c r="R401" s="493">
        <f t="shared" si="509"/>
        <v>0</v>
      </c>
      <c r="S401" s="493">
        <f t="shared" si="509"/>
        <v>0</v>
      </c>
      <c r="T401" s="493">
        <f t="shared" si="509"/>
        <v>0</v>
      </c>
      <c r="U401" s="493">
        <f t="shared" si="509"/>
        <v>0</v>
      </c>
      <c r="V401" s="493">
        <f t="shared" si="509"/>
        <v>0</v>
      </c>
      <c r="W401" s="493">
        <f t="shared" si="509"/>
        <v>0</v>
      </c>
      <c r="X401" s="493">
        <f t="shared" si="510"/>
        <v>0</v>
      </c>
      <c r="Y401" s="493">
        <f t="shared" si="510"/>
        <v>0</v>
      </c>
      <c r="Z401" s="493">
        <f t="shared" si="510"/>
        <v>0</v>
      </c>
      <c r="AA401" s="493">
        <f t="shared" si="510"/>
        <v>0</v>
      </c>
      <c r="AB401" s="493">
        <f t="shared" si="510"/>
        <v>0</v>
      </c>
      <c r="AC401" s="493">
        <f t="shared" si="510"/>
        <v>0</v>
      </c>
      <c r="AD401" s="493">
        <f t="shared" si="510"/>
        <v>0</v>
      </c>
      <c r="AE401" s="493">
        <f t="shared" si="510"/>
        <v>0</v>
      </c>
      <c r="AF401" s="493">
        <f t="shared" si="510"/>
        <v>0</v>
      </c>
      <c r="AG401" s="493">
        <f t="shared" si="510"/>
        <v>0</v>
      </c>
      <c r="AH401" s="493">
        <f t="shared" si="510"/>
        <v>0</v>
      </c>
      <c r="AI401" s="503">
        <f>SUM(D401:N401)</f>
        <v>225946464.45139205</v>
      </c>
      <c r="AJ401" s="503">
        <f>SUM(D401:X401)</f>
        <v>225946464.45139205</v>
      </c>
      <c r="AK401" s="590">
        <f>SUM(D401:AH401)</f>
        <v>225946464.45139205</v>
      </c>
    </row>
    <row r="402" spans="1:37" x14ac:dyDescent="0.2">
      <c r="A402" s="491"/>
      <c r="B402" s="439" t="s">
        <v>329</v>
      </c>
      <c r="C402" s="452" t="s">
        <v>37</v>
      </c>
      <c r="D402" s="493">
        <f t="shared" si="508"/>
        <v>168545007.14272016</v>
      </c>
      <c r="E402" s="493">
        <f t="shared" si="508"/>
        <v>0</v>
      </c>
      <c r="F402" s="493">
        <f t="shared" si="508"/>
        <v>0</v>
      </c>
      <c r="G402" s="493">
        <f t="shared" si="508"/>
        <v>0</v>
      </c>
      <c r="H402" s="493">
        <f t="shared" si="508"/>
        <v>0</v>
      </c>
      <c r="I402" s="493">
        <f t="shared" si="508"/>
        <v>0</v>
      </c>
      <c r="J402" s="493">
        <f t="shared" si="508"/>
        <v>0</v>
      </c>
      <c r="K402" s="493">
        <f t="shared" si="508"/>
        <v>0</v>
      </c>
      <c r="L402" s="493">
        <f t="shared" si="508"/>
        <v>0</v>
      </c>
      <c r="M402" s="493">
        <f t="shared" si="508"/>
        <v>0</v>
      </c>
      <c r="N402" s="493">
        <f t="shared" si="509"/>
        <v>0</v>
      </c>
      <c r="O402" s="493">
        <f t="shared" si="509"/>
        <v>0</v>
      </c>
      <c r="P402" s="493">
        <f t="shared" si="509"/>
        <v>0</v>
      </c>
      <c r="Q402" s="493">
        <f t="shared" si="509"/>
        <v>0</v>
      </c>
      <c r="R402" s="493">
        <f t="shared" si="509"/>
        <v>0</v>
      </c>
      <c r="S402" s="493">
        <f t="shared" si="509"/>
        <v>0</v>
      </c>
      <c r="T402" s="493">
        <f t="shared" si="509"/>
        <v>0</v>
      </c>
      <c r="U402" s="493">
        <f t="shared" si="509"/>
        <v>0</v>
      </c>
      <c r="V402" s="493">
        <f t="shared" si="509"/>
        <v>0</v>
      </c>
      <c r="W402" s="493">
        <f t="shared" si="509"/>
        <v>0</v>
      </c>
      <c r="X402" s="493">
        <f t="shared" si="510"/>
        <v>0</v>
      </c>
      <c r="Y402" s="493">
        <f t="shared" si="510"/>
        <v>0</v>
      </c>
      <c r="Z402" s="493">
        <f t="shared" si="510"/>
        <v>0</v>
      </c>
      <c r="AA402" s="493">
        <f t="shared" si="510"/>
        <v>0</v>
      </c>
      <c r="AB402" s="493">
        <f t="shared" si="510"/>
        <v>0</v>
      </c>
      <c r="AC402" s="493">
        <f t="shared" si="510"/>
        <v>0</v>
      </c>
      <c r="AD402" s="493">
        <f t="shared" si="510"/>
        <v>0</v>
      </c>
      <c r="AE402" s="493">
        <f t="shared" si="510"/>
        <v>0</v>
      </c>
      <c r="AF402" s="493">
        <f t="shared" si="510"/>
        <v>0</v>
      </c>
      <c r="AG402" s="493">
        <f t="shared" si="510"/>
        <v>0</v>
      </c>
      <c r="AH402" s="493">
        <f t="shared" si="510"/>
        <v>0</v>
      </c>
      <c r="AI402" s="503">
        <f t="shared" ref="AI402:AI411" si="511">SUM(D402:N402)</f>
        <v>168545007.14272016</v>
      </c>
      <c r="AJ402" s="503">
        <f t="shared" ref="AJ402:AJ411" si="512">SUM(D402:X402)</f>
        <v>168545007.14272016</v>
      </c>
      <c r="AK402" s="590">
        <f t="shared" ref="AK402:AK411" si="513">SUM(D402:AH402)</f>
        <v>168545007.14272016</v>
      </c>
    </row>
    <row r="403" spans="1:37" x14ac:dyDescent="0.2">
      <c r="A403" s="491"/>
      <c r="B403" s="439" t="s">
        <v>330</v>
      </c>
      <c r="C403" s="452" t="s">
        <v>37</v>
      </c>
      <c r="D403" s="493">
        <f t="shared" si="508"/>
        <v>66533804.045784831</v>
      </c>
      <c r="E403" s="493">
        <f t="shared" si="508"/>
        <v>0</v>
      </c>
      <c r="F403" s="493">
        <f t="shared" si="508"/>
        <v>0</v>
      </c>
      <c r="G403" s="493">
        <f t="shared" si="508"/>
        <v>0</v>
      </c>
      <c r="H403" s="493">
        <f t="shared" si="508"/>
        <v>0</v>
      </c>
      <c r="I403" s="493">
        <f t="shared" si="508"/>
        <v>0</v>
      </c>
      <c r="J403" s="493">
        <f t="shared" si="508"/>
        <v>0</v>
      </c>
      <c r="K403" s="493">
        <f t="shared" si="508"/>
        <v>0</v>
      </c>
      <c r="L403" s="493">
        <f t="shared" si="508"/>
        <v>0</v>
      </c>
      <c r="M403" s="493">
        <f t="shared" si="508"/>
        <v>0</v>
      </c>
      <c r="N403" s="493">
        <f t="shared" si="509"/>
        <v>0</v>
      </c>
      <c r="O403" s="493">
        <f t="shared" si="509"/>
        <v>0</v>
      </c>
      <c r="P403" s="493">
        <f t="shared" si="509"/>
        <v>0</v>
      </c>
      <c r="Q403" s="493">
        <f t="shared" si="509"/>
        <v>0</v>
      </c>
      <c r="R403" s="493">
        <f t="shared" si="509"/>
        <v>0</v>
      </c>
      <c r="S403" s="493">
        <f t="shared" si="509"/>
        <v>0</v>
      </c>
      <c r="T403" s="493">
        <f t="shared" si="509"/>
        <v>0</v>
      </c>
      <c r="U403" s="493">
        <f t="shared" si="509"/>
        <v>0</v>
      </c>
      <c r="V403" s="493">
        <f t="shared" si="509"/>
        <v>0</v>
      </c>
      <c r="W403" s="493">
        <f t="shared" si="509"/>
        <v>0</v>
      </c>
      <c r="X403" s="493">
        <f t="shared" si="510"/>
        <v>0</v>
      </c>
      <c r="Y403" s="493">
        <f t="shared" si="510"/>
        <v>0</v>
      </c>
      <c r="Z403" s="493">
        <f t="shared" si="510"/>
        <v>0</v>
      </c>
      <c r="AA403" s="493">
        <f t="shared" si="510"/>
        <v>0</v>
      </c>
      <c r="AB403" s="493">
        <f t="shared" si="510"/>
        <v>0</v>
      </c>
      <c r="AC403" s="493">
        <f t="shared" si="510"/>
        <v>0</v>
      </c>
      <c r="AD403" s="493">
        <f t="shared" si="510"/>
        <v>0</v>
      </c>
      <c r="AE403" s="493">
        <f t="shared" si="510"/>
        <v>0</v>
      </c>
      <c r="AF403" s="493">
        <f t="shared" si="510"/>
        <v>0</v>
      </c>
      <c r="AG403" s="493">
        <f t="shared" si="510"/>
        <v>0</v>
      </c>
      <c r="AH403" s="493">
        <f t="shared" si="510"/>
        <v>0</v>
      </c>
      <c r="AI403" s="503">
        <f t="shared" si="511"/>
        <v>66533804.045784831</v>
      </c>
      <c r="AJ403" s="503">
        <f t="shared" si="512"/>
        <v>66533804.045784831</v>
      </c>
      <c r="AK403" s="590">
        <f t="shared" si="513"/>
        <v>66533804.045784831</v>
      </c>
    </row>
    <row r="404" spans="1:37" x14ac:dyDescent="0.2">
      <c r="A404" s="491"/>
      <c r="B404" s="439" t="s">
        <v>331</v>
      </c>
      <c r="C404" s="452" t="s">
        <v>37</v>
      </c>
      <c r="D404" s="493">
        <f t="shared" si="508"/>
        <v>23595696.301155336</v>
      </c>
      <c r="E404" s="493">
        <f t="shared" si="508"/>
        <v>0</v>
      </c>
      <c r="F404" s="493">
        <f t="shared" si="508"/>
        <v>0</v>
      </c>
      <c r="G404" s="493">
        <f t="shared" si="508"/>
        <v>0</v>
      </c>
      <c r="H404" s="493">
        <f t="shared" si="508"/>
        <v>0</v>
      </c>
      <c r="I404" s="493">
        <f t="shared" si="508"/>
        <v>0</v>
      </c>
      <c r="J404" s="493">
        <f t="shared" si="508"/>
        <v>0</v>
      </c>
      <c r="K404" s="493">
        <f t="shared" si="508"/>
        <v>0</v>
      </c>
      <c r="L404" s="493">
        <f t="shared" si="508"/>
        <v>0</v>
      </c>
      <c r="M404" s="493">
        <f t="shared" si="508"/>
        <v>0</v>
      </c>
      <c r="N404" s="493">
        <f t="shared" si="509"/>
        <v>0</v>
      </c>
      <c r="O404" s="493">
        <f t="shared" si="509"/>
        <v>0</v>
      </c>
      <c r="P404" s="493">
        <f t="shared" si="509"/>
        <v>0</v>
      </c>
      <c r="Q404" s="493">
        <f t="shared" si="509"/>
        <v>0</v>
      </c>
      <c r="R404" s="493">
        <f t="shared" si="509"/>
        <v>0</v>
      </c>
      <c r="S404" s="493">
        <f t="shared" si="509"/>
        <v>0</v>
      </c>
      <c r="T404" s="493">
        <f t="shared" si="509"/>
        <v>0</v>
      </c>
      <c r="U404" s="493">
        <f t="shared" si="509"/>
        <v>0</v>
      </c>
      <c r="V404" s="493">
        <f t="shared" si="509"/>
        <v>0</v>
      </c>
      <c r="W404" s="493">
        <f t="shared" si="509"/>
        <v>0</v>
      </c>
      <c r="X404" s="493">
        <f t="shared" si="510"/>
        <v>0</v>
      </c>
      <c r="Y404" s="493">
        <f t="shared" si="510"/>
        <v>0</v>
      </c>
      <c r="Z404" s="493">
        <f t="shared" si="510"/>
        <v>0</v>
      </c>
      <c r="AA404" s="493">
        <f t="shared" si="510"/>
        <v>0</v>
      </c>
      <c r="AB404" s="493">
        <f t="shared" si="510"/>
        <v>0</v>
      </c>
      <c r="AC404" s="493">
        <f t="shared" si="510"/>
        <v>0</v>
      </c>
      <c r="AD404" s="493">
        <f t="shared" si="510"/>
        <v>0</v>
      </c>
      <c r="AE404" s="493">
        <f t="shared" si="510"/>
        <v>0</v>
      </c>
      <c r="AF404" s="493">
        <f t="shared" si="510"/>
        <v>0</v>
      </c>
      <c r="AG404" s="493">
        <f t="shared" si="510"/>
        <v>0</v>
      </c>
      <c r="AH404" s="493">
        <f t="shared" si="510"/>
        <v>0</v>
      </c>
      <c r="AI404" s="503">
        <f t="shared" si="511"/>
        <v>23595696.301155336</v>
      </c>
      <c r="AJ404" s="503">
        <f t="shared" si="512"/>
        <v>23595696.301155336</v>
      </c>
      <c r="AK404" s="590">
        <f t="shared" si="513"/>
        <v>23595696.301155336</v>
      </c>
    </row>
    <row r="405" spans="1:37" x14ac:dyDescent="0.2">
      <c r="B405" s="439" t="s">
        <v>332</v>
      </c>
      <c r="C405" s="452" t="s">
        <v>37</v>
      </c>
      <c r="D405" s="493">
        <f t="shared" si="508"/>
        <v>10953342.0505866</v>
      </c>
      <c r="E405" s="493">
        <f t="shared" si="508"/>
        <v>0</v>
      </c>
      <c r="F405" s="493">
        <f t="shared" si="508"/>
        <v>0</v>
      </c>
      <c r="G405" s="493">
        <f t="shared" si="508"/>
        <v>0</v>
      </c>
      <c r="H405" s="493">
        <f t="shared" si="508"/>
        <v>0</v>
      </c>
      <c r="I405" s="493">
        <f t="shared" si="508"/>
        <v>0</v>
      </c>
      <c r="J405" s="493">
        <f t="shared" si="508"/>
        <v>0</v>
      </c>
      <c r="K405" s="493">
        <f t="shared" si="508"/>
        <v>0</v>
      </c>
      <c r="L405" s="493">
        <f t="shared" si="508"/>
        <v>0</v>
      </c>
      <c r="M405" s="493">
        <f t="shared" si="508"/>
        <v>0</v>
      </c>
      <c r="N405" s="493">
        <f t="shared" si="509"/>
        <v>0</v>
      </c>
      <c r="O405" s="493">
        <f t="shared" si="509"/>
        <v>0</v>
      </c>
      <c r="P405" s="493">
        <f t="shared" si="509"/>
        <v>0</v>
      </c>
      <c r="Q405" s="493">
        <f t="shared" si="509"/>
        <v>0</v>
      </c>
      <c r="R405" s="493">
        <f t="shared" si="509"/>
        <v>0</v>
      </c>
      <c r="S405" s="493">
        <f t="shared" si="509"/>
        <v>0</v>
      </c>
      <c r="T405" s="493">
        <f t="shared" si="509"/>
        <v>0</v>
      </c>
      <c r="U405" s="493">
        <f t="shared" si="509"/>
        <v>0</v>
      </c>
      <c r="V405" s="493">
        <f t="shared" si="509"/>
        <v>0</v>
      </c>
      <c r="W405" s="493">
        <f t="shared" si="509"/>
        <v>0</v>
      </c>
      <c r="X405" s="493">
        <f t="shared" si="510"/>
        <v>0</v>
      </c>
      <c r="Y405" s="493">
        <f t="shared" si="510"/>
        <v>0</v>
      </c>
      <c r="Z405" s="493">
        <f t="shared" si="510"/>
        <v>0</v>
      </c>
      <c r="AA405" s="493">
        <f t="shared" si="510"/>
        <v>0</v>
      </c>
      <c r="AB405" s="493">
        <f t="shared" si="510"/>
        <v>0</v>
      </c>
      <c r="AC405" s="493">
        <f t="shared" si="510"/>
        <v>0</v>
      </c>
      <c r="AD405" s="493">
        <f t="shared" si="510"/>
        <v>0</v>
      </c>
      <c r="AE405" s="493">
        <f t="shared" si="510"/>
        <v>0</v>
      </c>
      <c r="AF405" s="493">
        <f t="shared" si="510"/>
        <v>0</v>
      </c>
      <c r="AG405" s="493">
        <f t="shared" si="510"/>
        <v>0</v>
      </c>
      <c r="AH405" s="493">
        <f t="shared" si="510"/>
        <v>0</v>
      </c>
      <c r="AI405" s="503">
        <f t="shared" si="511"/>
        <v>10953342.0505866</v>
      </c>
      <c r="AJ405" s="503">
        <f t="shared" si="512"/>
        <v>10953342.0505866</v>
      </c>
      <c r="AK405" s="590">
        <f t="shared" si="513"/>
        <v>10953342.0505866</v>
      </c>
    </row>
    <row r="406" spans="1:37" x14ac:dyDescent="0.2">
      <c r="B406" s="439" t="s">
        <v>334</v>
      </c>
      <c r="C406" s="452" t="s">
        <v>37</v>
      </c>
      <c r="D406" s="493">
        <f t="shared" si="508"/>
        <v>49213807.394767463</v>
      </c>
      <c r="E406" s="493">
        <f t="shared" si="508"/>
        <v>0</v>
      </c>
      <c r="F406" s="493">
        <f t="shared" si="508"/>
        <v>0</v>
      </c>
      <c r="G406" s="493">
        <f t="shared" si="508"/>
        <v>0</v>
      </c>
      <c r="H406" s="493">
        <f t="shared" si="508"/>
        <v>0</v>
      </c>
      <c r="I406" s="493">
        <f t="shared" si="508"/>
        <v>0</v>
      </c>
      <c r="J406" s="493">
        <f t="shared" si="508"/>
        <v>0</v>
      </c>
      <c r="K406" s="493">
        <f t="shared" si="508"/>
        <v>0</v>
      </c>
      <c r="L406" s="493">
        <f t="shared" si="508"/>
        <v>0</v>
      </c>
      <c r="M406" s="493">
        <f t="shared" si="508"/>
        <v>0</v>
      </c>
      <c r="N406" s="493">
        <f t="shared" si="509"/>
        <v>0</v>
      </c>
      <c r="O406" s="493">
        <f t="shared" si="509"/>
        <v>0</v>
      </c>
      <c r="P406" s="493">
        <f t="shared" si="509"/>
        <v>0</v>
      </c>
      <c r="Q406" s="493">
        <f t="shared" si="509"/>
        <v>0</v>
      </c>
      <c r="R406" s="493">
        <f t="shared" si="509"/>
        <v>0</v>
      </c>
      <c r="S406" s="493">
        <f t="shared" si="509"/>
        <v>0</v>
      </c>
      <c r="T406" s="493">
        <f t="shared" si="509"/>
        <v>0</v>
      </c>
      <c r="U406" s="493">
        <f t="shared" si="509"/>
        <v>0</v>
      </c>
      <c r="V406" s="493">
        <f t="shared" si="509"/>
        <v>0</v>
      </c>
      <c r="W406" s="493">
        <f t="shared" si="509"/>
        <v>0</v>
      </c>
      <c r="X406" s="493">
        <f t="shared" si="510"/>
        <v>0</v>
      </c>
      <c r="Y406" s="493">
        <f t="shared" si="510"/>
        <v>0</v>
      </c>
      <c r="Z406" s="493">
        <f t="shared" si="510"/>
        <v>0</v>
      </c>
      <c r="AA406" s="493">
        <f t="shared" si="510"/>
        <v>0</v>
      </c>
      <c r="AB406" s="493">
        <f t="shared" si="510"/>
        <v>0</v>
      </c>
      <c r="AC406" s="493">
        <f t="shared" si="510"/>
        <v>0</v>
      </c>
      <c r="AD406" s="493">
        <f t="shared" si="510"/>
        <v>0</v>
      </c>
      <c r="AE406" s="493">
        <f t="shared" si="510"/>
        <v>0</v>
      </c>
      <c r="AF406" s="493">
        <f t="shared" si="510"/>
        <v>0</v>
      </c>
      <c r="AG406" s="493">
        <f t="shared" si="510"/>
        <v>0</v>
      </c>
      <c r="AH406" s="493">
        <f t="shared" si="510"/>
        <v>0</v>
      </c>
      <c r="AI406" s="503">
        <f t="shared" si="511"/>
        <v>49213807.394767463</v>
      </c>
      <c r="AJ406" s="503">
        <f t="shared" si="512"/>
        <v>49213807.394767463</v>
      </c>
      <c r="AK406" s="590">
        <f t="shared" si="513"/>
        <v>49213807.394767463</v>
      </c>
    </row>
    <row r="407" spans="1:37" x14ac:dyDescent="0.2">
      <c r="B407" s="439" t="s">
        <v>335</v>
      </c>
      <c r="C407" s="452" t="s">
        <v>37</v>
      </c>
      <c r="D407" s="493">
        <f t="shared" si="508"/>
        <v>44689324.133803919</v>
      </c>
      <c r="E407" s="493">
        <f t="shared" si="508"/>
        <v>0</v>
      </c>
      <c r="F407" s="493">
        <f t="shared" si="508"/>
        <v>0</v>
      </c>
      <c r="G407" s="493">
        <f t="shared" si="508"/>
        <v>0</v>
      </c>
      <c r="H407" s="493">
        <f t="shared" si="508"/>
        <v>0</v>
      </c>
      <c r="I407" s="493">
        <f t="shared" si="508"/>
        <v>0</v>
      </c>
      <c r="J407" s="493">
        <f t="shared" si="508"/>
        <v>0</v>
      </c>
      <c r="K407" s="493">
        <f t="shared" si="508"/>
        <v>0</v>
      </c>
      <c r="L407" s="493">
        <f t="shared" si="508"/>
        <v>0</v>
      </c>
      <c r="M407" s="493">
        <f t="shared" si="508"/>
        <v>0</v>
      </c>
      <c r="N407" s="493">
        <f t="shared" si="509"/>
        <v>0</v>
      </c>
      <c r="O407" s="493">
        <f t="shared" si="509"/>
        <v>0</v>
      </c>
      <c r="P407" s="493">
        <f t="shared" si="509"/>
        <v>0</v>
      </c>
      <c r="Q407" s="493">
        <f t="shared" si="509"/>
        <v>0</v>
      </c>
      <c r="R407" s="493">
        <f t="shared" si="509"/>
        <v>0</v>
      </c>
      <c r="S407" s="493">
        <f t="shared" si="509"/>
        <v>0</v>
      </c>
      <c r="T407" s="493">
        <f t="shared" si="509"/>
        <v>0</v>
      </c>
      <c r="U407" s="493">
        <f t="shared" si="509"/>
        <v>0</v>
      </c>
      <c r="V407" s="493">
        <f t="shared" si="509"/>
        <v>0</v>
      </c>
      <c r="W407" s="493">
        <f t="shared" si="509"/>
        <v>0</v>
      </c>
      <c r="X407" s="493">
        <f t="shared" si="510"/>
        <v>0</v>
      </c>
      <c r="Y407" s="493">
        <f t="shared" si="510"/>
        <v>0</v>
      </c>
      <c r="Z407" s="493">
        <f t="shared" si="510"/>
        <v>0</v>
      </c>
      <c r="AA407" s="493">
        <f t="shared" si="510"/>
        <v>0</v>
      </c>
      <c r="AB407" s="493">
        <f t="shared" si="510"/>
        <v>0</v>
      </c>
      <c r="AC407" s="493">
        <f t="shared" si="510"/>
        <v>0</v>
      </c>
      <c r="AD407" s="493">
        <f t="shared" si="510"/>
        <v>0</v>
      </c>
      <c r="AE407" s="493">
        <f t="shared" si="510"/>
        <v>0</v>
      </c>
      <c r="AF407" s="493">
        <f t="shared" si="510"/>
        <v>0</v>
      </c>
      <c r="AG407" s="493">
        <f t="shared" si="510"/>
        <v>0</v>
      </c>
      <c r="AH407" s="493">
        <f t="shared" si="510"/>
        <v>0</v>
      </c>
      <c r="AI407" s="503">
        <f t="shared" si="511"/>
        <v>44689324.133803919</v>
      </c>
      <c r="AJ407" s="503">
        <f t="shared" si="512"/>
        <v>44689324.133803919</v>
      </c>
      <c r="AK407" s="590">
        <f t="shared" si="513"/>
        <v>44689324.133803919</v>
      </c>
    </row>
    <row r="408" spans="1:37" x14ac:dyDescent="0.2">
      <c r="B408" s="439" t="s">
        <v>336</v>
      </c>
      <c r="C408" s="452" t="s">
        <v>37</v>
      </c>
      <c r="D408" s="493">
        <f t="shared" si="508"/>
        <v>10224762.726983385</v>
      </c>
      <c r="E408" s="493">
        <f t="shared" si="508"/>
        <v>0</v>
      </c>
      <c r="F408" s="493">
        <f t="shared" si="508"/>
        <v>0</v>
      </c>
      <c r="G408" s="493">
        <f t="shared" si="508"/>
        <v>0</v>
      </c>
      <c r="H408" s="493">
        <f t="shared" si="508"/>
        <v>0</v>
      </c>
      <c r="I408" s="493">
        <f t="shared" si="508"/>
        <v>0</v>
      </c>
      <c r="J408" s="493">
        <f t="shared" si="508"/>
        <v>0</v>
      </c>
      <c r="K408" s="493">
        <f t="shared" si="508"/>
        <v>0</v>
      </c>
      <c r="L408" s="493">
        <f t="shared" si="508"/>
        <v>0</v>
      </c>
      <c r="M408" s="493">
        <f t="shared" si="508"/>
        <v>0</v>
      </c>
      <c r="N408" s="493">
        <f t="shared" si="509"/>
        <v>0</v>
      </c>
      <c r="O408" s="493">
        <f t="shared" si="509"/>
        <v>0</v>
      </c>
      <c r="P408" s="493">
        <f t="shared" si="509"/>
        <v>0</v>
      </c>
      <c r="Q408" s="493">
        <f t="shared" si="509"/>
        <v>0</v>
      </c>
      <c r="R408" s="493">
        <f t="shared" si="509"/>
        <v>0</v>
      </c>
      <c r="S408" s="493">
        <f t="shared" si="509"/>
        <v>0</v>
      </c>
      <c r="T408" s="493">
        <f t="shared" si="509"/>
        <v>0</v>
      </c>
      <c r="U408" s="493">
        <f t="shared" si="509"/>
        <v>0</v>
      </c>
      <c r="V408" s="493">
        <f t="shared" si="509"/>
        <v>0</v>
      </c>
      <c r="W408" s="493">
        <f t="shared" si="509"/>
        <v>0</v>
      </c>
      <c r="X408" s="493">
        <f t="shared" si="510"/>
        <v>0</v>
      </c>
      <c r="Y408" s="493">
        <f t="shared" si="510"/>
        <v>0</v>
      </c>
      <c r="Z408" s="493">
        <f t="shared" si="510"/>
        <v>0</v>
      </c>
      <c r="AA408" s="493">
        <f t="shared" si="510"/>
        <v>0</v>
      </c>
      <c r="AB408" s="493">
        <f t="shared" si="510"/>
        <v>0</v>
      </c>
      <c r="AC408" s="493">
        <f t="shared" si="510"/>
        <v>0</v>
      </c>
      <c r="AD408" s="493">
        <f t="shared" si="510"/>
        <v>0</v>
      </c>
      <c r="AE408" s="493">
        <f t="shared" si="510"/>
        <v>0</v>
      </c>
      <c r="AF408" s="493">
        <f t="shared" si="510"/>
        <v>0</v>
      </c>
      <c r="AG408" s="493">
        <f t="shared" si="510"/>
        <v>0</v>
      </c>
      <c r="AH408" s="493">
        <f t="shared" si="510"/>
        <v>0</v>
      </c>
      <c r="AI408" s="503">
        <f t="shared" si="511"/>
        <v>10224762.726983385</v>
      </c>
      <c r="AJ408" s="503">
        <f t="shared" si="512"/>
        <v>10224762.726983385</v>
      </c>
      <c r="AK408" s="590">
        <f t="shared" si="513"/>
        <v>10224762.726983385</v>
      </c>
    </row>
    <row r="409" spans="1:37" x14ac:dyDescent="0.2">
      <c r="B409" s="439" t="s">
        <v>337</v>
      </c>
      <c r="C409" s="452" t="s">
        <v>37</v>
      </c>
      <c r="D409" s="493">
        <f t="shared" si="508"/>
        <v>3585840.8720449908</v>
      </c>
      <c r="E409" s="493">
        <f t="shared" si="508"/>
        <v>0</v>
      </c>
      <c r="F409" s="493">
        <f t="shared" si="508"/>
        <v>0</v>
      </c>
      <c r="G409" s="493">
        <f t="shared" si="508"/>
        <v>0</v>
      </c>
      <c r="H409" s="493">
        <f t="shared" si="508"/>
        <v>0</v>
      </c>
      <c r="I409" s="493">
        <f t="shared" si="508"/>
        <v>0</v>
      </c>
      <c r="J409" s="493">
        <f t="shared" si="508"/>
        <v>0</v>
      </c>
      <c r="K409" s="493">
        <f t="shared" si="508"/>
        <v>0</v>
      </c>
      <c r="L409" s="493">
        <f t="shared" si="508"/>
        <v>0</v>
      </c>
      <c r="M409" s="493">
        <f t="shared" si="508"/>
        <v>0</v>
      </c>
      <c r="N409" s="493">
        <f t="shared" si="509"/>
        <v>0</v>
      </c>
      <c r="O409" s="493">
        <f t="shared" si="509"/>
        <v>0</v>
      </c>
      <c r="P409" s="493">
        <f t="shared" si="509"/>
        <v>0</v>
      </c>
      <c r="Q409" s="493">
        <f t="shared" si="509"/>
        <v>0</v>
      </c>
      <c r="R409" s="493">
        <f t="shared" si="509"/>
        <v>0</v>
      </c>
      <c r="S409" s="493">
        <f t="shared" si="509"/>
        <v>0</v>
      </c>
      <c r="T409" s="493">
        <f t="shared" si="509"/>
        <v>0</v>
      </c>
      <c r="U409" s="493">
        <f t="shared" si="509"/>
        <v>0</v>
      </c>
      <c r="V409" s="493">
        <f t="shared" si="509"/>
        <v>0</v>
      </c>
      <c r="W409" s="493">
        <f t="shared" si="509"/>
        <v>0</v>
      </c>
      <c r="X409" s="493">
        <f t="shared" si="510"/>
        <v>0</v>
      </c>
      <c r="Y409" s="493">
        <f t="shared" si="510"/>
        <v>0</v>
      </c>
      <c r="Z409" s="493">
        <f t="shared" si="510"/>
        <v>0</v>
      </c>
      <c r="AA409" s="493">
        <f t="shared" si="510"/>
        <v>0</v>
      </c>
      <c r="AB409" s="493">
        <f t="shared" si="510"/>
        <v>0</v>
      </c>
      <c r="AC409" s="493">
        <f t="shared" si="510"/>
        <v>0</v>
      </c>
      <c r="AD409" s="493">
        <f t="shared" si="510"/>
        <v>0</v>
      </c>
      <c r="AE409" s="493">
        <f t="shared" si="510"/>
        <v>0</v>
      </c>
      <c r="AF409" s="493">
        <f t="shared" si="510"/>
        <v>0</v>
      </c>
      <c r="AG409" s="493">
        <f t="shared" si="510"/>
        <v>0</v>
      </c>
      <c r="AH409" s="493">
        <f t="shared" si="510"/>
        <v>0</v>
      </c>
      <c r="AI409" s="503">
        <f t="shared" si="511"/>
        <v>3585840.8720449908</v>
      </c>
      <c r="AJ409" s="503">
        <f t="shared" si="512"/>
        <v>3585840.8720449908</v>
      </c>
      <c r="AK409" s="590">
        <f t="shared" si="513"/>
        <v>3585840.8720449908</v>
      </c>
    </row>
    <row r="410" spans="1:37" s="465" customFormat="1" x14ac:dyDescent="0.2">
      <c r="A410" s="1409" t="s">
        <v>1089</v>
      </c>
      <c r="B410" s="439"/>
      <c r="C410" s="452" t="s">
        <v>37</v>
      </c>
      <c r="D410" s="493">
        <f t="shared" ref="D410:M411" si="514">SUMIF($A$46:$A$136,$A410,D$46:D$136)</f>
        <v>377341584.66784668</v>
      </c>
      <c r="E410" s="493">
        <f t="shared" si="514"/>
        <v>0</v>
      </c>
      <c r="F410" s="493">
        <f t="shared" si="514"/>
        <v>0</v>
      </c>
      <c r="G410" s="493">
        <f t="shared" si="514"/>
        <v>0</v>
      </c>
      <c r="H410" s="493">
        <f t="shared" si="514"/>
        <v>0</v>
      </c>
      <c r="I410" s="493">
        <f t="shared" si="514"/>
        <v>0</v>
      </c>
      <c r="J410" s="493">
        <f t="shared" si="514"/>
        <v>0</v>
      </c>
      <c r="K410" s="493">
        <f t="shared" si="514"/>
        <v>0</v>
      </c>
      <c r="L410" s="493">
        <f t="shared" si="514"/>
        <v>0</v>
      </c>
      <c r="M410" s="493">
        <f t="shared" si="514"/>
        <v>0</v>
      </c>
      <c r="N410" s="493">
        <f t="shared" ref="N410:W411" si="515">SUMIF($A$46:$A$136,$A410,N$46:N$136)</f>
        <v>0</v>
      </c>
      <c r="O410" s="493">
        <f t="shared" si="515"/>
        <v>0</v>
      </c>
      <c r="P410" s="493">
        <f t="shared" si="515"/>
        <v>0</v>
      </c>
      <c r="Q410" s="493">
        <f t="shared" si="515"/>
        <v>0</v>
      </c>
      <c r="R410" s="493">
        <f t="shared" si="515"/>
        <v>0</v>
      </c>
      <c r="S410" s="493">
        <f t="shared" si="515"/>
        <v>0</v>
      </c>
      <c r="T410" s="493">
        <f t="shared" si="515"/>
        <v>0</v>
      </c>
      <c r="U410" s="493">
        <f t="shared" si="515"/>
        <v>0</v>
      </c>
      <c r="V410" s="493">
        <f t="shared" si="515"/>
        <v>0</v>
      </c>
      <c r="W410" s="493">
        <f t="shared" si="515"/>
        <v>0</v>
      </c>
      <c r="X410" s="493">
        <f t="shared" ref="X410:AH411" si="516">SUMIF($A$46:$A$136,$A410,X$46:X$136)</f>
        <v>0</v>
      </c>
      <c r="Y410" s="493">
        <f t="shared" si="516"/>
        <v>0</v>
      </c>
      <c r="Z410" s="493">
        <f t="shared" si="516"/>
        <v>0</v>
      </c>
      <c r="AA410" s="493">
        <f t="shared" si="516"/>
        <v>0</v>
      </c>
      <c r="AB410" s="493">
        <f t="shared" si="516"/>
        <v>0</v>
      </c>
      <c r="AC410" s="493">
        <f t="shared" si="516"/>
        <v>0</v>
      </c>
      <c r="AD410" s="493">
        <f t="shared" si="516"/>
        <v>0</v>
      </c>
      <c r="AE410" s="493">
        <f t="shared" si="516"/>
        <v>0</v>
      </c>
      <c r="AF410" s="493">
        <f t="shared" si="516"/>
        <v>0</v>
      </c>
      <c r="AG410" s="493">
        <f t="shared" si="516"/>
        <v>0</v>
      </c>
      <c r="AH410" s="493">
        <f t="shared" si="516"/>
        <v>0</v>
      </c>
      <c r="AI410" s="503">
        <f t="shared" si="511"/>
        <v>377341584.66784668</v>
      </c>
      <c r="AJ410" s="503">
        <f t="shared" si="512"/>
        <v>377341584.66784668</v>
      </c>
      <c r="AK410" s="590">
        <f t="shared" si="513"/>
        <v>377341584.66784668</v>
      </c>
    </row>
    <row r="411" spans="1:37" x14ac:dyDescent="0.2">
      <c r="A411" s="1410" t="s">
        <v>1091</v>
      </c>
      <c r="B411" s="489"/>
      <c r="C411" s="453" t="s">
        <v>37</v>
      </c>
      <c r="D411" s="495">
        <f t="shared" si="514"/>
        <v>4924868781.1248207</v>
      </c>
      <c r="E411" s="495">
        <f t="shared" si="514"/>
        <v>0</v>
      </c>
      <c r="F411" s="495">
        <f t="shared" si="514"/>
        <v>0</v>
      </c>
      <c r="G411" s="495">
        <f t="shared" si="514"/>
        <v>0</v>
      </c>
      <c r="H411" s="495">
        <f t="shared" si="514"/>
        <v>0</v>
      </c>
      <c r="I411" s="495">
        <f t="shared" si="514"/>
        <v>0</v>
      </c>
      <c r="J411" s="495">
        <f t="shared" si="514"/>
        <v>0</v>
      </c>
      <c r="K411" s="495">
        <f t="shared" si="514"/>
        <v>0</v>
      </c>
      <c r="L411" s="495">
        <f t="shared" si="514"/>
        <v>0</v>
      </c>
      <c r="M411" s="495">
        <f t="shared" si="514"/>
        <v>0</v>
      </c>
      <c r="N411" s="495">
        <f t="shared" si="515"/>
        <v>0</v>
      </c>
      <c r="O411" s="495">
        <f t="shared" si="515"/>
        <v>0</v>
      </c>
      <c r="P411" s="495">
        <f t="shared" si="515"/>
        <v>0</v>
      </c>
      <c r="Q411" s="495">
        <f t="shared" si="515"/>
        <v>0</v>
      </c>
      <c r="R411" s="495">
        <f t="shared" si="515"/>
        <v>0</v>
      </c>
      <c r="S411" s="495">
        <f t="shared" si="515"/>
        <v>0</v>
      </c>
      <c r="T411" s="495">
        <f t="shared" si="515"/>
        <v>0</v>
      </c>
      <c r="U411" s="495">
        <f t="shared" si="515"/>
        <v>0</v>
      </c>
      <c r="V411" s="495">
        <f t="shared" si="515"/>
        <v>0</v>
      </c>
      <c r="W411" s="495">
        <f t="shared" si="515"/>
        <v>0</v>
      </c>
      <c r="X411" s="495">
        <f t="shared" si="516"/>
        <v>0</v>
      </c>
      <c r="Y411" s="495">
        <f t="shared" si="516"/>
        <v>0</v>
      </c>
      <c r="Z411" s="495">
        <f t="shared" si="516"/>
        <v>0</v>
      </c>
      <c r="AA411" s="495">
        <f t="shared" si="516"/>
        <v>0</v>
      </c>
      <c r="AB411" s="495">
        <f t="shared" si="516"/>
        <v>0</v>
      </c>
      <c r="AC411" s="495">
        <f t="shared" si="516"/>
        <v>0</v>
      </c>
      <c r="AD411" s="495">
        <f t="shared" si="516"/>
        <v>0</v>
      </c>
      <c r="AE411" s="495">
        <f t="shared" si="516"/>
        <v>0</v>
      </c>
      <c r="AF411" s="495">
        <f t="shared" si="516"/>
        <v>0</v>
      </c>
      <c r="AG411" s="495">
        <f t="shared" si="516"/>
        <v>0</v>
      </c>
      <c r="AH411" s="495">
        <f t="shared" si="516"/>
        <v>0</v>
      </c>
      <c r="AI411" s="502">
        <f t="shared" si="511"/>
        <v>4924868781.1248207</v>
      </c>
      <c r="AJ411" s="502">
        <f t="shared" si="512"/>
        <v>4924868781.1248207</v>
      </c>
      <c r="AK411" s="502">
        <f t="shared" si="513"/>
        <v>4924868781.1248207</v>
      </c>
    </row>
    <row r="412" spans="1:37" x14ac:dyDescent="0.2">
      <c r="A412" s="454" t="s">
        <v>276</v>
      </c>
      <c r="B412" s="489"/>
      <c r="C412" s="453" t="s">
        <v>37</v>
      </c>
      <c r="D412" s="495">
        <f t="shared" ref="D412" si="517">SUM(D411,D410)</f>
        <v>5302210365.7926674</v>
      </c>
      <c r="E412" s="495">
        <f>SUM(E411,E410)</f>
        <v>0</v>
      </c>
      <c r="F412" s="495">
        <f t="shared" ref="F412" si="518">SUM(F411,F410)</f>
        <v>0</v>
      </c>
      <c r="G412" s="495">
        <f t="shared" ref="G412" si="519">SUM(G411,G410)</f>
        <v>0</v>
      </c>
      <c r="H412" s="495">
        <f t="shared" ref="H412" si="520">SUM(H411,H410)</f>
        <v>0</v>
      </c>
      <c r="I412" s="495">
        <f t="shared" ref="I412" si="521">SUM(I411,I410)</f>
        <v>0</v>
      </c>
      <c r="J412" s="495">
        <f t="shared" ref="J412" si="522">SUM(J411,J410)</f>
        <v>0</v>
      </c>
      <c r="K412" s="495">
        <f t="shared" ref="K412" si="523">SUM(K411,K410)</f>
        <v>0</v>
      </c>
      <c r="L412" s="495">
        <f t="shared" ref="L412" si="524">SUM(L411,L410)</f>
        <v>0</v>
      </c>
      <c r="M412" s="495">
        <f t="shared" ref="M412" si="525">SUM(M411,M410)</f>
        <v>0</v>
      </c>
      <c r="N412" s="495">
        <f t="shared" ref="N412" si="526">SUM(N411,N410)</f>
        <v>0</v>
      </c>
      <c r="O412" s="495">
        <f t="shared" ref="O412" si="527">SUM(O411,O410)</f>
        <v>0</v>
      </c>
      <c r="P412" s="495">
        <f t="shared" ref="P412" si="528">SUM(P411,P410)</f>
        <v>0</v>
      </c>
      <c r="Q412" s="495">
        <f t="shared" ref="Q412" si="529">SUM(Q411,Q410)</f>
        <v>0</v>
      </c>
      <c r="R412" s="495">
        <f t="shared" ref="R412" si="530">SUM(R411,R410)</f>
        <v>0</v>
      </c>
      <c r="S412" s="495">
        <f t="shared" ref="S412" si="531">SUM(S411,S410)</f>
        <v>0</v>
      </c>
      <c r="T412" s="495">
        <f t="shared" ref="T412" si="532">SUM(T411,T410)</f>
        <v>0</v>
      </c>
      <c r="U412" s="495">
        <f t="shared" ref="U412" si="533">SUM(U411,U410)</f>
        <v>0</v>
      </c>
      <c r="V412" s="495">
        <f t="shared" ref="V412" si="534">SUM(V411,V410)</f>
        <v>0</v>
      </c>
      <c r="W412" s="495">
        <f t="shared" ref="W412" si="535">SUM(W411,W410)</f>
        <v>0</v>
      </c>
      <c r="X412" s="495">
        <f t="shared" ref="X412" si="536">SUM(X411,X410)</f>
        <v>0</v>
      </c>
      <c r="Y412" s="495">
        <f t="shared" ref="Y412" si="537">SUM(Y411,Y410)</f>
        <v>0</v>
      </c>
      <c r="Z412" s="495">
        <f t="shared" ref="Z412" si="538">SUM(Z411,Z410)</f>
        <v>0</v>
      </c>
      <c r="AA412" s="495">
        <f t="shared" ref="AA412" si="539">SUM(AA411,AA410)</f>
        <v>0</v>
      </c>
      <c r="AB412" s="495">
        <f t="shared" ref="AB412" si="540">SUM(AB411,AB410)</f>
        <v>0</v>
      </c>
      <c r="AC412" s="495">
        <f t="shared" ref="AC412" si="541">SUM(AC411,AC410)</f>
        <v>0</v>
      </c>
      <c r="AD412" s="495">
        <f t="shared" ref="AD412" si="542">SUM(AD411,AD410)</f>
        <v>0</v>
      </c>
      <c r="AE412" s="495">
        <f t="shared" ref="AE412" si="543">SUM(AE411,AE410)</f>
        <v>0</v>
      </c>
      <c r="AF412" s="495">
        <f t="shared" ref="AF412" si="544">SUM(AF411,AF410)</f>
        <v>0</v>
      </c>
      <c r="AG412" s="495">
        <f t="shared" ref="AG412" si="545">SUM(AG411,AG410)</f>
        <v>0</v>
      </c>
      <c r="AH412" s="495">
        <f t="shared" ref="AH412" si="546">SUM(AH411,AH410)</f>
        <v>0</v>
      </c>
      <c r="AI412" s="591">
        <f t="shared" ref="AI412" si="547">SUM(AI411,AI410)</f>
        <v>5302210365.7926674</v>
      </c>
      <c r="AJ412" s="591">
        <f t="shared" ref="AJ412" si="548">SUM(AJ411,AJ410)</f>
        <v>5302210365.7926674</v>
      </c>
      <c r="AK412" s="591">
        <f t="shared" ref="AK412" si="549">SUM(AK411,AK410)</f>
        <v>5302210365.7926674</v>
      </c>
    </row>
    <row r="413" spans="1:37" s="1413" customFormat="1" x14ac:dyDescent="0.2">
      <c r="A413" s="1408" t="s">
        <v>277</v>
      </c>
      <c r="B413" s="1411"/>
      <c r="C413" s="1416"/>
      <c r="D413" s="1407"/>
      <c r="E413" s="1407"/>
      <c r="F413" s="1407"/>
      <c r="G413" s="1407"/>
      <c r="H413" s="1407"/>
      <c r="I413" s="1407"/>
      <c r="J413" s="1407"/>
      <c r="K413" s="1407"/>
      <c r="L413" s="1407"/>
      <c r="M413" s="1407"/>
      <c r="N413" s="1407"/>
      <c r="O413" s="1407"/>
      <c r="P413" s="1407"/>
      <c r="Q413" s="1407"/>
      <c r="R413" s="1407"/>
      <c r="S413" s="1407"/>
      <c r="T413" s="1407"/>
      <c r="U413" s="1407"/>
      <c r="V413" s="1407"/>
      <c r="W413" s="1407"/>
      <c r="X413" s="1407"/>
      <c r="Y413" s="1407"/>
      <c r="Z413" s="1407"/>
      <c r="AA413" s="1407"/>
      <c r="AB413" s="1407"/>
      <c r="AC413" s="1407"/>
      <c r="AD413" s="1407"/>
      <c r="AE413" s="1407"/>
      <c r="AF413" s="1407"/>
      <c r="AG413" s="1407"/>
      <c r="AH413" s="1407"/>
      <c r="AI413" s="1431"/>
      <c r="AJ413" s="1431"/>
      <c r="AK413" s="1431"/>
    </row>
    <row r="414" spans="1:37" s="1413" customFormat="1" x14ac:dyDescent="0.2">
      <c r="A414" s="1408" t="s">
        <v>1126</v>
      </c>
      <c r="B414" s="1411"/>
      <c r="C414" s="1416" t="s">
        <v>37</v>
      </c>
      <c r="D414" s="1407">
        <f>D31</f>
        <v>0</v>
      </c>
      <c r="E414" s="1407">
        <f t="shared" ref="E414:AK414" si="550">E31</f>
        <v>495000000</v>
      </c>
      <c r="F414" s="1407">
        <f t="shared" si="550"/>
        <v>495000000</v>
      </c>
      <c r="G414" s="1407">
        <f t="shared" si="550"/>
        <v>495000000</v>
      </c>
      <c r="H414" s="1407">
        <f t="shared" si="550"/>
        <v>495000000</v>
      </c>
      <c r="I414" s="1407">
        <f t="shared" si="550"/>
        <v>495000000</v>
      </c>
      <c r="J414" s="1407">
        <f t="shared" si="550"/>
        <v>495000000</v>
      </c>
      <c r="K414" s="1407">
        <f t="shared" si="550"/>
        <v>495000000</v>
      </c>
      <c r="L414" s="1407">
        <f t="shared" si="550"/>
        <v>495000000</v>
      </c>
      <c r="M414" s="1407">
        <f t="shared" si="550"/>
        <v>495000000</v>
      </c>
      <c r="N414" s="1407">
        <f t="shared" si="550"/>
        <v>495000000</v>
      </c>
      <c r="O414" s="1407">
        <f t="shared" si="550"/>
        <v>495000000</v>
      </c>
      <c r="P414" s="1407">
        <f t="shared" si="550"/>
        <v>495000000</v>
      </c>
      <c r="Q414" s="1407">
        <f t="shared" si="550"/>
        <v>495000000</v>
      </c>
      <c r="R414" s="1407">
        <f t="shared" si="550"/>
        <v>495000000</v>
      </c>
      <c r="S414" s="1407">
        <f t="shared" si="550"/>
        <v>495000000</v>
      </c>
      <c r="T414" s="1407">
        <f t="shared" si="550"/>
        <v>495000000</v>
      </c>
      <c r="U414" s="1407">
        <f t="shared" si="550"/>
        <v>495000000</v>
      </c>
      <c r="V414" s="1407">
        <f t="shared" si="550"/>
        <v>495000000</v>
      </c>
      <c r="W414" s="1407">
        <f t="shared" si="550"/>
        <v>495000000</v>
      </c>
      <c r="X414" s="1407">
        <f t="shared" si="550"/>
        <v>495000000</v>
      </c>
      <c r="Y414" s="1407">
        <f t="shared" si="550"/>
        <v>495000000</v>
      </c>
      <c r="Z414" s="1407">
        <f t="shared" si="550"/>
        <v>495000000</v>
      </c>
      <c r="AA414" s="1407">
        <f t="shared" si="550"/>
        <v>495000000</v>
      </c>
      <c r="AB414" s="1407">
        <f t="shared" si="550"/>
        <v>495000000</v>
      </c>
      <c r="AC414" s="1407">
        <f t="shared" si="550"/>
        <v>495000000</v>
      </c>
      <c r="AD414" s="1407">
        <f t="shared" si="550"/>
        <v>495000000</v>
      </c>
      <c r="AE414" s="1407">
        <f t="shared" si="550"/>
        <v>495000000</v>
      </c>
      <c r="AF414" s="1407">
        <f t="shared" si="550"/>
        <v>495000000</v>
      </c>
      <c r="AG414" s="1407">
        <f t="shared" si="550"/>
        <v>495000000</v>
      </c>
      <c r="AH414" s="1407">
        <f t="shared" si="550"/>
        <v>495000000</v>
      </c>
      <c r="AI414" s="1431">
        <f t="shared" si="550"/>
        <v>4950000000</v>
      </c>
      <c r="AJ414" s="1431">
        <f t="shared" si="550"/>
        <v>9900000000</v>
      </c>
      <c r="AK414" s="1417">
        <f t="shared" si="550"/>
        <v>14850000000</v>
      </c>
    </row>
    <row r="415" spans="1:37" s="1413" customFormat="1" x14ac:dyDescent="0.2">
      <c r="A415" s="1412" t="s">
        <v>275</v>
      </c>
      <c r="B415" s="1408"/>
      <c r="C415" s="1416" t="s">
        <v>37</v>
      </c>
      <c r="D415" s="1407">
        <f>SUMIF($B$138:$B$182,"売上（税別）",D$138:D$182)</f>
        <v>0</v>
      </c>
      <c r="E415" s="1407">
        <f t="shared" ref="E415:AK415" si="551">SUMIF($B$138:$B$182,"売上（税別）",E$138:E$182)</f>
        <v>495000000</v>
      </c>
      <c r="F415" s="1407">
        <f t="shared" si="551"/>
        <v>495000000</v>
      </c>
      <c r="G415" s="1407">
        <f t="shared" si="551"/>
        <v>495000000</v>
      </c>
      <c r="H415" s="1407">
        <f t="shared" si="551"/>
        <v>495000000</v>
      </c>
      <c r="I415" s="1407">
        <f t="shared" si="551"/>
        <v>495000000</v>
      </c>
      <c r="J415" s="1407">
        <f t="shared" si="551"/>
        <v>495000000</v>
      </c>
      <c r="K415" s="1407">
        <f t="shared" si="551"/>
        <v>495000000</v>
      </c>
      <c r="L415" s="1407">
        <f t="shared" si="551"/>
        <v>495000000</v>
      </c>
      <c r="M415" s="1407">
        <f t="shared" si="551"/>
        <v>495000000</v>
      </c>
      <c r="N415" s="1407">
        <f t="shared" si="551"/>
        <v>495000000</v>
      </c>
      <c r="O415" s="1407">
        <f t="shared" si="551"/>
        <v>495000000</v>
      </c>
      <c r="P415" s="1407">
        <f t="shared" si="551"/>
        <v>495000000</v>
      </c>
      <c r="Q415" s="1407">
        <f t="shared" si="551"/>
        <v>495000000</v>
      </c>
      <c r="R415" s="1407">
        <f t="shared" si="551"/>
        <v>495000000</v>
      </c>
      <c r="S415" s="1407">
        <f t="shared" si="551"/>
        <v>495000000</v>
      </c>
      <c r="T415" s="1407">
        <f t="shared" si="551"/>
        <v>495000000</v>
      </c>
      <c r="U415" s="1407">
        <f t="shared" si="551"/>
        <v>495000000</v>
      </c>
      <c r="V415" s="1407">
        <f t="shared" si="551"/>
        <v>495000000</v>
      </c>
      <c r="W415" s="1407">
        <f t="shared" si="551"/>
        <v>495000000</v>
      </c>
      <c r="X415" s="1407">
        <f t="shared" si="551"/>
        <v>495000000</v>
      </c>
      <c r="Y415" s="1407">
        <f t="shared" si="551"/>
        <v>495000000</v>
      </c>
      <c r="Z415" s="1407">
        <f t="shared" si="551"/>
        <v>495000000</v>
      </c>
      <c r="AA415" s="1407">
        <f t="shared" si="551"/>
        <v>495000000</v>
      </c>
      <c r="AB415" s="1407">
        <f t="shared" si="551"/>
        <v>495000000</v>
      </c>
      <c r="AC415" s="1407">
        <f t="shared" si="551"/>
        <v>495000000</v>
      </c>
      <c r="AD415" s="1407">
        <f t="shared" si="551"/>
        <v>495000000</v>
      </c>
      <c r="AE415" s="1407">
        <f t="shared" si="551"/>
        <v>495000000</v>
      </c>
      <c r="AF415" s="1407">
        <f t="shared" si="551"/>
        <v>495000000</v>
      </c>
      <c r="AG415" s="1407">
        <f t="shared" si="551"/>
        <v>495000000</v>
      </c>
      <c r="AH415" s="1407">
        <f t="shared" si="551"/>
        <v>495000000</v>
      </c>
      <c r="AI415" s="1431">
        <f t="shared" si="551"/>
        <v>4950000000</v>
      </c>
      <c r="AJ415" s="1431">
        <f t="shared" si="551"/>
        <v>9900000000</v>
      </c>
      <c r="AK415" s="1432">
        <f t="shared" si="551"/>
        <v>14850000000</v>
      </c>
    </row>
    <row r="416" spans="1:37" x14ac:dyDescent="0.2">
      <c r="A416" s="1413"/>
      <c r="B416" s="1411" t="s">
        <v>1137</v>
      </c>
      <c r="C416" s="1416" t="s">
        <v>37</v>
      </c>
      <c r="D416" s="493">
        <f t="shared" ref="D416:M427" si="552">SUMIF($B$138:$B$182,$B416,D$138:D$182)</f>
        <v>0</v>
      </c>
      <c r="E416" s="493">
        <f t="shared" si="552"/>
        <v>5445000</v>
      </c>
      <c r="F416" s="493">
        <f t="shared" si="552"/>
        <v>5445000</v>
      </c>
      <c r="G416" s="493">
        <f t="shared" si="552"/>
        <v>5445000</v>
      </c>
      <c r="H416" s="493">
        <f t="shared" si="552"/>
        <v>5445000</v>
      </c>
      <c r="I416" s="493">
        <f t="shared" si="552"/>
        <v>5445000</v>
      </c>
      <c r="J416" s="493">
        <f t="shared" si="552"/>
        <v>5445000</v>
      </c>
      <c r="K416" s="493">
        <f t="shared" si="552"/>
        <v>5445000</v>
      </c>
      <c r="L416" s="493">
        <f t="shared" si="552"/>
        <v>5445000</v>
      </c>
      <c r="M416" s="493">
        <f t="shared" si="552"/>
        <v>5445000</v>
      </c>
      <c r="N416" s="493">
        <f t="shared" ref="N416:W427" si="553">SUMIF($B$138:$B$182,$B416,N$138:N$182)</f>
        <v>5445000</v>
      </c>
      <c r="O416" s="493">
        <f t="shared" si="553"/>
        <v>5445000</v>
      </c>
      <c r="P416" s="493">
        <f t="shared" si="553"/>
        <v>5445000</v>
      </c>
      <c r="Q416" s="493">
        <f t="shared" si="553"/>
        <v>5445000</v>
      </c>
      <c r="R416" s="493">
        <f t="shared" si="553"/>
        <v>5445000</v>
      </c>
      <c r="S416" s="493">
        <f t="shared" si="553"/>
        <v>5445000</v>
      </c>
      <c r="T416" s="493">
        <f t="shared" si="553"/>
        <v>5445000</v>
      </c>
      <c r="U416" s="493">
        <f t="shared" si="553"/>
        <v>5445000</v>
      </c>
      <c r="V416" s="493">
        <f t="shared" si="553"/>
        <v>5445000</v>
      </c>
      <c r="W416" s="493">
        <f t="shared" si="553"/>
        <v>5445000</v>
      </c>
      <c r="X416" s="493">
        <f t="shared" ref="X416:AH427" si="554">SUMIF($B$138:$B$182,$B416,X$138:X$182)</f>
        <v>5445000</v>
      </c>
      <c r="Y416" s="493">
        <f t="shared" si="554"/>
        <v>5445000</v>
      </c>
      <c r="Z416" s="493">
        <f t="shared" si="554"/>
        <v>5445000</v>
      </c>
      <c r="AA416" s="493">
        <f t="shared" si="554"/>
        <v>5445000</v>
      </c>
      <c r="AB416" s="493">
        <f t="shared" si="554"/>
        <v>5445000</v>
      </c>
      <c r="AC416" s="493">
        <f t="shared" si="554"/>
        <v>5445000</v>
      </c>
      <c r="AD416" s="493">
        <f t="shared" si="554"/>
        <v>5445000</v>
      </c>
      <c r="AE416" s="493">
        <f t="shared" si="554"/>
        <v>5445000</v>
      </c>
      <c r="AF416" s="493">
        <f t="shared" si="554"/>
        <v>5445000</v>
      </c>
      <c r="AG416" s="493">
        <f t="shared" si="554"/>
        <v>5445000</v>
      </c>
      <c r="AH416" s="493">
        <f t="shared" si="554"/>
        <v>5445000</v>
      </c>
      <c r="AI416" s="503">
        <f>SUM(D416:N416)</f>
        <v>54450000</v>
      </c>
      <c r="AJ416" s="503">
        <f>SUM(D416:X416)</f>
        <v>108900000</v>
      </c>
      <c r="AK416" s="590">
        <f>SUM(D416:AH416)</f>
        <v>163350000</v>
      </c>
    </row>
    <row r="417" spans="1:37" x14ac:dyDescent="0.2">
      <c r="A417" s="491"/>
      <c r="B417" s="465" t="s">
        <v>1136</v>
      </c>
      <c r="C417" s="452" t="s">
        <v>37</v>
      </c>
      <c r="D417" s="493">
        <f t="shared" si="552"/>
        <v>0</v>
      </c>
      <c r="E417" s="493">
        <f t="shared" si="552"/>
        <v>5445000</v>
      </c>
      <c r="F417" s="493">
        <f t="shared" si="552"/>
        <v>5445000</v>
      </c>
      <c r="G417" s="493">
        <f t="shared" si="552"/>
        <v>5445000</v>
      </c>
      <c r="H417" s="493">
        <f t="shared" si="552"/>
        <v>5445000</v>
      </c>
      <c r="I417" s="493">
        <f t="shared" si="552"/>
        <v>5445000</v>
      </c>
      <c r="J417" s="493">
        <f t="shared" si="552"/>
        <v>5445000</v>
      </c>
      <c r="K417" s="493">
        <f t="shared" si="552"/>
        <v>5445000</v>
      </c>
      <c r="L417" s="493">
        <f t="shared" si="552"/>
        <v>5445000</v>
      </c>
      <c r="M417" s="493">
        <f t="shared" si="552"/>
        <v>5445000</v>
      </c>
      <c r="N417" s="493">
        <f t="shared" si="553"/>
        <v>5445000</v>
      </c>
      <c r="O417" s="493">
        <f t="shared" si="553"/>
        <v>5445000</v>
      </c>
      <c r="P417" s="493">
        <f t="shared" si="553"/>
        <v>5445000</v>
      </c>
      <c r="Q417" s="493">
        <f t="shared" si="553"/>
        <v>5445000</v>
      </c>
      <c r="R417" s="493">
        <f t="shared" si="553"/>
        <v>5445000</v>
      </c>
      <c r="S417" s="493">
        <f t="shared" si="553"/>
        <v>5445000</v>
      </c>
      <c r="T417" s="493">
        <f t="shared" si="553"/>
        <v>5445000</v>
      </c>
      <c r="U417" s="493">
        <f t="shared" si="553"/>
        <v>5445000</v>
      </c>
      <c r="V417" s="493">
        <f t="shared" si="553"/>
        <v>5445000</v>
      </c>
      <c r="W417" s="493">
        <f t="shared" si="553"/>
        <v>5445000</v>
      </c>
      <c r="X417" s="493">
        <f t="shared" si="554"/>
        <v>5445000</v>
      </c>
      <c r="Y417" s="493">
        <f t="shared" si="554"/>
        <v>5445000</v>
      </c>
      <c r="Z417" s="493">
        <f t="shared" si="554"/>
        <v>5445000</v>
      </c>
      <c r="AA417" s="493">
        <f t="shared" si="554"/>
        <v>5445000</v>
      </c>
      <c r="AB417" s="493">
        <f t="shared" si="554"/>
        <v>5445000</v>
      </c>
      <c r="AC417" s="493">
        <f t="shared" si="554"/>
        <v>5445000</v>
      </c>
      <c r="AD417" s="493">
        <f t="shared" si="554"/>
        <v>5445000</v>
      </c>
      <c r="AE417" s="493">
        <f t="shared" si="554"/>
        <v>5445000</v>
      </c>
      <c r="AF417" s="493">
        <f t="shared" si="554"/>
        <v>5445000</v>
      </c>
      <c r="AG417" s="493">
        <f t="shared" si="554"/>
        <v>5445000</v>
      </c>
      <c r="AH417" s="493">
        <f t="shared" si="554"/>
        <v>5445000</v>
      </c>
      <c r="AI417" s="503">
        <f>SUM(D417:N417)</f>
        <v>54450000</v>
      </c>
      <c r="AJ417" s="503">
        <f>SUM(D417:X417)</f>
        <v>108900000</v>
      </c>
      <c r="AK417" s="590">
        <f>SUM(D417:AH417)</f>
        <v>163350000</v>
      </c>
    </row>
    <row r="418" spans="1:37" x14ac:dyDescent="0.2">
      <c r="A418" s="416"/>
      <c r="B418" s="439" t="s">
        <v>351</v>
      </c>
      <c r="C418" s="452" t="s">
        <v>333</v>
      </c>
      <c r="D418" s="493">
        <f t="shared" si="552"/>
        <v>0</v>
      </c>
      <c r="E418" s="493">
        <f t="shared" si="552"/>
        <v>99000000</v>
      </c>
      <c r="F418" s="493">
        <f t="shared" si="552"/>
        <v>99000000</v>
      </c>
      <c r="G418" s="493">
        <f t="shared" si="552"/>
        <v>99000000</v>
      </c>
      <c r="H418" s="493">
        <f t="shared" si="552"/>
        <v>99000000</v>
      </c>
      <c r="I418" s="493">
        <f t="shared" si="552"/>
        <v>99000000</v>
      </c>
      <c r="J418" s="493">
        <f t="shared" si="552"/>
        <v>99000000</v>
      </c>
      <c r="K418" s="493">
        <f t="shared" si="552"/>
        <v>99000000</v>
      </c>
      <c r="L418" s="493">
        <f t="shared" si="552"/>
        <v>99000000</v>
      </c>
      <c r="M418" s="493">
        <f t="shared" si="552"/>
        <v>99000000</v>
      </c>
      <c r="N418" s="493">
        <f t="shared" si="553"/>
        <v>99000000</v>
      </c>
      <c r="O418" s="493">
        <f t="shared" si="553"/>
        <v>99000000</v>
      </c>
      <c r="P418" s="493">
        <f t="shared" si="553"/>
        <v>99000000</v>
      </c>
      <c r="Q418" s="493">
        <f t="shared" si="553"/>
        <v>99000000</v>
      </c>
      <c r="R418" s="493">
        <f t="shared" si="553"/>
        <v>99000000</v>
      </c>
      <c r="S418" s="493">
        <f t="shared" si="553"/>
        <v>99000000</v>
      </c>
      <c r="T418" s="493">
        <f t="shared" si="553"/>
        <v>99000000</v>
      </c>
      <c r="U418" s="493">
        <f t="shared" si="553"/>
        <v>99000000</v>
      </c>
      <c r="V418" s="493">
        <f t="shared" si="553"/>
        <v>99000000</v>
      </c>
      <c r="W418" s="493">
        <f t="shared" si="553"/>
        <v>99000000</v>
      </c>
      <c r="X418" s="493">
        <f t="shared" si="554"/>
        <v>99000000</v>
      </c>
      <c r="Y418" s="493">
        <f t="shared" si="554"/>
        <v>99000000</v>
      </c>
      <c r="Z418" s="493">
        <f t="shared" si="554"/>
        <v>99000000</v>
      </c>
      <c r="AA418" s="493">
        <f t="shared" si="554"/>
        <v>99000000</v>
      </c>
      <c r="AB418" s="493">
        <f t="shared" si="554"/>
        <v>99000000</v>
      </c>
      <c r="AC418" s="493">
        <f t="shared" si="554"/>
        <v>99000000</v>
      </c>
      <c r="AD418" s="493">
        <f t="shared" si="554"/>
        <v>99000000</v>
      </c>
      <c r="AE418" s="493">
        <f t="shared" si="554"/>
        <v>99000000</v>
      </c>
      <c r="AF418" s="493">
        <f t="shared" si="554"/>
        <v>99000000</v>
      </c>
      <c r="AG418" s="493">
        <f t="shared" si="554"/>
        <v>99000000</v>
      </c>
      <c r="AH418" s="493">
        <f t="shared" si="554"/>
        <v>99000000</v>
      </c>
      <c r="AI418" s="503">
        <f>SUM(D418:N418)</f>
        <v>990000000</v>
      </c>
      <c r="AJ418" s="503">
        <f>SUM(D418:X418)</f>
        <v>1980000000</v>
      </c>
      <c r="AK418" s="590">
        <f>SUM(D418:AH418)</f>
        <v>2970000000</v>
      </c>
    </row>
    <row r="419" spans="1:37" x14ac:dyDescent="0.2">
      <c r="A419" s="416"/>
      <c r="B419" s="439" t="s">
        <v>350</v>
      </c>
      <c r="C419" s="452" t="s">
        <v>333</v>
      </c>
      <c r="D419" s="493">
        <f t="shared" si="552"/>
        <v>0</v>
      </c>
      <c r="E419" s="493">
        <f t="shared" si="552"/>
        <v>74250000</v>
      </c>
      <c r="F419" s="493">
        <f t="shared" si="552"/>
        <v>74250000</v>
      </c>
      <c r="G419" s="493">
        <f t="shared" si="552"/>
        <v>74250000</v>
      </c>
      <c r="H419" s="493">
        <f t="shared" si="552"/>
        <v>74250000</v>
      </c>
      <c r="I419" s="493">
        <f t="shared" si="552"/>
        <v>74250000</v>
      </c>
      <c r="J419" s="493">
        <f t="shared" si="552"/>
        <v>74250000</v>
      </c>
      <c r="K419" s="493">
        <f t="shared" si="552"/>
        <v>74250000</v>
      </c>
      <c r="L419" s="493">
        <f t="shared" si="552"/>
        <v>74250000</v>
      </c>
      <c r="M419" s="493">
        <f t="shared" si="552"/>
        <v>74250000</v>
      </c>
      <c r="N419" s="493">
        <f t="shared" si="553"/>
        <v>74250000</v>
      </c>
      <c r="O419" s="493">
        <f t="shared" si="553"/>
        <v>74250000</v>
      </c>
      <c r="P419" s="493">
        <f t="shared" si="553"/>
        <v>74250000</v>
      </c>
      <c r="Q419" s="493">
        <f t="shared" si="553"/>
        <v>74250000</v>
      </c>
      <c r="R419" s="493">
        <f t="shared" si="553"/>
        <v>74250000</v>
      </c>
      <c r="S419" s="493">
        <f t="shared" si="553"/>
        <v>74250000</v>
      </c>
      <c r="T419" s="493">
        <f t="shared" si="553"/>
        <v>74250000</v>
      </c>
      <c r="U419" s="493">
        <f t="shared" si="553"/>
        <v>74250000</v>
      </c>
      <c r="V419" s="493">
        <f t="shared" si="553"/>
        <v>74250000</v>
      </c>
      <c r="W419" s="493">
        <f t="shared" si="553"/>
        <v>74250000</v>
      </c>
      <c r="X419" s="493">
        <f t="shared" si="554"/>
        <v>74250000</v>
      </c>
      <c r="Y419" s="493">
        <f t="shared" si="554"/>
        <v>74250000</v>
      </c>
      <c r="Z419" s="493">
        <f t="shared" si="554"/>
        <v>74250000</v>
      </c>
      <c r="AA419" s="493">
        <f t="shared" si="554"/>
        <v>74250000</v>
      </c>
      <c r="AB419" s="493">
        <f t="shared" si="554"/>
        <v>74250000</v>
      </c>
      <c r="AC419" s="493">
        <f t="shared" si="554"/>
        <v>74250000</v>
      </c>
      <c r="AD419" s="493">
        <f t="shared" si="554"/>
        <v>74250000</v>
      </c>
      <c r="AE419" s="493">
        <f t="shared" si="554"/>
        <v>74250000</v>
      </c>
      <c r="AF419" s="493">
        <f t="shared" si="554"/>
        <v>74250000</v>
      </c>
      <c r="AG419" s="493">
        <f t="shared" si="554"/>
        <v>74250000</v>
      </c>
      <c r="AH419" s="493">
        <f t="shared" si="554"/>
        <v>74250000</v>
      </c>
      <c r="AI419" s="503">
        <f>SUM(D419:N419)</f>
        <v>742500000</v>
      </c>
      <c r="AJ419" s="503">
        <f>SUM(D419:X419)</f>
        <v>1485000000</v>
      </c>
      <c r="AK419" s="590">
        <f>SUM(D419:AH419)</f>
        <v>2227500000</v>
      </c>
    </row>
    <row r="420" spans="1:37" x14ac:dyDescent="0.2">
      <c r="A420" s="491"/>
      <c r="B420" s="439" t="s">
        <v>329</v>
      </c>
      <c r="C420" s="452" t="s">
        <v>37</v>
      </c>
      <c r="D420" s="493">
        <f t="shared" si="552"/>
        <v>0</v>
      </c>
      <c r="E420" s="493">
        <f t="shared" si="552"/>
        <v>43797007.805387668</v>
      </c>
      <c r="F420" s="493">
        <f t="shared" si="552"/>
        <v>43797007.805387668</v>
      </c>
      <c r="G420" s="493">
        <f t="shared" si="552"/>
        <v>43797007.805387668</v>
      </c>
      <c r="H420" s="493">
        <f t="shared" si="552"/>
        <v>43797007.805387668</v>
      </c>
      <c r="I420" s="493">
        <f t="shared" si="552"/>
        <v>43797007.805387668</v>
      </c>
      <c r="J420" s="493">
        <f t="shared" si="552"/>
        <v>43797007.805387668</v>
      </c>
      <c r="K420" s="493">
        <f t="shared" si="552"/>
        <v>43797007.805387668</v>
      </c>
      <c r="L420" s="493">
        <f t="shared" si="552"/>
        <v>43797007.805387668</v>
      </c>
      <c r="M420" s="493">
        <f t="shared" si="552"/>
        <v>43797007.805387668</v>
      </c>
      <c r="N420" s="493">
        <f t="shared" si="553"/>
        <v>43797007.805387668</v>
      </c>
      <c r="O420" s="493">
        <f t="shared" si="553"/>
        <v>43797007.805387668</v>
      </c>
      <c r="P420" s="493">
        <f t="shared" si="553"/>
        <v>43797007.805387668</v>
      </c>
      <c r="Q420" s="493">
        <f t="shared" si="553"/>
        <v>43797007.805387668</v>
      </c>
      <c r="R420" s="493">
        <f t="shared" si="553"/>
        <v>43797007.805387668</v>
      </c>
      <c r="S420" s="493">
        <f t="shared" si="553"/>
        <v>43797007.805387668</v>
      </c>
      <c r="T420" s="493">
        <f t="shared" si="553"/>
        <v>43797007.805387668</v>
      </c>
      <c r="U420" s="493">
        <f t="shared" si="553"/>
        <v>43797007.805387668</v>
      </c>
      <c r="V420" s="493">
        <f t="shared" si="553"/>
        <v>43797007.805387668</v>
      </c>
      <c r="W420" s="493">
        <f t="shared" si="553"/>
        <v>43797007.805387668</v>
      </c>
      <c r="X420" s="493">
        <f t="shared" si="554"/>
        <v>43797007.805387668</v>
      </c>
      <c r="Y420" s="493">
        <f t="shared" si="554"/>
        <v>43797007.805387668</v>
      </c>
      <c r="Z420" s="493">
        <f t="shared" si="554"/>
        <v>43797007.805387668</v>
      </c>
      <c r="AA420" s="493">
        <f t="shared" si="554"/>
        <v>43797007.805387668</v>
      </c>
      <c r="AB420" s="493">
        <f t="shared" si="554"/>
        <v>43797007.805387668</v>
      </c>
      <c r="AC420" s="493">
        <f t="shared" si="554"/>
        <v>43797007.805387668</v>
      </c>
      <c r="AD420" s="493">
        <f t="shared" si="554"/>
        <v>43797007.805387668</v>
      </c>
      <c r="AE420" s="493">
        <f t="shared" si="554"/>
        <v>43797007.805387668</v>
      </c>
      <c r="AF420" s="493">
        <f t="shared" si="554"/>
        <v>43797007.805387668</v>
      </c>
      <c r="AG420" s="493">
        <f t="shared" si="554"/>
        <v>43797007.805387668</v>
      </c>
      <c r="AH420" s="493">
        <f t="shared" si="554"/>
        <v>43797007.805387668</v>
      </c>
      <c r="AI420" s="503">
        <f t="shared" ref="AI420:AI429" si="555">SUM(D420:N420)</f>
        <v>437970078.0538767</v>
      </c>
      <c r="AJ420" s="503">
        <f t="shared" ref="AJ420:AJ429" si="556">SUM(D420:X420)</f>
        <v>875940156.10775304</v>
      </c>
      <c r="AK420" s="590">
        <f t="shared" ref="AK420:AK429" si="557">SUM(D420:AH420)</f>
        <v>1313910234.1616299</v>
      </c>
    </row>
    <row r="421" spans="1:37" x14ac:dyDescent="0.2">
      <c r="A421" s="491"/>
      <c r="B421" s="439" t="s">
        <v>330</v>
      </c>
      <c r="C421" s="452" t="s">
        <v>37</v>
      </c>
      <c r="D421" s="493">
        <f t="shared" si="552"/>
        <v>0</v>
      </c>
      <c r="E421" s="493">
        <f t="shared" si="552"/>
        <v>11016691.46294941</v>
      </c>
      <c r="F421" s="493">
        <f t="shared" si="552"/>
        <v>11016691.46294941</v>
      </c>
      <c r="G421" s="493">
        <f t="shared" si="552"/>
        <v>11016691.46294941</v>
      </c>
      <c r="H421" s="493">
        <f t="shared" si="552"/>
        <v>11016691.46294941</v>
      </c>
      <c r="I421" s="493">
        <f t="shared" si="552"/>
        <v>11016691.46294941</v>
      </c>
      <c r="J421" s="493">
        <f t="shared" si="552"/>
        <v>11016691.46294941</v>
      </c>
      <c r="K421" s="493">
        <f t="shared" si="552"/>
        <v>11016691.46294941</v>
      </c>
      <c r="L421" s="493">
        <f t="shared" si="552"/>
        <v>11016691.46294941</v>
      </c>
      <c r="M421" s="493">
        <f t="shared" si="552"/>
        <v>11016691.46294941</v>
      </c>
      <c r="N421" s="493">
        <f t="shared" si="553"/>
        <v>11016691.46294941</v>
      </c>
      <c r="O421" s="493">
        <f t="shared" si="553"/>
        <v>11016691.46294941</v>
      </c>
      <c r="P421" s="493">
        <f t="shared" si="553"/>
        <v>11016691.46294941</v>
      </c>
      <c r="Q421" s="493">
        <f t="shared" si="553"/>
        <v>11016691.46294941</v>
      </c>
      <c r="R421" s="493">
        <f t="shared" si="553"/>
        <v>11016691.46294941</v>
      </c>
      <c r="S421" s="493">
        <f t="shared" si="553"/>
        <v>11016691.46294941</v>
      </c>
      <c r="T421" s="493">
        <f t="shared" si="553"/>
        <v>11016691.46294941</v>
      </c>
      <c r="U421" s="493">
        <f t="shared" si="553"/>
        <v>11016691.46294941</v>
      </c>
      <c r="V421" s="493">
        <f t="shared" si="553"/>
        <v>11016691.46294941</v>
      </c>
      <c r="W421" s="493">
        <f t="shared" si="553"/>
        <v>11016691.46294941</v>
      </c>
      <c r="X421" s="493">
        <f t="shared" si="554"/>
        <v>11016691.46294941</v>
      </c>
      <c r="Y421" s="493">
        <f t="shared" si="554"/>
        <v>11016691.46294941</v>
      </c>
      <c r="Z421" s="493">
        <f t="shared" si="554"/>
        <v>11016691.46294941</v>
      </c>
      <c r="AA421" s="493">
        <f t="shared" si="554"/>
        <v>11016691.46294941</v>
      </c>
      <c r="AB421" s="493">
        <f t="shared" si="554"/>
        <v>11016691.46294941</v>
      </c>
      <c r="AC421" s="493">
        <f t="shared" si="554"/>
        <v>11016691.46294941</v>
      </c>
      <c r="AD421" s="493">
        <f t="shared" si="554"/>
        <v>11016691.46294941</v>
      </c>
      <c r="AE421" s="493">
        <f t="shared" si="554"/>
        <v>11016691.46294941</v>
      </c>
      <c r="AF421" s="493">
        <f t="shared" si="554"/>
        <v>11016691.46294941</v>
      </c>
      <c r="AG421" s="493">
        <f t="shared" si="554"/>
        <v>11016691.46294941</v>
      </c>
      <c r="AH421" s="493">
        <f t="shared" si="554"/>
        <v>11016691.46294941</v>
      </c>
      <c r="AI421" s="503">
        <f t="shared" si="555"/>
        <v>110166914.6294941</v>
      </c>
      <c r="AJ421" s="503">
        <f t="shared" si="556"/>
        <v>220333829.25898808</v>
      </c>
      <c r="AK421" s="590">
        <f t="shared" si="557"/>
        <v>330500743.88848203</v>
      </c>
    </row>
    <row r="422" spans="1:37" x14ac:dyDescent="0.2">
      <c r="A422" s="491"/>
      <c r="B422" s="439" t="s">
        <v>331</v>
      </c>
      <c r="C422" s="452" t="s">
        <v>37</v>
      </c>
      <c r="D422" s="493">
        <f t="shared" si="552"/>
        <v>0</v>
      </c>
      <c r="E422" s="493">
        <f t="shared" si="552"/>
        <v>5303368.3320651324</v>
      </c>
      <c r="F422" s="493">
        <f t="shared" si="552"/>
        <v>5303368.3320651324</v>
      </c>
      <c r="G422" s="493">
        <f t="shared" si="552"/>
        <v>5303368.3320651324</v>
      </c>
      <c r="H422" s="493">
        <f t="shared" si="552"/>
        <v>5303368.3320651324</v>
      </c>
      <c r="I422" s="493">
        <f t="shared" si="552"/>
        <v>5303368.3320651324</v>
      </c>
      <c r="J422" s="493">
        <f t="shared" si="552"/>
        <v>5303368.3320651324</v>
      </c>
      <c r="K422" s="493">
        <f t="shared" si="552"/>
        <v>5303368.3320651324</v>
      </c>
      <c r="L422" s="493">
        <f t="shared" si="552"/>
        <v>5303368.3320651324</v>
      </c>
      <c r="M422" s="493">
        <f t="shared" si="552"/>
        <v>5303368.3320651324</v>
      </c>
      <c r="N422" s="493">
        <f t="shared" si="553"/>
        <v>5303368.3320651324</v>
      </c>
      <c r="O422" s="493">
        <f t="shared" si="553"/>
        <v>5303368.3320651324</v>
      </c>
      <c r="P422" s="493">
        <f t="shared" si="553"/>
        <v>5303368.3320651324</v>
      </c>
      <c r="Q422" s="493">
        <f t="shared" si="553"/>
        <v>5303368.3320651324</v>
      </c>
      <c r="R422" s="493">
        <f t="shared" si="553"/>
        <v>5303368.3320651324</v>
      </c>
      <c r="S422" s="493">
        <f t="shared" si="553"/>
        <v>5303368.3320651324</v>
      </c>
      <c r="T422" s="493">
        <f t="shared" si="553"/>
        <v>5303368.3320651324</v>
      </c>
      <c r="U422" s="493">
        <f t="shared" si="553"/>
        <v>5303368.3320651324</v>
      </c>
      <c r="V422" s="493">
        <f t="shared" si="553"/>
        <v>5303368.3320651324</v>
      </c>
      <c r="W422" s="493">
        <f t="shared" si="553"/>
        <v>5303368.3320651324</v>
      </c>
      <c r="X422" s="493">
        <f t="shared" si="554"/>
        <v>5303368.3320651324</v>
      </c>
      <c r="Y422" s="493">
        <f t="shared" si="554"/>
        <v>5303368.3320651324</v>
      </c>
      <c r="Z422" s="493">
        <f t="shared" si="554"/>
        <v>5303368.3320651324</v>
      </c>
      <c r="AA422" s="493">
        <f t="shared" si="554"/>
        <v>5303368.3320651324</v>
      </c>
      <c r="AB422" s="493">
        <f t="shared" si="554"/>
        <v>5303368.3320651324</v>
      </c>
      <c r="AC422" s="493">
        <f t="shared" si="554"/>
        <v>5303368.3320651324</v>
      </c>
      <c r="AD422" s="493">
        <f t="shared" si="554"/>
        <v>5303368.3320651324</v>
      </c>
      <c r="AE422" s="493">
        <f t="shared" si="554"/>
        <v>5303368.3320651324</v>
      </c>
      <c r="AF422" s="493">
        <f t="shared" si="554"/>
        <v>5303368.3320651324</v>
      </c>
      <c r="AG422" s="493">
        <f t="shared" si="554"/>
        <v>5303368.3320651324</v>
      </c>
      <c r="AH422" s="493">
        <f t="shared" si="554"/>
        <v>5303368.3320651324</v>
      </c>
      <c r="AI422" s="503">
        <f t="shared" si="555"/>
        <v>53033683.32065133</v>
      </c>
      <c r="AJ422" s="503">
        <f t="shared" si="556"/>
        <v>106067366.64130268</v>
      </c>
      <c r="AK422" s="590">
        <f t="shared" si="557"/>
        <v>159101049.96195403</v>
      </c>
    </row>
    <row r="423" spans="1:37" x14ac:dyDescent="0.2">
      <c r="B423" s="439" t="s">
        <v>332</v>
      </c>
      <c r="C423" s="452" t="s">
        <v>37</v>
      </c>
      <c r="D423" s="493">
        <f t="shared" si="552"/>
        <v>0</v>
      </c>
      <c r="E423" s="493">
        <f t="shared" si="552"/>
        <v>2750038.1010121889</v>
      </c>
      <c r="F423" s="493">
        <f t="shared" si="552"/>
        <v>2750038.1010121889</v>
      </c>
      <c r="G423" s="493">
        <f t="shared" si="552"/>
        <v>2750038.1010121889</v>
      </c>
      <c r="H423" s="493">
        <f t="shared" si="552"/>
        <v>2750038.1010121889</v>
      </c>
      <c r="I423" s="493">
        <f t="shared" si="552"/>
        <v>2750038.1010121889</v>
      </c>
      <c r="J423" s="493">
        <f t="shared" si="552"/>
        <v>2750038.1010121889</v>
      </c>
      <c r="K423" s="493">
        <f t="shared" si="552"/>
        <v>2750038.1010121889</v>
      </c>
      <c r="L423" s="493">
        <f t="shared" si="552"/>
        <v>2750038.1010121889</v>
      </c>
      <c r="M423" s="493">
        <f t="shared" si="552"/>
        <v>2750038.1010121889</v>
      </c>
      <c r="N423" s="493">
        <f t="shared" si="553"/>
        <v>2750038.1010121889</v>
      </c>
      <c r="O423" s="493">
        <f t="shared" si="553"/>
        <v>2750038.1010121889</v>
      </c>
      <c r="P423" s="493">
        <f t="shared" si="553"/>
        <v>2750038.1010121889</v>
      </c>
      <c r="Q423" s="493">
        <f t="shared" si="553"/>
        <v>2750038.1010121889</v>
      </c>
      <c r="R423" s="493">
        <f t="shared" si="553"/>
        <v>2750038.1010121889</v>
      </c>
      <c r="S423" s="493">
        <f t="shared" si="553"/>
        <v>2750038.1010121889</v>
      </c>
      <c r="T423" s="493">
        <f t="shared" si="553"/>
        <v>2750038.1010121889</v>
      </c>
      <c r="U423" s="493">
        <f t="shared" si="553"/>
        <v>2750038.1010121889</v>
      </c>
      <c r="V423" s="493">
        <f t="shared" si="553"/>
        <v>2750038.1010121889</v>
      </c>
      <c r="W423" s="493">
        <f t="shared" si="553"/>
        <v>2750038.1010121889</v>
      </c>
      <c r="X423" s="493">
        <f t="shared" si="554"/>
        <v>2750038.1010121889</v>
      </c>
      <c r="Y423" s="493">
        <f t="shared" si="554"/>
        <v>2750038.1010121889</v>
      </c>
      <c r="Z423" s="493">
        <f t="shared" si="554"/>
        <v>2750038.1010121889</v>
      </c>
      <c r="AA423" s="493">
        <f t="shared" si="554"/>
        <v>2750038.1010121889</v>
      </c>
      <c r="AB423" s="493">
        <f t="shared" si="554"/>
        <v>2750038.1010121889</v>
      </c>
      <c r="AC423" s="493">
        <f t="shared" si="554"/>
        <v>2750038.1010121889</v>
      </c>
      <c r="AD423" s="493">
        <f t="shared" si="554"/>
        <v>2750038.1010121889</v>
      </c>
      <c r="AE423" s="493">
        <f t="shared" si="554"/>
        <v>2750038.1010121889</v>
      </c>
      <c r="AF423" s="493">
        <f t="shared" si="554"/>
        <v>2750038.1010121889</v>
      </c>
      <c r="AG423" s="493">
        <f t="shared" si="554"/>
        <v>2750038.1010121889</v>
      </c>
      <c r="AH423" s="493">
        <f t="shared" si="554"/>
        <v>2750038.1010121889</v>
      </c>
      <c r="AI423" s="503">
        <f t="shared" si="555"/>
        <v>27500381.010121889</v>
      </c>
      <c r="AJ423" s="503">
        <f t="shared" si="556"/>
        <v>55000762.020243749</v>
      </c>
      <c r="AK423" s="590">
        <f t="shared" si="557"/>
        <v>82501143.030365601</v>
      </c>
    </row>
    <row r="424" spans="1:37" x14ac:dyDescent="0.2">
      <c r="B424" s="439" t="s">
        <v>334</v>
      </c>
      <c r="C424" s="452" t="s">
        <v>37</v>
      </c>
      <c r="D424" s="493">
        <f t="shared" si="552"/>
        <v>0</v>
      </c>
      <c r="E424" s="493">
        <f t="shared" si="552"/>
        <v>28831968.034060616</v>
      </c>
      <c r="F424" s="493">
        <f t="shared" si="552"/>
        <v>28831968.034060616</v>
      </c>
      <c r="G424" s="493">
        <f t="shared" si="552"/>
        <v>28831968.034060616</v>
      </c>
      <c r="H424" s="493">
        <f t="shared" si="552"/>
        <v>28831968.034060616</v>
      </c>
      <c r="I424" s="493">
        <f t="shared" si="552"/>
        <v>28831968.034060616</v>
      </c>
      <c r="J424" s="493">
        <f t="shared" si="552"/>
        <v>28831968.034060616</v>
      </c>
      <c r="K424" s="493">
        <f t="shared" si="552"/>
        <v>28831968.034060616</v>
      </c>
      <c r="L424" s="493">
        <f t="shared" si="552"/>
        <v>28831968.034060616</v>
      </c>
      <c r="M424" s="493">
        <f t="shared" si="552"/>
        <v>28831968.034060616</v>
      </c>
      <c r="N424" s="493">
        <f t="shared" si="553"/>
        <v>28831968.034060616</v>
      </c>
      <c r="O424" s="493">
        <f t="shared" si="553"/>
        <v>28831968.034060616</v>
      </c>
      <c r="P424" s="493">
        <f t="shared" si="553"/>
        <v>28831968.034060616</v>
      </c>
      <c r="Q424" s="493">
        <f t="shared" si="553"/>
        <v>28831968.034060616</v>
      </c>
      <c r="R424" s="493">
        <f t="shared" si="553"/>
        <v>28831968.034060616</v>
      </c>
      <c r="S424" s="493">
        <f t="shared" si="553"/>
        <v>28831968.034060616</v>
      </c>
      <c r="T424" s="493">
        <f t="shared" si="553"/>
        <v>28831968.034060616</v>
      </c>
      <c r="U424" s="493">
        <f t="shared" si="553"/>
        <v>28831968.034060616</v>
      </c>
      <c r="V424" s="493">
        <f t="shared" si="553"/>
        <v>28831968.034060616</v>
      </c>
      <c r="W424" s="493">
        <f t="shared" si="553"/>
        <v>28831968.034060616</v>
      </c>
      <c r="X424" s="493">
        <f t="shared" si="554"/>
        <v>28831968.034060616</v>
      </c>
      <c r="Y424" s="493">
        <f t="shared" si="554"/>
        <v>28831968.034060616</v>
      </c>
      <c r="Z424" s="493">
        <f t="shared" si="554"/>
        <v>28831968.034060616</v>
      </c>
      <c r="AA424" s="493">
        <f t="shared" si="554"/>
        <v>28831968.034060616</v>
      </c>
      <c r="AB424" s="493">
        <f t="shared" si="554"/>
        <v>28831968.034060616</v>
      </c>
      <c r="AC424" s="493">
        <f t="shared" si="554"/>
        <v>28831968.034060616</v>
      </c>
      <c r="AD424" s="493">
        <f t="shared" si="554"/>
        <v>28831968.034060616</v>
      </c>
      <c r="AE424" s="493">
        <f t="shared" si="554"/>
        <v>28831968.034060616</v>
      </c>
      <c r="AF424" s="493">
        <f t="shared" si="554"/>
        <v>28831968.034060616</v>
      </c>
      <c r="AG424" s="493">
        <f t="shared" si="554"/>
        <v>28831968.034060616</v>
      </c>
      <c r="AH424" s="493">
        <f t="shared" si="554"/>
        <v>28831968.034060616</v>
      </c>
      <c r="AI424" s="503">
        <f t="shared" si="555"/>
        <v>288319680.34060621</v>
      </c>
      <c r="AJ424" s="503">
        <f t="shared" si="556"/>
        <v>576639360.68121219</v>
      </c>
      <c r="AK424" s="590">
        <f t="shared" si="557"/>
        <v>864959041.02181816</v>
      </c>
    </row>
    <row r="425" spans="1:37" x14ac:dyDescent="0.2">
      <c r="B425" s="439" t="s">
        <v>335</v>
      </c>
      <c r="C425" s="452" t="s">
        <v>37</v>
      </c>
      <c r="D425" s="493">
        <f t="shared" si="552"/>
        <v>0</v>
      </c>
      <c r="E425" s="493">
        <f t="shared" si="552"/>
        <v>21890566.645908907</v>
      </c>
      <c r="F425" s="493">
        <f t="shared" si="552"/>
        <v>21890566.645908907</v>
      </c>
      <c r="G425" s="493">
        <f t="shared" si="552"/>
        <v>21890566.645908907</v>
      </c>
      <c r="H425" s="493">
        <f t="shared" si="552"/>
        <v>21890566.645908907</v>
      </c>
      <c r="I425" s="493">
        <f t="shared" si="552"/>
        <v>21890566.645908907</v>
      </c>
      <c r="J425" s="493">
        <f t="shared" si="552"/>
        <v>21890566.645908907</v>
      </c>
      <c r="K425" s="493">
        <f t="shared" si="552"/>
        <v>21890566.645908907</v>
      </c>
      <c r="L425" s="493">
        <f t="shared" si="552"/>
        <v>21890566.645908907</v>
      </c>
      <c r="M425" s="493">
        <f t="shared" si="552"/>
        <v>21890566.645908907</v>
      </c>
      <c r="N425" s="493">
        <f t="shared" si="553"/>
        <v>21890566.645908907</v>
      </c>
      <c r="O425" s="493">
        <f t="shared" si="553"/>
        <v>21890566.645908907</v>
      </c>
      <c r="P425" s="493">
        <f t="shared" si="553"/>
        <v>21890566.645908907</v>
      </c>
      <c r="Q425" s="493">
        <f t="shared" si="553"/>
        <v>21890566.645908907</v>
      </c>
      <c r="R425" s="493">
        <f t="shared" si="553"/>
        <v>21890566.645908907</v>
      </c>
      <c r="S425" s="493">
        <f t="shared" si="553"/>
        <v>21890566.645908907</v>
      </c>
      <c r="T425" s="493">
        <f t="shared" si="553"/>
        <v>21890566.645908907</v>
      </c>
      <c r="U425" s="493">
        <f t="shared" si="553"/>
        <v>21890566.645908907</v>
      </c>
      <c r="V425" s="493">
        <f t="shared" si="553"/>
        <v>21890566.645908907</v>
      </c>
      <c r="W425" s="493">
        <f t="shared" si="553"/>
        <v>21890566.645908907</v>
      </c>
      <c r="X425" s="493">
        <f t="shared" si="554"/>
        <v>21890566.645908907</v>
      </c>
      <c r="Y425" s="493">
        <f t="shared" si="554"/>
        <v>21890566.645908907</v>
      </c>
      <c r="Z425" s="493">
        <f t="shared" si="554"/>
        <v>21890566.645908907</v>
      </c>
      <c r="AA425" s="493">
        <f t="shared" si="554"/>
        <v>21890566.645908907</v>
      </c>
      <c r="AB425" s="493">
        <f t="shared" si="554"/>
        <v>21890566.645908907</v>
      </c>
      <c r="AC425" s="493">
        <f t="shared" si="554"/>
        <v>21890566.645908907</v>
      </c>
      <c r="AD425" s="493">
        <f t="shared" si="554"/>
        <v>21890566.645908907</v>
      </c>
      <c r="AE425" s="493">
        <f t="shared" si="554"/>
        <v>21890566.645908907</v>
      </c>
      <c r="AF425" s="493">
        <f t="shared" si="554"/>
        <v>21890566.645908907</v>
      </c>
      <c r="AG425" s="493">
        <f t="shared" si="554"/>
        <v>21890566.645908907</v>
      </c>
      <c r="AH425" s="493">
        <f t="shared" si="554"/>
        <v>21890566.645908907</v>
      </c>
      <c r="AI425" s="503">
        <f t="shared" si="555"/>
        <v>218905666.45908904</v>
      </c>
      <c r="AJ425" s="503">
        <f t="shared" si="556"/>
        <v>437811332.91817796</v>
      </c>
      <c r="AK425" s="590">
        <f t="shared" si="557"/>
        <v>656716999.37726724</v>
      </c>
    </row>
    <row r="426" spans="1:37" x14ac:dyDescent="0.2">
      <c r="B426" s="439" t="s">
        <v>336</v>
      </c>
      <c r="C426" s="452" t="s">
        <v>37</v>
      </c>
      <c r="D426" s="493">
        <f t="shared" si="552"/>
        <v>0</v>
      </c>
      <c r="E426" s="493">
        <f t="shared" si="552"/>
        <v>5423741.3088911483</v>
      </c>
      <c r="F426" s="493">
        <f t="shared" si="552"/>
        <v>5423741.3088911483</v>
      </c>
      <c r="G426" s="493">
        <f t="shared" si="552"/>
        <v>5423741.3088911483</v>
      </c>
      <c r="H426" s="493">
        <f t="shared" si="552"/>
        <v>5423741.3088911483</v>
      </c>
      <c r="I426" s="493">
        <f t="shared" si="552"/>
        <v>5423741.3088911483</v>
      </c>
      <c r="J426" s="493">
        <f t="shared" si="552"/>
        <v>5423741.3088911483</v>
      </c>
      <c r="K426" s="493">
        <f t="shared" si="552"/>
        <v>5423741.3088911483</v>
      </c>
      <c r="L426" s="493">
        <f t="shared" si="552"/>
        <v>5423741.3088911483</v>
      </c>
      <c r="M426" s="493">
        <f t="shared" si="552"/>
        <v>5423741.3088911483</v>
      </c>
      <c r="N426" s="493">
        <f t="shared" si="553"/>
        <v>5423741.3088911483</v>
      </c>
      <c r="O426" s="493">
        <f t="shared" si="553"/>
        <v>5423741.3088911483</v>
      </c>
      <c r="P426" s="493">
        <f t="shared" si="553"/>
        <v>5423741.3088911483</v>
      </c>
      <c r="Q426" s="493">
        <f t="shared" si="553"/>
        <v>5423741.3088911483</v>
      </c>
      <c r="R426" s="493">
        <f t="shared" si="553"/>
        <v>5423741.3088911483</v>
      </c>
      <c r="S426" s="493">
        <f t="shared" si="553"/>
        <v>5423741.3088911483</v>
      </c>
      <c r="T426" s="493">
        <f t="shared" si="553"/>
        <v>5423741.3088911483</v>
      </c>
      <c r="U426" s="493">
        <f t="shared" si="553"/>
        <v>5423741.3088911483</v>
      </c>
      <c r="V426" s="493">
        <f t="shared" si="553"/>
        <v>5423741.3088911483</v>
      </c>
      <c r="W426" s="493">
        <f t="shared" si="553"/>
        <v>5423741.3088911483</v>
      </c>
      <c r="X426" s="493">
        <f t="shared" si="554"/>
        <v>5423741.3088911483</v>
      </c>
      <c r="Y426" s="493">
        <f t="shared" si="554"/>
        <v>5423741.3088911483</v>
      </c>
      <c r="Z426" s="493">
        <f t="shared" si="554"/>
        <v>5423741.3088911483</v>
      </c>
      <c r="AA426" s="493">
        <f t="shared" si="554"/>
        <v>5423741.3088911483</v>
      </c>
      <c r="AB426" s="493">
        <f t="shared" si="554"/>
        <v>5423741.3088911483</v>
      </c>
      <c r="AC426" s="493">
        <f t="shared" si="554"/>
        <v>5423741.3088911483</v>
      </c>
      <c r="AD426" s="493">
        <f t="shared" si="554"/>
        <v>5423741.3088911483</v>
      </c>
      <c r="AE426" s="493">
        <f t="shared" si="554"/>
        <v>5423741.3088911483</v>
      </c>
      <c r="AF426" s="493">
        <f t="shared" si="554"/>
        <v>5423741.3088911483</v>
      </c>
      <c r="AG426" s="493">
        <f t="shared" si="554"/>
        <v>5423741.3088911483</v>
      </c>
      <c r="AH426" s="493">
        <f t="shared" si="554"/>
        <v>5423741.3088911483</v>
      </c>
      <c r="AI426" s="503">
        <f t="shared" si="555"/>
        <v>54237413.088911481</v>
      </c>
      <c r="AJ426" s="503">
        <f t="shared" si="556"/>
        <v>108474826.17782296</v>
      </c>
      <c r="AK426" s="590">
        <f t="shared" si="557"/>
        <v>162712239.26673445</v>
      </c>
    </row>
    <row r="427" spans="1:37" x14ac:dyDescent="0.2">
      <c r="B427" s="439" t="s">
        <v>337</v>
      </c>
      <c r="C427" s="452" t="s">
        <v>37</v>
      </c>
      <c r="D427" s="493">
        <f t="shared" si="552"/>
        <v>0</v>
      </c>
      <c r="E427" s="493">
        <f t="shared" si="552"/>
        <v>2034943.8152871281</v>
      </c>
      <c r="F427" s="493">
        <f t="shared" si="552"/>
        <v>2034943.8152871281</v>
      </c>
      <c r="G427" s="493">
        <f t="shared" si="552"/>
        <v>2034943.8152871281</v>
      </c>
      <c r="H427" s="493">
        <f t="shared" si="552"/>
        <v>2034943.8152871281</v>
      </c>
      <c r="I427" s="493">
        <f t="shared" si="552"/>
        <v>2034943.8152871281</v>
      </c>
      <c r="J427" s="493">
        <f t="shared" si="552"/>
        <v>2034943.8152871281</v>
      </c>
      <c r="K427" s="493">
        <f t="shared" si="552"/>
        <v>2034943.8152871281</v>
      </c>
      <c r="L427" s="493">
        <f t="shared" si="552"/>
        <v>2034943.8152871281</v>
      </c>
      <c r="M427" s="493">
        <f t="shared" si="552"/>
        <v>2034943.8152871281</v>
      </c>
      <c r="N427" s="493">
        <f t="shared" si="553"/>
        <v>2034943.8152871281</v>
      </c>
      <c r="O427" s="493">
        <f t="shared" si="553"/>
        <v>2034943.8152871281</v>
      </c>
      <c r="P427" s="493">
        <f t="shared" si="553"/>
        <v>2034943.8152871281</v>
      </c>
      <c r="Q427" s="493">
        <f t="shared" si="553"/>
        <v>2034943.8152871281</v>
      </c>
      <c r="R427" s="493">
        <f t="shared" si="553"/>
        <v>2034943.8152871281</v>
      </c>
      <c r="S427" s="493">
        <f t="shared" si="553"/>
        <v>2034943.8152871281</v>
      </c>
      <c r="T427" s="493">
        <f t="shared" si="553"/>
        <v>2034943.8152871281</v>
      </c>
      <c r="U427" s="493">
        <f t="shared" si="553"/>
        <v>2034943.8152871281</v>
      </c>
      <c r="V427" s="493">
        <f t="shared" si="553"/>
        <v>2034943.8152871281</v>
      </c>
      <c r="W427" s="493">
        <f t="shared" si="553"/>
        <v>2034943.8152871281</v>
      </c>
      <c r="X427" s="493">
        <f t="shared" si="554"/>
        <v>2034943.8152871281</v>
      </c>
      <c r="Y427" s="493">
        <f t="shared" si="554"/>
        <v>2034943.8152871281</v>
      </c>
      <c r="Z427" s="493">
        <f t="shared" si="554"/>
        <v>2034943.8152871281</v>
      </c>
      <c r="AA427" s="493">
        <f t="shared" si="554"/>
        <v>2034943.8152871281</v>
      </c>
      <c r="AB427" s="493">
        <f t="shared" si="554"/>
        <v>2034943.8152871281</v>
      </c>
      <c r="AC427" s="493">
        <f t="shared" si="554"/>
        <v>2034943.8152871281</v>
      </c>
      <c r="AD427" s="493">
        <f t="shared" si="554"/>
        <v>2034943.8152871281</v>
      </c>
      <c r="AE427" s="493">
        <f t="shared" si="554"/>
        <v>2034943.8152871281</v>
      </c>
      <c r="AF427" s="493">
        <f t="shared" si="554"/>
        <v>2034943.8152871281</v>
      </c>
      <c r="AG427" s="493">
        <f t="shared" si="554"/>
        <v>2034943.8152871281</v>
      </c>
      <c r="AH427" s="493">
        <f t="shared" si="554"/>
        <v>2034943.8152871281</v>
      </c>
      <c r="AI427" s="503">
        <f t="shared" si="555"/>
        <v>20349438.152871281</v>
      </c>
      <c r="AJ427" s="503">
        <f t="shared" si="556"/>
        <v>40698876.305742562</v>
      </c>
      <c r="AK427" s="590">
        <f t="shared" si="557"/>
        <v>61048314.458613843</v>
      </c>
    </row>
    <row r="428" spans="1:37" s="465" customFormat="1" x14ac:dyDescent="0.2">
      <c r="A428" s="1409" t="s">
        <v>1089</v>
      </c>
      <c r="B428" s="439"/>
      <c r="C428" s="452" t="s">
        <v>37</v>
      </c>
      <c r="D428" s="493">
        <f t="shared" ref="D428:M429" si="558">SUMIF($A$138:$A$182,$A428,D$138:D$182)</f>
        <v>0</v>
      </c>
      <c r="E428" s="493">
        <f t="shared" si="558"/>
        <v>121048325.5055622</v>
      </c>
      <c r="F428" s="493">
        <f t="shared" si="558"/>
        <v>121048325.5055622</v>
      </c>
      <c r="G428" s="493">
        <f t="shared" si="558"/>
        <v>121048325.5055622</v>
      </c>
      <c r="H428" s="493">
        <f t="shared" si="558"/>
        <v>121048325.5055622</v>
      </c>
      <c r="I428" s="493">
        <f t="shared" si="558"/>
        <v>121048325.5055622</v>
      </c>
      <c r="J428" s="493">
        <f t="shared" si="558"/>
        <v>121048325.5055622</v>
      </c>
      <c r="K428" s="493">
        <f t="shared" si="558"/>
        <v>121048325.5055622</v>
      </c>
      <c r="L428" s="493">
        <f t="shared" si="558"/>
        <v>121048325.5055622</v>
      </c>
      <c r="M428" s="493">
        <f t="shared" si="558"/>
        <v>121048325.5055622</v>
      </c>
      <c r="N428" s="493">
        <f t="shared" ref="N428:W429" si="559">SUMIF($A$138:$A$182,$A428,N$138:N$182)</f>
        <v>121048325.5055622</v>
      </c>
      <c r="O428" s="493">
        <f t="shared" si="559"/>
        <v>121048325.5055622</v>
      </c>
      <c r="P428" s="493">
        <f t="shared" si="559"/>
        <v>121048325.5055622</v>
      </c>
      <c r="Q428" s="493">
        <f t="shared" si="559"/>
        <v>121048325.5055622</v>
      </c>
      <c r="R428" s="493">
        <f t="shared" si="559"/>
        <v>121048325.5055622</v>
      </c>
      <c r="S428" s="493">
        <f t="shared" si="559"/>
        <v>121048325.5055622</v>
      </c>
      <c r="T428" s="493">
        <f t="shared" si="559"/>
        <v>121048325.5055622</v>
      </c>
      <c r="U428" s="493">
        <f t="shared" si="559"/>
        <v>121048325.5055622</v>
      </c>
      <c r="V428" s="493">
        <f t="shared" si="559"/>
        <v>121048325.5055622</v>
      </c>
      <c r="W428" s="493">
        <f t="shared" si="559"/>
        <v>121048325.5055622</v>
      </c>
      <c r="X428" s="493">
        <f t="shared" ref="X428:AH429" si="560">SUMIF($A$138:$A$182,$A428,X$138:X$182)</f>
        <v>121048325.5055622</v>
      </c>
      <c r="Y428" s="493">
        <f t="shared" si="560"/>
        <v>121048325.5055622</v>
      </c>
      <c r="Z428" s="493">
        <f t="shared" si="560"/>
        <v>121048325.5055622</v>
      </c>
      <c r="AA428" s="493">
        <f t="shared" si="560"/>
        <v>121048325.5055622</v>
      </c>
      <c r="AB428" s="493">
        <f t="shared" si="560"/>
        <v>121048325.5055622</v>
      </c>
      <c r="AC428" s="493">
        <f t="shared" si="560"/>
        <v>121048325.5055622</v>
      </c>
      <c r="AD428" s="493">
        <f t="shared" si="560"/>
        <v>121048325.5055622</v>
      </c>
      <c r="AE428" s="493">
        <f t="shared" si="560"/>
        <v>121048325.5055622</v>
      </c>
      <c r="AF428" s="493">
        <f t="shared" si="560"/>
        <v>121048325.5055622</v>
      </c>
      <c r="AG428" s="493">
        <f t="shared" si="560"/>
        <v>121048325.5055622</v>
      </c>
      <c r="AH428" s="493">
        <f t="shared" si="560"/>
        <v>121048325.5055622</v>
      </c>
      <c r="AI428" s="503">
        <f t="shared" si="555"/>
        <v>1210483255.0556221</v>
      </c>
      <c r="AJ428" s="503">
        <f t="shared" si="556"/>
        <v>2420966510.1112452</v>
      </c>
      <c r="AK428" s="590">
        <f t="shared" si="557"/>
        <v>3631449765.1668682</v>
      </c>
    </row>
    <row r="429" spans="1:37" x14ac:dyDescent="0.2">
      <c r="A429" s="1410" t="s">
        <v>1091</v>
      </c>
      <c r="B429" s="489"/>
      <c r="C429" s="453" t="s">
        <v>37</v>
      </c>
      <c r="D429" s="495">
        <f t="shared" si="558"/>
        <v>0</v>
      </c>
      <c r="E429" s="495">
        <f t="shared" si="558"/>
        <v>423451674.49443781</v>
      </c>
      <c r="F429" s="495">
        <f t="shared" si="558"/>
        <v>423451674.49443781</v>
      </c>
      <c r="G429" s="495">
        <f t="shared" si="558"/>
        <v>423451674.49443781</v>
      </c>
      <c r="H429" s="495">
        <f t="shared" si="558"/>
        <v>423451674.49443781</v>
      </c>
      <c r="I429" s="495">
        <f t="shared" si="558"/>
        <v>423451674.49443781</v>
      </c>
      <c r="J429" s="495">
        <f t="shared" si="558"/>
        <v>423451674.49443781</v>
      </c>
      <c r="K429" s="495">
        <f t="shared" si="558"/>
        <v>423451674.49443781</v>
      </c>
      <c r="L429" s="495">
        <f t="shared" si="558"/>
        <v>423451674.49443781</v>
      </c>
      <c r="M429" s="495">
        <f t="shared" si="558"/>
        <v>423451674.49443781</v>
      </c>
      <c r="N429" s="495">
        <f t="shared" si="559"/>
        <v>423451674.49443781</v>
      </c>
      <c r="O429" s="495">
        <f t="shared" si="559"/>
        <v>423451674.49443781</v>
      </c>
      <c r="P429" s="495">
        <f t="shared" si="559"/>
        <v>423451674.49443781</v>
      </c>
      <c r="Q429" s="495">
        <f t="shared" si="559"/>
        <v>423451674.49443781</v>
      </c>
      <c r="R429" s="495">
        <f t="shared" si="559"/>
        <v>423451674.49443781</v>
      </c>
      <c r="S429" s="495">
        <f t="shared" si="559"/>
        <v>423451674.49443781</v>
      </c>
      <c r="T429" s="495">
        <f t="shared" si="559"/>
        <v>423451674.49443781</v>
      </c>
      <c r="U429" s="495">
        <f t="shared" si="559"/>
        <v>423451674.49443781</v>
      </c>
      <c r="V429" s="495">
        <f t="shared" si="559"/>
        <v>423451674.49443781</v>
      </c>
      <c r="W429" s="495">
        <f t="shared" si="559"/>
        <v>423451674.49443781</v>
      </c>
      <c r="X429" s="495">
        <f t="shared" si="560"/>
        <v>423451674.49443781</v>
      </c>
      <c r="Y429" s="495">
        <f t="shared" si="560"/>
        <v>423451674.49443781</v>
      </c>
      <c r="Z429" s="495">
        <f t="shared" si="560"/>
        <v>423451674.49443781</v>
      </c>
      <c r="AA429" s="495">
        <f t="shared" si="560"/>
        <v>423451674.49443781</v>
      </c>
      <c r="AB429" s="495">
        <f t="shared" si="560"/>
        <v>423451674.49443781</v>
      </c>
      <c r="AC429" s="495">
        <f t="shared" si="560"/>
        <v>423451674.49443781</v>
      </c>
      <c r="AD429" s="495">
        <f t="shared" si="560"/>
        <v>423451674.49443781</v>
      </c>
      <c r="AE429" s="495">
        <f t="shared" si="560"/>
        <v>423451674.49443781</v>
      </c>
      <c r="AF429" s="495">
        <f t="shared" si="560"/>
        <v>423451674.49443781</v>
      </c>
      <c r="AG429" s="495">
        <f t="shared" si="560"/>
        <v>423451674.49443781</v>
      </c>
      <c r="AH429" s="495">
        <f t="shared" si="560"/>
        <v>423451674.49443781</v>
      </c>
      <c r="AI429" s="502">
        <f t="shared" si="555"/>
        <v>4234516744.9443774</v>
      </c>
      <c r="AJ429" s="502">
        <f t="shared" si="556"/>
        <v>8469033489.8887587</v>
      </c>
      <c r="AK429" s="502">
        <f t="shared" si="557"/>
        <v>12703550234.833139</v>
      </c>
    </row>
    <row r="430" spans="1:37" x14ac:dyDescent="0.2">
      <c r="A430" s="454" t="s">
        <v>276</v>
      </c>
      <c r="B430" s="489"/>
      <c r="C430" s="453" t="s">
        <v>37</v>
      </c>
      <c r="D430" s="495">
        <f t="shared" ref="D430" si="561">SUM(D429,D428)</f>
        <v>0</v>
      </c>
      <c r="E430" s="495">
        <f>SUM(E429,E428)</f>
        <v>544500000</v>
      </c>
      <c r="F430" s="495">
        <f t="shared" ref="F430:AK430" si="562">SUM(F429,F428)</f>
        <v>544500000</v>
      </c>
      <c r="G430" s="495">
        <f t="shared" si="562"/>
        <v>544500000</v>
      </c>
      <c r="H430" s="495">
        <f t="shared" si="562"/>
        <v>544500000</v>
      </c>
      <c r="I430" s="495">
        <f t="shared" si="562"/>
        <v>544500000</v>
      </c>
      <c r="J430" s="495">
        <f t="shared" si="562"/>
        <v>544500000</v>
      </c>
      <c r="K430" s="495">
        <f t="shared" si="562"/>
        <v>544500000</v>
      </c>
      <c r="L430" s="495">
        <f t="shared" si="562"/>
        <v>544500000</v>
      </c>
      <c r="M430" s="495">
        <f t="shared" si="562"/>
        <v>544500000</v>
      </c>
      <c r="N430" s="495">
        <f t="shared" si="562"/>
        <v>544500000</v>
      </c>
      <c r="O430" s="495">
        <f t="shared" si="562"/>
        <v>544500000</v>
      </c>
      <c r="P430" s="495">
        <f t="shared" si="562"/>
        <v>544500000</v>
      </c>
      <c r="Q430" s="495">
        <f t="shared" si="562"/>
        <v>544500000</v>
      </c>
      <c r="R430" s="495">
        <f t="shared" si="562"/>
        <v>544500000</v>
      </c>
      <c r="S430" s="495">
        <f t="shared" si="562"/>
        <v>544500000</v>
      </c>
      <c r="T430" s="495">
        <f t="shared" si="562"/>
        <v>544500000</v>
      </c>
      <c r="U430" s="495">
        <f t="shared" si="562"/>
        <v>544500000</v>
      </c>
      <c r="V430" s="495">
        <f t="shared" si="562"/>
        <v>544500000</v>
      </c>
      <c r="W430" s="495">
        <f t="shared" si="562"/>
        <v>544500000</v>
      </c>
      <c r="X430" s="495">
        <f t="shared" si="562"/>
        <v>544500000</v>
      </c>
      <c r="Y430" s="495">
        <f t="shared" si="562"/>
        <v>544500000</v>
      </c>
      <c r="Z430" s="495">
        <f t="shared" si="562"/>
        <v>544500000</v>
      </c>
      <c r="AA430" s="495">
        <f t="shared" si="562"/>
        <v>544500000</v>
      </c>
      <c r="AB430" s="495">
        <f t="shared" si="562"/>
        <v>544500000</v>
      </c>
      <c r="AC430" s="495">
        <f t="shared" si="562"/>
        <v>544500000</v>
      </c>
      <c r="AD430" s="495">
        <f t="shared" si="562"/>
        <v>544500000</v>
      </c>
      <c r="AE430" s="495">
        <f t="shared" si="562"/>
        <v>544500000</v>
      </c>
      <c r="AF430" s="495">
        <f t="shared" si="562"/>
        <v>544500000</v>
      </c>
      <c r="AG430" s="495">
        <f t="shared" si="562"/>
        <v>544500000</v>
      </c>
      <c r="AH430" s="495">
        <f t="shared" si="562"/>
        <v>544500000</v>
      </c>
      <c r="AI430" s="591">
        <f t="shared" si="562"/>
        <v>5445000000</v>
      </c>
      <c r="AJ430" s="591">
        <f t="shared" si="562"/>
        <v>10890000000.000004</v>
      </c>
      <c r="AK430" s="591">
        <f t="shared" si="562"/>
        <v>16335000000.000008</v>
      </c>
    </row>
    <row r="431" spans="1:37" x14ac:dyDescent="0.2">
      <c r="A431" s="439" t="s">
        <v>278</v>
      </c>
      <c r="B431" s="465"/>
      <c r="C431" s="452"/>
      <c r="D431" s="493"/>
      <c r="E431" s="1400"/>
      <c r="F431" s="493"/>
      <c r="G431" s="493"/>
      <c r="H431" s="493"/>
      <c r="I431" s="493"/>
      <c r="J431" s="493"/>
      <c r="K431" s="493"/>
      <c r="L431" s="493"/>
      <c r="M431" s="493"/>
      <c r="N431" s="493"/>
      <c r="O431" s="493"/>
      <c r="P431" s="493"/>
      <c r="Q431" s="493"/>
      <c r="R431" s="493"/>
      <c r="S431" s="493"/>
      <c r="T431" s="493"/>
      <c r="U431" s="493"/>
      <c r="V431" s="493"/>
      <c r="W431" s="493"/>
      <c r="X431" s="493"/>
      <c r="Y431" s="493"/>
      <c r="Z431" s="493"/>
      <c r="AA431" s="493"/>
      <c r="AB431" s="493"/>
      <c r="AC431" s="493"/>
      <c r="AD431" s="493"/>
      <c r="AE431" s="493"/>
      <c r="AF431" s="493"/>
      <c r="AG431" s="493"/>
      <c r="AH431" s="493"/>
      <c r="AI431" s="503">
        <f>SUM(D431:N431)</f>
        <v>0</v>
      </c>
      <c r="AJ431" s="503">
        <f>SUM(D431:X431)</f>
        <v>0</v>
      </c>
      <c r="AK431" s="503">
        <f>SUM(D431:AH431)</f>
        <v>0</v>
      </c>
    </row>
    <row r="432" spans="1:37" s="1413" customFormat="1" x14ac:dyDescent="0.2">
      <c r="A432" s="1408" t="s">
        <v>1126</v>
      </c>
      <c r="B432" s="1411"/>
      <c r="C432" s="1416" t="s">
        <v>37</v>
      </c>
      <c r="D432" s="1407">
        <f>SUM(D32:D33,D36:D37)</f>
        <v>0</v>
      </c>
      <c r="E432" s="1407">
        <f>SUM(E32:E33,E36:E37)</f>
        <v>427444512.46255618</v>
      </c>
      <c r="F432" s="1407">
        <f t="shared" ref="F432:AK432" si="563">SUM(F32:F33,F36:F37)</f>
        <v>427444512.46255618</v>
      </c>
      <c r="G432" s="1407">
        <f t="shared" si="563"/>
        <v>427444512.46255618</v>
      </c>
      <c r="H432" s="1407">
        <f t="shared" si="563"/>
        <v>427444512.46255618</v>
      </c>
      <c r="I432" s="1407">
        <f t="shared" si="563"/>
        <v>427444512.46255618</v>
      </c>
      <c r="J432" s="1407">
        <f t="shared" si="563"/>
        <v>427444512.46255618</v>
      </c>
      <c r="K432" s="1407">
        <f t="shared" si="563"/>
        <v>427444512.46255618</v>
      </c>
      <c r="L432" s="1407">
        <f t="shared" si="563"/>
        <v>427444512.46255618</v>
      </c>
      <c r="M432" s="1407">
        <f t="shared" si="563"/>
        <v>427444512.46255618</v>
      </c>
      <c r="N432" s="1407">
        <f t="shared" si="563"/>
        <v>427444512.46255618</v>
      </c>
      <c r="O432" s="1407">
        <f t="shared" si="563"/>
        <v>427444512.46255618</v>
      </c>
      <c r="P432" s="1407">
        <f t="shared" si="563"/>
        <v>427444512.46255618</v>
      </c>
      <c r="Q432" s="1407">
        <f t="shared" si="563"/>
        <v>427444512.46255618</v>
      </c>
      <c r="R432" s="1407">
        <f t="shared" si="563"/>
        <v>427444512.46255618</v>
      </c>
      <c r="S432" s="1407">
        <f t="shared" si="563"/>
        <v>427444512.46255618</v>
      </c>
      <c r="T432" s="1407">
        <f t="shared" si="563"/>
        <v>427444512.46255618</v>
      </c>
      <c r="U432" s="1407">
        <f t="shared" si="563"/>
        <v>427444512.46255618</v>
      </c>
      <c r="V432" s="1407">
        <f t="shared" si="563"/>
        <v>427444512.46255618</v>
      </c>
      <c r="W432" s="1407">
        <f t="shared" si="563"/>
        <v>427444512.46255618</v>
      </c>
      <c r="X432" s="1407">
        <f t="shared" si="563"/>
        <v>427444512.46255618</v>
      </c>
      <c r="Y432" s="1407">
        <f t="shared" si="563"/>
        <v>427444512.46255618</v>
      </c>
      <c r="Z432" s="1407">
        <f t="shared" si="563"/>
        <v>427444512.46255618</v>
      </c>
      <c r="AA432" s="1407">
        <f t="shared" si="563"/>
        <v>427444512.46255618</v>
      </c>
      <c r="AB432" s="1407">
        <f t="shared" si="563"/>
        <v>427444512.46255618</v>
      </c>
      <c r="AC432" s="1407">
        <f t="shared" si="563"/>
        <v>427444512.46255618</v>
      </c>
      <c r="AD432" s="1407">
        <f t="shared" si="563"/>
        <v>427444512.46255618</v>
      </c>
      <c r="AE432" s="1407">
        <f t="shared" si="563"/>
        <v>427444512.46255618</v>
      </c>
      <c r="AF432" s="1407">
        <f t="shared" si="563"/>
        <v>427444512.46255618</v>
      </c>
      <c r="AG432" s="1407">
        <f t="shared" si="563"/>
        <v>427444512.46255618</v>
      </c>
      <c r="AH432" s="1407">
        <f t="shared" si="563"/>
        <v>427444512.46255618</v>
      </c>
      <c r="AI432" s="1431">
        <f t="shared" si="563"/>
        <v>4274445124.6255622</v>
      </c>
      <c r="AJ432" s="1431">
        <f t="shared" si="563"/>
        <v>8548890249.2511225</v>
      </c>
      <c r="AK432" s="1417">
        <f t="shared" si="563"/>
        <v>12823335373.876684</v>
      </c>
    </row>
    <row r="433" spans="1:37" x14ac:dyDescent="0.2">
      <c r="A433" s="491" t="s">
        <v>275</v>
      </c>
      <c r="B433" s="439"/>
      <c r="C433" s="452" t="s">
        <v>37</v>
      </c>
      <c r="D433" s="493">
        <f>SUMIF($B$183:$B$376,"売上（税別）",D$183:D$376)</f>
        <v>0</v>
      </c>
      <c r="E433" s="1400">
        <f>SUMIF($B$183:$B$376,"売上（税別）",E$183:E$376)</f>
        <v>213722256.23127812</v>
      </c>
      <c r="F433" s="1400">
        <f t="shared" ref="F433:AK433" si="564">SUMIF($B$183:$B$376,"売上（税別）",F$183:F$376)</f>
        <v>213722256.23127812</v>
      </c>
      <c r="G433" s="493">
        <f t="shared" si="564"/>
        <v>213722256.23127812</v>
      </c>
      <c r="H433" s="493">
        <f t="shared" si="564"/>
        <v>213722256.23127812</v>
      </c>
      <c r="I433" s="493">
        <f t="shared" si="564"/>
        <v>213722256.23127812</v>
      </c>
      <c r="J433" s="493">
        <f t="shared" si="564"/>
        <v>213722256.23127812</v>
      </c>
      <c r="K433" s="493">
        <f t="shared" si="564"/>
        <v>213722256.23127812</v>
      </c>
      <c r="L433" s="493">
        <f t="shared" si="564"/>
        <v>213722256.23127812</v>
      </c>
      <c r="M433" s="493">
        <f t="shared" si="564"/>
        <v>213722256.23127812</v>
      </c>
      <c r="N433" s="493">
        <f t="shared" si="564"/>
        <v>213722256.23127812</v>
      </c>
      <c r="O433" s="493">
        <f t="shared" si="564"/>
        <v>213722256.23127812</v>
      </c>
      <c r="P433" s="493">
        <f t="shared" si="564"/>
        <v>213722256.23127812</v>
      </c>
      <c r="Q433" s="493">
        <f t="shared" si="564"/>
        <v>213722256.23127812</v>
      </c>
      <c r="R433" s="493">
        <f t="shared" si="564"/>
        <v>213722256.23127812</v>
      </c>
      <c r="S433" s="493">
        <f t="shared" si="564"/>
        <v>213722256.23127812</v>
      </c>
      <c r="T433" s="493">
        <f t="shared" si="564"/>
        <v>213722256.23127812</v>
      </c>
      <c r="U433" s="493">
        <f t="shared" si="564"/>
        <v>213722256.23127812</v>
      </c>
      <c r="V433" s="493">
        <f t="shared" si="564"/>
        <v>213722256.23127812</v>
      </c>
      <c r="W433" s="493">
        <f t="shared" si="564"/>
        <v>213722256.23127812</v>
      </c>
      <c r="X433" s="493">
        <f t="shared" si="564"/>
        <v>213722256.23127812</v>
      </c>
      <c r="Y433" s="493">
        <f t="shared" si="564"/>
        <v>213722256.23127812</v>
      </c>
      <c r="Z433" s="493">
        <f t="shared" si="564"/>
        <v>213722256.23127812</v>
      </c>
      <c r="AA433" s="493">
        <f t="shared" si="564"/>
        <v>213722256.23127812</v>
      </c>
      <c r="AB433" s="493">
        <f t="shared" si="564"/>
        <v>213722256.23127812</v>
      </c>
      <c r="AC433" s="493">
        <f t="shared" si="564"/>
        <v>213722256.23127812</v>
      </c>
      <c r="AD433" s="493">
        <f t="shared" si="564"/>
        <v>213722256.23127812</v>
      </c>
      <c r="AE433" s="493">
        <f t="shared" si="564"/>
        <v>213722256.23127812</v>
      </c>
      <c r="AF433" s="493">
        <f t="shared" si="564"/>
        <v>213722256.23127812</v>
      </c>
      <c r="AG433" s="493">
        <f t="shared" si="564"/>
        <v>213722256.23127812</v>
      </c>
      <c r="AH433" s="493">
        <f t="shared" si="564"/>
        <v>213722256.23127812</v>
      </c>
      <c r="AI433" s="503">
        <f t="shared" si="564"/>
        <v>2137222562.3127813</v>
      </c>
      <c r="AJ433" s="503">
        <f t="shared" si="564"/>
        <v>4274445124.6255617</v>
      </c>
      <c r="AK433" s="590">
        <f t="shared" si="564"/>
        <v>6411667686.9383411</v>
      </c>
    </row>
    <row r="434" spans="1:37" x14ac:dyDescent="0.2">
      <c r="A434" s="416"/>
      <c r="B434" s="1411" t="s">
        <v>1137</v>
      </c>
      <c r="C434" s="452" t="s">
        <v>37</v>
      </c>
      <c r="D434" s="493">
        <f t="shared" ref="D434:M445" si="565">SUMIF($B$183:$B$376,$B434,D$183:D$376)</f>
        <v>0</v>
      </c>
      <c r="E434" s="1400">
        <f t="shared" si="565"/>
        <v>2350944.8185440591</v>
      </c>
      <c r="F434" s="493">
        <f t="shared" si="565"/>
        <v>2350944.8185440591</v>
      </c>
      <c r="G434" s="493">
        <f t="shared" si="565"/>
        <v>2350944.8185440591</v>
      </c>
      <c r="H434" s="493">
        <f t="shared" si="565"/>
        <v>2350944.8185440591</v>
      </c>
      <c r="I434" s="493">
        <f t="shared" si="565"/>
        <v>2350944.8185440591</v>
      </c>
      <c r="J434" s="493">
        <f t="shared" si="565"/>
        <v>2350944.8185440591</v>
      </c>
      <c r="K434" s="493">
        <f t="shared" si="565"/>
        <v>2350944.8185440591</v>
      </c>
      <c r="L434" s="493">
        <f t="shared" si="565"/>
        <v>2350944.8185440591</v>
      </c>
      <c r="M434" s="493">
        <f t="shared" si="565"/>
        <v>2350944.8185440591</v>
      </c>
      <c r="N434" s="493">
        <f t="shared" ref="N434:W445" si="566">SUMIF($B$183:$B$376,$B434,N$183:N$376)</f>
        <v>2350944.8185440591</v>
      </c>
      <c r="O434" s="493">
        <f t="shared" si="566"/>
        <v>2350944.8185440591</v>
      </c>
      <c r="P434" s="493">
        <f t="shared" si="566"/>
        <v>2350944.8185440591</v>
      </c>
      <c r="Q434" s="493">
        <f t="shared" si="566"/>
        <v>2350944.8185440591</v>
      </c>
      <c r="R434" s="493">
        <f t="shared" si="566"/>
        <v>2350944.8185440591</v>
      </c>
      <c r="S434" s="493">
        <f t="shared" si="566"/>
        <v>2350944.8185440591</v>
      </c>
      <c r="T434" s="493">
        <f t="shared" si="566"/>
        <v>2350944.8185440591</v>
      </c>
      <c r="U434" s="493">
        <f t="shared" si="566"/>
        <v>2350944.8185440591</v>
      </c>
      <c r="V434" s="493">
        <f t="shared" si="566"/>
        <v>2350944.8185440591</v>
      </c>
      <c r="W434" s="493">
        <f t="shared" si="566"/>
        <v>2350944.8185440591</v>
      </c>
      <c r="X434" s="493">
        <f t="shared" ref="X434:AH445" si="567">SUMIF($B$183:$B$376,$B434,X$183:X$376)</f>
        <v>2350944.8185440591</v>
      </c>
      <c r="Y434" s="493">
        <f t="shared" si="567"/>
        <v>2350944.8185440591</v>
      </c>
      <c r="Z434" s="493">
        <f t="shared" si="567"/>
        <v>2350944.8185440591</v>
      </c>
      <c r="AA434" s="493">
        <f t="shared" si="567"/>
        <v>2350944.8185440591</v>
      </c>
      <c r="AB434" s="493">
        <f t="shared" si="567"/>
        <v>2350944.8185440591</v>
      </c>
      <c r="AC434" s="493">
        <f t="shared" si="567"/>
        <v>2350944.8185440591</v>
      </c>
      <c r="AD434" s="493">
        <f t="shared" si="567"/>
        <v>2350944.8185440591</v>
      </c>
      <c r="AE434" s="493">
        <f t="shared" si="567"/>
        <v>2350944.8185440591</v>
      </c>
      <c r="AF434" s="493">
        <f t="shared" si="567"/>
        <v>2350944.8185440591</v>
      </c>
      <c r="AG434" s="493">
        <f t="shared" si="567"/>
        <v>2350944.8185440591</v>
      </c>
      <c r="AH434" s="493">
        <f t="shared" si="567"/>
        <v>2350944.8185440591</v>
      </c>
      <c r="AI434" s="503">
        <f>SUM(D434:N434)</f>
        <v>23509448.185440596</v>
      </c>
      <c r="AJ434" s="503">
        <f>SUM(D434:X434)</f>
        <v>47018896.370881192</v>
      </c>
      <c r="AK434" s="590">
        <f>SUM(D434:AH434)</f>
        <v>70528344.556321785</v>
      </c>
    </row>
    <row r="435" spans="1:37" x14ac:dyDescent="0.2">
      <c r="A435" s="416"/>
      <c r="B435" s="465" t="s">
        <v>1136</v>
      </c>
      <c r="C435" s="452" t="s">
        <v>37</v>
      </c>
      <c r="D435" s="493">
        <f t="shared" si="565"/>
        <v>0</v>
      </c>
      <c r="E435" s="1400">
        <f t="shared" si="565"/>
        <v>2350944.8185440591</v>
      </c>
      <c r="F435" s="493">
        <f t="shared" si="565"/>
        <v>2350944.8185440591</v>
      </c>
      <c r="G435" s="493">
        <f t="shared" si="565"/>
        <v>2350944.8185440591</v>
      </c>
      <c r="H435" s="493">
        <f t="shared" si="565"/>
        <v>2350944.8185440591</v>
      </c>
      <c r="I435" s="493">
        <f t="shared" si="565"/>
        <v>2350944.8185440591</v>
      </c>
      <c r="J435" s="493">
        <f t="shared" si="565"/>
        <v>2350944.8185440591</v>
      </c>
      <c r="K435" s="493">
        <f t="shared" si="565"/>
        <v>2350944.8185440591</v>
      </c>
      <c r="L435" s="493">
        <f t="shared" si="565"/>
        <v>2350944.8185440591</v>
      </c>
      <c r="M435" s="493">
        <f t="shared" si="565"/>
        <v>2350944.8185440591</v>
      </c>
      <c r="N435" s="493">
        <f t="shared" si="566"/>
        <v>2350944.8185440591</v>
      </c>
      <c r="O435" s="493">
        <f t="shared" si="566"/>
        <v>2350944.8185440591</v>
      </c>
      <c r="P435" s="493">
        <f t="shared" si="566"/>
        <v>2350944.8185440591</v>
      </c>
      <c r="Q435" s="493">
        <f t="shared" si="566"/>
        <v>2350944.8185440591</v>
      </c>
      <c r="R435" s="493">
        <f t="shared" si="566"/>
        <v>2350944.8185440591</v>
      </c>
      <c r="S435" s="493">
        <f t="shared" si="566"/>
        <v>2350944.8185440591</v>
      </c>
      <c r="T435" s="493">
        <f t="shared" si="566"/>
        <v>2350944.8185440591</v>
      </c>
      <c r="U435" s="493">
        <f t="shared" si="566"/>
        <v>2350944.8185440591</v>
      </c>
      <c r="V435" s="493">
        <f t="shared" si="566"/>
        <v>2350944.8185440591</v>
      </c>
      <c r="W435" s="493">
        <f t="shared" si="566"/>
        <v>2350944.8185440591</v>
      </c>
      <c r="X435" s="493">
        <f t="shared" si="567"/>
        <v>2350944.8185440591</v>
      </c>
      <c r="Y435" s="493">
        <f t="shared" si="567"/>
        <v>2350944.8185440591</v>
      </c>
      <c r="Z435" s="493">
        <f t="shared" si="567"/>
        <v>2350944.8185440591</v>
      </c>
      <c r="AA435" s="493">
        <f t="shared" si="567"/>
        <v>2350944.8185440591</v>
      </c>
      <c r="AB435" s="493">
        <f t="shared" si="567"/>
        <v>2350944.8185440591</v>
      </c>
      <c r="AC435" s="493">
        <f t="shared" si="567"/>
        <v>2350944.8185440591</v>
      </c>
      <c r="AD435" s="493">
        <f t="shared" si="567"/>
        <v>2350944.8185440591</v>
      </c>
      <c r="AE435" s="493">
        <f t="shared" si="567"/>
        <v>2350944.8185440591</v>
      </c>
      <c r="AF435" s="493">
        <f t="shared" si="567"/>
        <v>2350944.8185440591</v>
      </c>
      <c r="AG435" s="493">
        <f t="shared" si="567"/>
        <v>2350944.8185440591</v>
      </c>
      <c r="AH435" s="493">
        <f t="shared" si="567"/>
        <v>2350944.8185440591</v>
      </c>
      <c r="AI435" s="503">
        <f>SUM(D435:N435)</f>
        <v>23509448.185440596</v>
      </c>
      <c r="AJ435" s="503">
        <f>SUM(D435:X435)</f>
        <v>47018896.370881192</v>
      </c>
      <c r="AK435" s="590">
        <f>SUM(D435:AH435)</f>
        <v>70528344.556321785</v>
      </c>
    </row>
    <row r="436" spans="1:37" x14ac:dyDescent="0.2">
      <c r="A436" s="416"/>
      <c r="B436" s="439" t="s">
        <v>351</v>
      </c>
      <c r="C436" s="452" t="s">
        <v>333</v>
      </c>
      <c r="D436" s="493">
        <f t="shared" si="565"/>
        <v>0</v>
      </c>
      <c r="E436" s="1400">
        <f t="shared" si="565"/>
        <v>42744451.246255621</v>
      </c>
      <c r="F436" s="493">
        <f t="shared" si="565"/>
        <v>42744451.246255621</v>
      </c>
      <c r="G436" s="493">
        <f t="shared" si="565"/>
        <v>42744451.246255621</v>
      </c>
      <c r="H436" s="493">
        <f t="shared" si="565"/>
        <v>42744451.246255621</v>
      </c>
      <c r="I436" s="493">
        <f t="shared" si="565"/>
        <v>42744451.246255621</v>
      </c>
      <c r="J436" s="493">
        <f t="shared" si="565"/>
        <v>42744451.246255621</v>
      </c>
      <c r="K436" s="493">
        <f t="shared" si="565"/>
        <v>42744451.246255621</v>
      </c>
      <c r="L436" s="493">
        <f t="shared" si="565"/>
        <v>42744451.246255621</v>
      </c>
      <c r="M436" s="493">
        <f t="shared" si="565"/>
        <v>42744451.246255621</v>
      </c>
      <c r="N436" s="493">
        <f t="shared" si="566"/>
        <v>42744451.246255621</v>
      </c>
      <c r="O436" s="493">
        <f t="shared" si="566"/>
        <v>42744451.246255621</v>
      </c>
      <c r="P436" s="493">
        <f t="shared" si="566"/>
        <v>42744451.246255621</v>
      </c>
      <c r="Q436" s="493">
        <f t="shared" si="566"/>
        <v>42744451.246255621</v>
      </c>
      <c r="R436" s="493">
        <f t="shared" si="566"/>
        <v>42744451.246255621</v>
      </c>
      <c r="S436" s="493">
        <f t="shared" si="566"/>
        <v>42744451.246255621</v>
      </c>
      <c r="T436" s="493">
        <f t="shared" si="566"/>
        <v>42744451.246255621</v>
      </c>
      <c r="U436" s="493">
        <f t="shared" si="566"/>
        <v>42744451.246255621</v>
      </c>
      <c r="V436" s="493">
        <f t="shared" si="566"/>
        <v>42744451.246255621</v>
      </c>
      <c r="W436" s="493">
        <f t="shared" si="566"/>
        <v>42744451.246255621</v>
      </c>
      <c r="X436" s="493">
        <f t="shared" si="567"/>
        <v>42744451.246255621</v>
      </c>
      <c r="Y436" s="493">
        <f t="shared" si="567"/>
        <v>42744451.246255621</v>
      </c>
      <c r="Z436" s="493">
        <f t="shared" si="567"/>
        <v>42744451.246255621</v>
      </c>
      <c r="AA436" s="493">
        <f t="shared" si="567"/>
        <v>42744451.246255621</v>
      </c>
      <c r="AB436" s="493">
        <f t="shared" si="567"/>
        <v>42744451.246255621</v>
      </c>
      <c r="AC436" s="493">
        <f t="shared" si="567"/>
        <v>42744451.246255621</v>
      </c>
      <c r="AD436" s="493">
        <f t="shared" si="567"/>
        <v>42744451.246255621</v>
      </c>
      <c r="AE436" s="493">
        <f t="shared" si="567"/>
        <v>42744451.246255621</v>
      </c>
      <c r="AF436" s="493">
        <f t="shared" si="567"/>
        <v>42744451.246255621</v>
      </c>
      <c r="AG436" s="493">
        <f t="shared" si="567"/>
        <v>42744451.246255621</v>
      </c>
      <c r="AH436" s="493">
        <f t="shared" si="567"/>
        <v>42744451.246255621</v>
      </c>
      <c r="AI436" s="503">
        <f>SUM(D436:N436)</f>
        <v>427444512.4625563</v>
      </c>
      <c r="AJ436" s="503">
        <f>SUM(D436:X436)</f>
        <v>854889024.92511261</v>
      </c>
      <c r="AK436" s="590">
        <f>SUM(D436:AH436)</f>
        <v>1282333537.3876688</v>
      </c>
    </row>
    <row r="437" spans="1:37" x14ac:dyDescent="0.2">
      <c r="A437" s="416"/>
      <c r="B437" s="439" t="s">
        <v>350</v>
      </c>
      <c r="C437" s="452" t="s">
        <v>333</v>
      </c>
      <c r="D437" s="493">
        <f t="shared" si="565"/>
        <v>0</v>
      </c>
      <c r="E437" s="1400">
        <f t="shared" si="565"/>
        <v>32058338.434691709</v>
      </c>
      <c r="F437" s="493">
        <f t="shared" si="565"/>
        <v>32058338.434691709</v>
      </c>
      <c r="G437" s="493">
        <f t="shared" si="565"/>
        <v>32058338.434691709</v>
      </c>
      <c r="H437" s="493">
        <f t="shared" si="565"/>
        <v>32058338.434691709</v>
      </c>
      <c r="I437" s="493">
        <f t="shared" si="565"/>
        <v>32058338.434691709</v>
      </c>
      <c r="J437" s="493">
        <f t="shared" si="565"/>
        <v>32058338.434691709</v>
      </c>
      <c r="K437" s="493">
        <f t="shared" si="565"/>
        <v>32058338.434691709</v>
      </c>
      <c r="L437" s="493">
        <f t="shared" si="565"/>
        <v>32058338.434691709</v>
      </c>
      <c r="M437" s="493">
        <f t="shared" si="565"/>
        <v>32058338.434691709</v>
      </c>
      <c r="N437" s="493">
        <f t="shared" si="566"/>
        <v>32058338.434691709</v>
      </c>
      <c r="O437" s="493">
        <f t="shared" si="566"/>
        <v>32058338.434691709</v>
      </c>
      <c r="P437" s="493">
        <f t="shared" si="566"/>
        <v>32058338.434691709</v>
      </c>
      <c r="Q437" s="493">
        <f t="shared" si="566"/>
        <v>32058338.434691709</v>
      </c>
      <c r="R437" s="493">
        <f t="shared" si="566"/>
        <v>32058338.434691709</v>
      </c>
      <c r="S437" s="493">
        <f t="shared" si="566"/>
        <v>32058338.434691709</v>
      </c>
      <c r="T437" s="493">
        <f t="shared" si="566"/>
        <v>32058338.434691709</v>
      </c>
      <c r="U437" s="493">
        <f t="shared" si="566"/>
        <v>32058338.434691709</v>
      </c>
      <c r="V437" s="493">
        <f t="shared" si="566"/>
        <v>32058338.434691709</v>
      </c>
      <c r="W437" s="493">
        <f t="shared" si="566"/>
        <v>32058338.434691709</v>
      </c>
      <c r="X437" s="493">
        <f t="shared" si="567"/>
        <v>32058338.434691709</v>
      </c>
      <c r="Y437" s="493">
        <f t="shared" si="567"/>
        <v>32058338.434691709</v>
      </c>
      <c r="Z437" s="493">
        <f t="shared" si="567"/>
        <v>32058338.434691709</v>
      </c>
      <c r="AA437" s="493">
        <f t="shared" si="567"/>
        <v>32058338.434691709</v>
      </c>
      <c r="AB437" s="493">
        <f t="shared" si="567"/>
        <v>32058338.434691709</v>
      </c>
      <c r="AC437" s="493">
        <f t="shared" si="567"/>
        <v>32058338.434691709</v>
      </c>
      <c r="AD437" s="493">
        <f t="shared" si="567"/>
        <v>32058338.434691709</v>
      </c>
      <c r="AE437" s="493">
        <f t="shared" si="567"/>
        <v>32058338.434691709</v>
      </c>
      <c r="AF437" s="493">
        <f t="shared" si="567"/>
        <v>32058338.434691709</v>
      </c>
      <c r="AG437" s="493">
        <f t="shared" si="567"/>
        <v>32058338.434691709</v>
      </c>
      <c r="AH437" s="493">
        <f t="shared" si="567"/>
        <v>32058338.434691709</v>
      </c>
      <c r="AI437" s="503">
        <f>SUM(D437:N437)</f>
        <v>320583384.34691709</v>
      </c>
      <c r="AJ437" s="503">
        <f>SUM(D437:X437)</f>
        <v>641166768.69383419</v>
      </c>
      <c r="AK437" s="590">
        <f>SUM(D437:AH437)</f>
        <v>961750153.04075086</v>
      </c>
    </row>
    <row r="438" spans="1:37" x14ac:dyDescent="0.2">
      <c r="A438" s="491"/>
      <c r="B438" s="439" t="s">
        <v>329</v>
      </c>
      <c r="C438" s="452" t="s">
        <v>37</v>
      </c>
      <c r="D438" s="493">
        <f t="shared" si="565"/>
        <v>0</v>
      </c>
      <c r="E438" s="1400">
        <f t="shared" si="565"/>
        <v>34683356.298007444</v>
      </c>
      <c r="F438" s="493">
        <f t="shared" si="565"/>
        <v>34683356.298007444</v>
      </c>
      <c r="G438" s="493">
        <f t="shared" si="565"/>
        <v>34683356.298007444</v>
      </c>
      <c r="H438" s="493">
        <f t="shared" si="565"/>
        <v>34683356.298007444</v>
      </c>
      <c r="I438" s="493">
        <f t="shared" si="565"/>
        <v>34683356.298007444</v>
      </c>
      <c r="J438" s="493">
        <f t="shared" si="565"/>
        <v>34683356.298007444</v>
      </c>
      <c r="K438" s="493">
        <f t="shared" si="565"/>
        <v>34683356.298007444</v>
      </c>
      <c r="L438" s="493">
        <f t="shared" si="565"/>
        <v>34683356.298007444</v>
      </c>
      <c r="M438" s="493">
        <f t="shared" si="565"/>
        <v>34683356.298007444</v>
      </c>
      <c r="N438" s="493">
        <f t="shared" si="566"/>
        <v>34683356.298007444</v>
      </c>
      <c r="O438" s="493">
        <f t="shared" si="566"/>
        <v>34683356.298007444</v>
      </c>
      <c r="P438" s="493">
        <f t="shared" si="566"/>
        <v>34683356.298007444</v>
      </c>
      <c r="Q438" s="493">
        <f t="shared" si="566"/>
        <v>34683356.298007444</v>
      </c>
      <c r="R438" s="493">
        <f t="shared" si="566"/>
        <v>34683356.298007444</v>
      </c>
      <c r="S438" s="493">
        <f t="shared" si="566"/>
        <v>34683356.298007444</v>
      </c>
      <c r="T438" s="493">
        <f t="shared" si="566"/>
        <v>34683356.298007444</v>
      </c>
      <c r="U438" s="493">
        <f t="shared" si="566"/>
        <v>34683356.298007444</v>
      </c>
      <c r="V438" s="493">
        <f t="shared" si="566"/>
        <v>34683356.298007444</v>
      </c>
      <c r="W438" s="493">
        <f t="shared" si="566"/>
        <v>34683356.298007444</v>
      </c>
      <c r="X438" s="493">
        <f t="shared" si="567"/>
        <v>34683356.298007444</v>
      </c>
      <c r="Y438" s="493">
        <f t="shared" si="567"/>
        <v>34683356.298007444</v>
      </c>
      <c r="Z438" s="493">
        <f t="shared" si="567"/>
        <v>34683356.298007444</v>
      </c>
      <c r="AA438" s="493">
        <f t="shared" si="567"/>
        <v>34683356.298007444</v>
      </c>
      <c r="AB438" s="493">
        <f t="shared" si="567"/>
        <v>34683356.298007444</v>
      </c>
      <c r="AC438" s="493">
        <f t="shared" si="567"/>
        <v>34683356.298007444</v>
      </c>
      <c r="AD438" s="493">
        <f t="shared" si="567"/>
        <v>34683356.298007444</v>
      </c>
      <c r="AE438" s="493">
        <f t="shared" si="567"/>
        <v>34683356.298007444</v>
      </c>
      <c r="AF438" s="493">
        <f t="shared" si="567"/>
        <v>34683356.298007444</v>
      </c>
      <c r="AG438" s="493">
        <f t="shared" si="567"/>
        <v>34683356.298007444</v>
      </c>
      <c r="AH438" s="493">
        <f t="shared" si="567"/>
        <v>34683356.298007444</v>
      </c>
      <c r="AI438" s="503">
        <f t="shared" ref="AI438:AI447" si="568">SUM(D438:N438)</f>
        <v>346833562.98007435</v>
      </c>
      <c r="AJ438" s="503">
        <f t="shared" ref="AJ438:AJ447" si="569">SUM(D438:X438)</f>
        <v>693667125.96014893</v>
      </c>
      <c r="AK438" s="590">
        <f t="shared" ref="AK438:AK447" si="570">SUM(D438:AH438)</f>
        <v>1040500688.9402238</v>
      </c>
    </row>
    <row r="439" spans="1:37" x14ac:dyDescent="0.2">
      <c r="A439" s="491"/>
      <c r="B439" s="439" t="s">
        <v>330</v>
      </c>
      <c r="C439" s="452" t="s">
        <v>37</v>
      </c>
      <c r="D439" s="493">
        <f t="shared" si="565"/>
        <v>0</v>
      </c>
      <c r="E439" s="1400">
        <f t="shared" si="565"/>
        <v>9723504.8092160001</v>
      </c>
      <c r="F439" s="493">
        <f t="shared" si="565"/>
        <v>9723504.8092160001</v>
      </c>
      <c r="G439" s="493">
        <f t="shared" si="565"/>
        <v>9723504.8092160001</v>
      </c>
      <c r="H439" s="493">
        <f t="shared" si="565"/>
        <v>9723504.8092160001</v>
      </c>
      <c r="I439" s="493">
        <f t="shared" si="565"/>
        <v>9723504.8092160001</v>
      </c>
      <c r="J439" s="493">
        <f t="shared" si="565"/>
        <v>9723504.8092160001</v>
      </c>
      <c r="K439" s="493">
        <f t="shared" si="565"/>
        <v>9723504.8092160001</v>
      </c>
      <c r="L439" s="493">
        <f t="shared" si="565"/>
        <v>9723504.8092160001</v>
      </c>
      <c r="M439" s="493">
        <f t="shared" si="565"/>
        <v>9723504.8092160001</v>
      </c>
      <c r="N439" s="493">
        <f t="shared" si="566"/>
        <v>9723504.8092160001</v>
      </c>
      <c r="O439" s="493">
        <f t="shared" si="566"/>
        <v>9723504.8092160001</v>
      </c>
      <c r="P439" s="493">
        <f t="shared" si="566"/>
        <v>9723504.8092160001</v>
      </c>
      <c r="Q439" s="493">
        <f t="shared" si="566"/>
        <v>9723504.8092160001</v>
      </c>
      <c r="R439" s="493">
        <f t="shared" si="566"/>
        <v>9723504.8092160001</v>
      </c>
      <c r="S439" s="493">
        <f t="shared" si="566"/>
        <v>9723504.8092160001</v>
      </c>
      <c r="T439" s="493">
        <f t="shared" si="566"/>
        <v>9723504.8092160001</v>
      </c>
      <c r="U439" s="493">
        <f t="shared" si="566"/>
        <v>9723504.8092160001</v>
      </c>
      <c r="V439" s="493">
        <f t="shared" si="566"/>
        <v>9723504.8092160001</v>
      </c>
      <c r="W439" s="493">
        <f t="shared" si="566"/>
        <v>9723504.8092160001</v>
      </c>
      <c r="X439" s="493">
        <f t="shared" si="567"/>
        <v>9723504.8092160001</v>
      </c>
      <c r="Y439" s="493">
        <f t="shared" si="567"/>
        <v>9723504.8092160001</v>
      </c>
      <c r="Z439" s="493">
        <f t="shared" si="567"/>
        <v>9723504.8092160001</v>
      </c>
      <c r="AA439" s="493">
        <f t="shared" si="567"/>
        <v>9723504.8092160001</v>
      </c>
      <c r="AB439" s="493">
        <f t="shared" si="567"/>
        <v>9723504.8092160001</v>
      </c>
      <c r="AC439" s="493">
        <f t="shared" si="567"/>
        <v>9723504.8092160001</v>
      </c>
      <c r="AD439" s="493">
        <f t="shared" si="567"/>
        <v>9723504.8092160001</v>
      </c>
      <c r="AE439" s="493">
        <f t="shared" si="567"/>
        <v>9723504.8092160001</v>
      </c>
      <c r="AF439" s="493">
        <f t="shared" si="567"/>
        <v>9723504.8092160001</v>
      </c>
      <c r="AG439" s="493">
        <f t="shared" si="567"/>
        <v>9723504.8092160001</v>
      </c>
      <c r="AH439" s="493">
        <f t="shared" si="567"/>
        <v>9723504.8092160001</v>
      </c>
      <c r="AI439" s="503">
        <f t="shared" si="568"/>
        <v>97235048.092159986</v>
      </c>
      <c r="AJ439" s="503">
        <f t="shared" si="569"/>
        <v>194470096.18431991</v>
      </c>
      <c r="AK439" s="590">
        <f t="shared" si="570"/>
        <v>291705144.2764799</v>
      </c>
    </row>
    <row r="440" spans="1:37" x14ac:dyDescent="0.2">
      <c r="A440" s="491"/>
      <c r="B440" s="439" t="s">
        <v>331</v>
      </c>
      <c r="C440" s="452" t="s">
        <v>37</v>
      </c>
      <c r="D440" s="493">
        <f t="shared" si="565"/>
        <v>0</v>
      </c>
      <c r="E440" s="1400">
        <f t="shared" si="565"/>
        <v>4331717.7055389211</v>
      </c>
      <c r="F440" s="493">
        <f t="shared" si="565"/>
        <v>4331717.7055389211</v>
      </c>
      <c r="G440" s="493">
        <f t="shared" si="565"/>
        <v>4331717.7055389211</v>
      </c>
      <c r="H440" s="493">
        <f t="shared" si="565"/>
        <v>4331717.7055389211</v>
      </c>
      <c r="I440" s="493">
        <f t="shared" si="565"/>
        <v>4331717.7055389211</v>
      </c>
      <c r="J440" s="493">
        <f t="shared" si="565"/>
        <v>4331717.7055389211</v>
      </c>
      <c r="K440" s="493">
        <f t="shared" si="565"/>
        <v>4331717.7055389211</v>
      </c>
      <c r="L440" s="493">
        <f t="shared" si="565"/>
        <v>4331717.7055389211</v>
      </c>
      <c r="M440" s="493">
        <f t="shared" si="565"/>
        <v>4331717.7055389211</v>
      </c>
      <c r="N440" s="493">
        <f t="shared" si="566"/>
        <v>4331717.7055389211</v>
      </c>
      <c r="O440" s="493">
        <f t="shared" si="566"/>
        <v>4331717.7055389211</v>
      </c>
      <c r="P440" s="493">
        <f t="shared" si="566"/>
        <v>4331717.7055389211</v>
      </c>
      <c r="Q440" s="493">
        <f t="shared" si="566"/>
        <v>4331717.7055389211</v>
      </c>
      <c r="R440" s="493">
        <f t="shared" si="566"/>
        <v>4331717.7055389211</v>
      </c>
      <c r="S440" s="493">
        <f t="shared" si="566"/>
        <v>4331717.7055389211</v>
      </c>
      <c r="T440" s="493">
        <f t="shared" si="566"/>
        <v>4331717.7055389211</v>
      </c>
      <c r="U440" s="493">
        <f t="shared" si="566"/>
        <v>4331717.7055389211</v>
      </c>
      <c r="V440" s="493">
        <f t="shared" si="566"/>
        <v>4331717.7055389211</v>
      </c>
      <c r="W440" s="493">
        <f t="shared" si="566"/>
        <v>4331717.7055389211</v>
      </c>
      <c r="X440" s="493">
        <f t="shared" si="567"/>
        <v>4331717.7055389211</v>
      </c>
      <c r="Y440" s="493">
        <f t="shared" si="567"/>
        <v>4331717.7055389211</v>
      </c>
      <c r="Z440" s="493">
        <f t="shared" si="567"/>
        <v>4331717.7055389211</v>
      </c>
      <c r="AA440" s="493">
        <f t="shared" si="567"/>
        <v>4331717.7055389211</v>
      </c>
      <c r="AB440" s="493">
        <f t="shared" si="567"/>
        <v>4331717.7055389211</v>
      </c>
      <c r="AC440" s="493">
        <f t="shared" si="567"/>
        <v>4331717.7055389211</v>
      </c>
      <c r="AD440" s="493">
        <f t="shared" si="567"/>
        <v>4331717.7055389211</v>
      </c>
      <c r="AE440" s="493">
        <f t="shared" si="567"/>
        <v>4331717.7055389211</v>
      </c>
      <c r="AF440" s="493">
        <f t="shared" si="567"/>
        <v>4331717.7055389211</v>
      </c>
      <c r="AG440" s="493">
        <f t="shared" si="567"/>
        <v>4331717.7055389211</v>
      </c>
      <c r="AH440" s="493">
        <f t="shared" si="567"/>
        <v>4331717.7055389211</v>
      </c>
      <c r="AI440" s="503">
        <f t="shared" si="568"/>
        <v>43317177.055389211</v>
      </c>
      <c r="AJ440" s="503">
        <f t="shared" si="569"/>
        <v>86634354.110778451</v>
      </c>
      <c r="AK440" s="590">
        <f t="shared" si="570"/>
        <v>129951531.16616774</v>
      </c>
    </row>
    <row r="441" spans="1:37" x14ac:dyDescent="0.2">
      <c r="B441" s="439" t="s">
        <v>332</v>
      </c>
      <c r="C441" s="452" t="s">
        <v>37</v>
      </c>
      <c r="D441" s="493">
        <f t="shared" si="565"/>
        <v>0</v>
      </c>
      <c r="E441" s="1400">
        <f t="shared" si="565"/>
        <v>2193116.8786421912</v>
      </c>
      <c r="F441" s="493">
        <f t="shared" si="565"/>
        <v>2193116.8786421912</v>
      </c>
      <c r="G441" s="493">
        <f t="shared" si="565"/>
        <v>2193116.8786421912</v>
      </c>
      <c r="H441" s="493">
        <f t="shared" si="565"/>
        <v>2193116.8786421912</v>
      </c>
      <c r="I441" s="493">
        <f t="shared" si="565"/>
        <v>2193116.8786421912</v>
      </c>
      <c r="J441" s="493">
        <f t="shared" si="565"/>
        <v>2193116.8786421912</v>
      </c>
      <c r="K441" s="493">
        <f t="shared" si="565"/>
        <v>2193116.8786421912</v>
      </c>
      <c r="L441" s="493">
        <f t="shared" si="565"/>
        <v>2193116.8786421912</v>
      </c>
      <c r="M441" s="493">
        <f t="shared" si="565"/>
        <v>2193116.8786421912</v>
      </c>
      <c r="N441" s="493">
        <f t="shared" si="566"/>
        <v>2193116.8786421912</v>
      </c>
      <c r="O441" s="493">
        <f t="shared" si="566"/>
        <v>2193116.8786421912</v>
      </c>
      <c r="P441" s="493">
        <f t="shared" si="566"/>
        <v>2193116.8786421912</v>
      </c>
      <c r="Q441" s="493">
        <f t="shared" si="566"/>
        <v>2193116.8786421912</v>
      </c>
      <c r="R441" s="493">
        <f t="shared" si="566"/>
        <v>2193116.8786421912</v>
      </c>
      <c r="S441" s="493">
        <f t="shared" si="566"/>
        <v>2193116.8786421912</v>
      </c>
      <c r="T441" s="493">
        <f t="shared" si="566"/>
        <v>2193116.8786421912</v>
      </c>
      <c r="U441" s="493">
        <f t="shared" si="566"/>
        <v>2193116.8786421912</v>
      </c>
      <c r="V441" s="493">
        <f t="shared" si="566"/>
        <v>2193116.8786421912</v>
      </c>
      <c r="W441" s="493">
        <f t="shared" si="566"/>
        <v>2193116.8786421912</v>
      </c>
      <c r="X441" s="493">
        <f t="shared" si="567"/>
        <v>2193116.8786421912</v>
      </c>
      <c r="Y441" s="493">
        <f t="shared" si="567"/>
        <v>2193116.8786421912</v>
      </c>
      <c r="Z441" s="493">
        <f t="shared" si="567"/>
        <v>2193116.8786421912</v>
      </c>
      <c r="AA441" s="493">
        <f t="shared" si="567"/>
        <v>2193116.8786421912</v>
      </c>
      <c r="AB441" s="493">
        <f t="shared" si="567"/>
        <v>2193116.8786421912</v>
      </c>
      <c r="AC441" s="493">
        <f t="shared" si="567"/>
        <v>2193116.8786421912</v>
      </c>
      <c r="AD441" s="493">
        <f t="shared" si="567"/>
        <v>2193116.8786421912</v>
      </c>
      <c r="AE441" s="493">
        <f t="shared" si="567"/>
        <v>2193116.8786421912</v>
      </c>
      <c r="AF441" s="493">
        <f t="shared" si="567"/>
        <v>2193116.8786421912</v>
      </c>
      <c r="AG441" s="493">
        <f t="shared" si="567"/>
        <v>2193116.8786421912</v>
      </c>
      <c r="AH441" s="493">
        <f t="shared" si="567"/>
        <v>2193116.8786421912</v>
      </c>
      <c r="AI441" s="503">
        <f t="shared" si="568"/>
        <v>21931168.786421906</v>
      </c>
      <c r="AJ441" s="503">
        <f t="shared" si="569"/>
        <v>43862337.572843827</v>
      </c>
      <c r="AK441" s="590">
        <f t="shared" si="570"/>
        <v>65793506.359265767</v>
      </c>
    </row>
    <row r="442" spans="1:37" x14ac:dyDescent="0.2">
      <c r="B442" s="439" t="s">
        <v>334</v>
      </c>
      <c r="C442" s="452" t="s">
        <v>37</v>
      </c>
      <c r="D442" s="493">
        <f t="shared" si="565"/>
        <v>0</v>
      </c>
      <c r="E442" s="1400">
        <f t="shared" si="565"/>
        <v>13815749.781515393</v>
      </c>
      <c r="F442" s="493">
        <f t="shared" si="565"/>
        <v>13815749.781515393</v>
      </c>
      <c r="G442" s="493">
        <f t="shared" si="565"/>
        <v>13815749.781515393</v>
      </c>
      <c r="H442" s="493">
        <f t="shared" si="565"/>
        <v>13815749.781515393</v>
      </c>
      <c r="I442" s="493">
        <f t="shared" si="565"/>
        <v>13815749.781515393</v>
      </c>
      <c r="J442" s="493">
        <f t="shared" si="565"/>
        <v>13815749.781515393</v>
      </c>
      <c r="K442" s="493">
        <f t="shared" si="565"/>
        <v>13815749.781515393</v>
      </c>
      <c r="L442" s="493">
        <f t="shared" si="565"/>
        <v>13815749.781515393</v>
      </c>
      <c r="M442" s="493">
        <f t="shared" si="565"/>
        <v>13815749.781515393</v>
      </c>
      <c r="N442" s="493">
        <f t="shared" si="566"/>
        <v>13815749.781515393</v>
      </c>
      <c r="O442" s="493">
        <f t="shared" si="566"/>
        <v>13815749.781515393</v>
      </c>
      <c r="P442" s="493">
        <f t="shared" si="566"/>
        <v>13815749.781515393</v>
      </c>
      <c r="Q442" s="493">
        <f t="shared" si="566"/>
        <v>13815749.781515393</v>
      </c>
      <c r="R442" s="493">
        <f t="shared" si="566"/>
        <v>13815749.781515393</v>
      </c>
      <c r="S442" s="493">
        <f t="shared" si="566"/>
        <v>13815749.781515393</v>
      </c>
      <c r="T442" s="493">
        <f t="shared" si="566"/>
        <v>13815749.781515393</v>
      </c>
      <c r="U442" s="493">
        <f t="shared" si="566"/>
        <v>13815749.781515393</v>
      </c>
      <c r="V442" s="493">
        <f t="shared" si="566"/>
        <v>13815749.781515393</v>
      </c>
      <c r="W442" s="493">
        <f t="shared" si="566"/>
        <v>13815749.781515393</v>
      </c>
      <c r="X442" s="493">
        <f t="shared" si="567"/>
        <v>13815749.781515393</v>
      </c>
      <c r="Y442" s="493">
        <f t="shared" si="567"/>
        <v>13815749.781515393</v>
      </c>
      <c r="Z442" s="493">
        <f t="shared" si="567"/>
        <v>13815749.781515393</v>
      </c>
      <c r="AA442" s="493">
        <f t="shared" si="567"/>
        <v>13815749.781515393</v>
      </c>
      <c r="AB442" s="493">
        <f t="shared" si="567"/>
        <v>13815749.781515393</v>
      </c>
      <c r="AC442" s="493">
        <f t="shared" si="567"/>
        <v>13815749.781515393</v>
      </c>
      <c r="AD442" s="493">
        <f t="shared" si="567"/>
        <v>13815749.781515393</v>
      </c>
      <c r="AE442" s="493">
        <f t="shared" si="567"/>
        <v>13815749.781515393</v>
      </c>
      <c r="AF442" s="493">
        <f t="shared" si="567"/>
        <v>13815749.781515393</v>
      </c>
      <c r="AG442" s="493">
        <f t="shared" si="567"/>
        <v>13815749.781515393</v>
      </c>
      <c r="AH442" s="493">
        <f t="shared" si="567"/>
        <v>13815749.781515393</v>
      </c>
      <c r="AI442" s="503">
        <f t="shared" si="568"/>
        <v>138157497.81515393</v>
      </c>
      <c r="AJ442" s="503">
        <f t="shared" si="569"/>
        <v>276314995.63030785</v>
      </c>
      <c r="AK442" s="590">
        <f t="shared" si="570"/>
        <v>414472493.44546205</v>
      </c>
    </row>
    <row r="443" spans="1:37" x14ac:dyDescent="0.2">
      <c r="B443" s="439" t="s">
        <v>335</v>
      </c>
      <c r="C443" s="452" t="s">
        <v>37</v>
      </c>
      <c r="D443" s="493">
        <f t="shared" si="565"/>
        <v>0</v>
      </c>
      <c r="E443" s="1400">
        <f t="shared" si="565"/>
        <v>8391274.7079227734</v>
      </c>
      <c r="F443" s="493">
        <f t="shared" si="565"/>
        <v>8391274.7079227734</v>
      </c>
      <c r="G443" s="493">
        <f t="shared" si="565"/>
        <v>8391274.7079227734</v>
      </c>
      <c r="H443" s="493">
        <f t="shared" si="565"/>
        <v>8391274.7079227734</v>
      </c>
      <c r="I443" s="493">
        <f t="shared" si="565"/>
        <v>8391274.7079227734</v>
      </c>
      <c r="J443" s="493">
        <f t="shared" si="565"/>
        <v>8391274.7079227734</v>
      </c>
      <c r="K443" s="493">
        <f t="shared" si="565"/>
        <v>8391274.7079227734</v>
      </c>
      <c r="L443" s="493">
        <f t="shared" si="565"/>
        <v>8391274.7079227734</v>
      </c>
      <c r="M443" s="493">
        <f t="shared" si="565"/>
        <v>8391274.7079227734</v>
      </c>
      <c r="N443" s="493">
        <f t="shared" si="566"/>
        <v>8391274.7079227734</v>
      </c>
      <c r="O443" s="493">
        <f t="shared" si="566"/>
        <v>8391274.7079227734</v>
      </c>
      <c r="P443" s="493">
        <f t="shared" si="566"/>
        <v>8391274.7079227734</v>
      </c>
      <c r="Q443" s="493">
        <f t="shared" si="566"/>
        <v>8391274.7079227734</v>
      </c>
      <c r="R443" s="493">
        <f t="shared" si="566"/>
        <v>8391274.7079227734</v>
      </c>
      <c r="S443" s="493">
        <f t="shared" si="566"/>
        <v>8391274.7079227734</v>
      </c>
      <c r="T443" s="493">
        <f t="shared" si="566"/>
        <v>8391274.7079227734</v>
      </c>
      <c r="U443" s="493">
        <f t="shared" si="566"/>
        <v>8391274.7079227734</v>
      </c>
      <c r="V443" s="493">
        <f t="shared" si="566"/>
        <v>8391274.7079227734</v>
      </c>
      <c r="W443" s="493">
        <f t="shared" si="566"/>
        <v>8391274.7079227734</v>
      </c>
      <c r="X443" s="493">
        <f t="shared" si="567"/>
        <v>8391274.7079227734</v>
      </c>
      <c r="Y443" s="493">
        <f t="shared" si="567"/>
        <v>8391274.7079227734</v>
      </c>
      <c r="Z443" s="493">
        <f t="shared" si="567"/>
        <v>8391274.7079227734</v>
      </c>
      <c r="AA443" s="493">
        <f t="shared" si="567"/>
        <v>8391274.7079227734</v>
      </c>
      <c r="AB443" s="493">
        <f t="shared" si="567"/>
        <v>8391274.7079227734</v>
      </c>
      <c r="AC443" s="493">
        <f t="shared" si="567"/>
        <v>8391274.7079227734</v>
      </c>
      <c r="AD443" s="493">
        <f t="shared" si="567"/>
        <v>8391274.7079227734</v>
      </c>
      <c r="AE443" s="493">
        <f t="shared" si="567"/>
        <v>8391274.7079227734</v>
      </c>
      <c r="AF443" s="493">
        <f t="shared" si="567"/>
        <v>8391274.7079227734</v>
      </c>
      <c r="AG443" s="493">
        <f t="shared" si="567"/>
        <v>8391274.7079227734</v>
      </c>
      <c r="AH443" s="493">
        <f t="shared" si="567"/>
        <v>8391274.7079227734</v>
      </c>
      <c r="AI443" s="503">
        <f t="shared" si="568"/>
        <v>83912747.079227731</v>
      </c>
      <c r="AJ443" s="503">
        <f t="shared" si="569"/>
        <v>167825494.15845552</v>
      </c>
      <c r="AK443" s="590">
        <f t="shared" si="570"/>
        <v>251738241.23768339</v>
      </c>
    </row>
    <row r="444" spans="1:37" x14ac:dyDescent="0.2">
      <c r="B444" s="439" t="s">
        <v>336</v>
      </c>
      <c r="C444" s="452" t="s">
        <v>37</v>
      </c>
      <c r="D444" s="493">
        <f t="shared" si="565"/>
        <v>0</v>
      </c>
      <c r="E444" s="1400">
        <f t="shared" si="565"/>
        <v>2321948.6249411404</v>
      </c>
      <c r="F444" s="493">
        <f t="shared" si="565"/>
        <v>2321948.6249411404</v>
      </c>
      <c r="G444" s="493">
        <f t="shared" si="565"/>
        <v>2321948.6249411404</v>
      </c>
      <c r="H444" s="493">
        <f t="shared" si="565"/>
        <v>2321948.6249411404</v>
      </c>
      <c r="I444" s="493">
        <f t="shared" si="565"/>
        <v>2321948.6249411404</v>
      </c>
      <c r="J444" s="493">
        <f t="shared" si="565"/>
        <v>2321948.6249411404</v>
      </c>
      <c r="K444" s="493">
        <f t="shared" si="565"/>
        <v>2321948.6249411404</v>
      </c>
      <c r="L444" s="493">
        <f t="shared" si="565"/>
        <v>2321948.6249411404</v>
      </c>
      <c r="M444" s="493">
        <f t="shared" si="565"/>
        <v>2321948.6249411404</v>
      </c>
      <c r="N444" s="493">
        <f t="shared" si="566"/>
        <v>2321948.6249411404</v>
      </c>
      <c r="O444" s="493">
        <f t="shared" si="566"/>
        <v>2321948.6249411404</v>
      </c>
      <c r="P444" s="493">
        <f t="shared" si="566"/>
        <v>2321948.6249411404</v>
      </c>
      <c r="Q444" s="493">
        <f t="shared" si="566"/>
        <v>2321948.6249411404</v>
      </c>
      <c r="R444" s="493">
        <f t="shared" si="566"/>
        <v>2321948.6249411404</v>
      </c>
      <c r="S444" s="493">
        <f t="shared" si="566"/>
        <v>2321948.6249411404</v>
      </c>
      <c r="T444" s="493">
        <f t="shared" si="566"/>
        <v>2321948.6249411404</v>
      </c>
      <c r="U444" s="493">
        <f t="shared" si="566"/>
        <v>2321948.6249411404</v>
      </c>
      <c r="V444" s="493">
        <f t="shared" si="566"/>
        <v>2321948.6249411404</v>
      </c>
      <c r="W444" s="493">
        <f t="shared" si="566"/>
        <v>2321948.6249411404</v>
      </c>
      <c r="X444" s="493">
        <f t="shared" si="567"/>
        <v>2321948.6249411404</v>
      </c>
      <c r="Y444" s="493">
        <f t="shared" si="567"/>
        <v>2321948.6249411404</v>
      </c>
      <c r="Z444" s="493">
        <f t="shared" si="567"/>
        <v>2321948.6249411404</v>
      </c>
      <c r="AA444" s="493">
        <f t="shared" si="567"/>
        <v>2321948.6249411404</v>
      </c>
      <c r="AB444" s="493">
        <f t="shared" si="567"/>
        <v>2321948.6249411404</v>
      </c>
      <c r="AC444" s="493">
        <f t="shared" si="567"/>
        <v>2321948.6249411404</v>
      </c>
      <c r="AD444" s="493">
        <f t="shared" si="567"/>
        <v>2321948.6249411404</v>
      </c>
      <c r="AE444" s="493">
        <f t="shared" si="567"/>
        <v>2321948.6249411404</v>
      </c>
      <c r="AF444" s="493">
        <f t="shared" si="567"/>
        <v>2321948.6249411404</v>
      </c>
      <c r="AG444" s="493">
        <f t="shared" si="567"/>
        <v>2321948.6249411404</v>
      </c>
      <c r="AH444" s="493">
        <f t="shared" si="567"/>
        <v>2321948.6249411404</v>
      </c>
      <c r="AI444" s="503">
        <f t="shared" si="568"/>
        <v>23219486.249411404</v>
      </c>
      <c r="AJ444" s="503">
        <f t="shared" si="569"/>
        <v>46438972.498822808</v>
      </c>
      <c r="AK444" s="590">
        <f t="shared" si="570"/>
        <v>69658458.748234212</v>
      </c>
    </row>
    <row r="445" spans="1:37" x14ac:dyDescent="0.2">
      <c r="B445" s="439" t="s">
        <v>337</v>
      </c>
      <c r="C445" s="452" t="s">
        <v>37</v>
      </c>
      <c r="D445" s="493">
        <f t="shared" si="565"/>
        <v>0</v>
      </c>
      <c r="E445" s="1400">
        <f t="shared" si="565"/>
        <v>942917.32069609221</v>
      </c>
      <c r="F445" s="493">
        <f t="shared" si="565"/>
        <v>942917.32069609221</v>
      </c>
      <c r="G445" s="493">
        <f t="shared" si="565"/>
        <v>942917.32069609221</v>
      </c>
      <c r="H445" s="493">
        <f t="shared" si="565"/>
        <v>942917.32069609221</v>
      </c>
      <c r="I445" s="493">
        <f t="shared" si="565"/>
        <v>942917.32069609221</v>
      </c>
      <c r="J445" s="493">
        <f t="shared" si="565"/>
        <v>942917.32069609221</v>
      </c>
      <c r="K445" s="493">
        <f t="shared" si="565"/>
        <v>942917.32069609221</v>
      </c>
      <c r="L445" s="493">
        <f t="shared" si="565"/>
        <v>942917.32069609221</v>
      </c>
      <c r="M445" s="493">
        <f t="shared" si="565"/>
        <v>942917.32069609221</v>
      </c>
      <c r="N445" s="493">
        <f t="shared" si="566"/>
        <v>942917.32069609221</v>
      </c>
      <c r="O445" s="493">
        <f t="shared" si="566"/>
        <v>942917.32069609221</v>
      </c>
      <c r="P445" s="493">
        <f t="shared" si="566"/>
        <v>942917.32069609221</v>
      </c>
      <c r="Q445" s="493">
        <f t="shared" si="566"/>
        <v>942917.32069609221</v>
      </c>
      <c r="R445" s="493">
        <f t="shared" si="566"/>
        <v>942917.32069609221</v>
      </c>
      <c r="S445" s="493">
        <f t="shared" si="566"/>
        <v>942917.32069609221</v>
      </c>
      <c r="T445" s="493">
        <f t="shared" si="566"/>
        <v>942917.32069609221</v>
      </c>
      <c r="U445" s="493">
        <f t="shared" si="566"/>
        <v>942917.32069609221</v>
      </c>
      <c r="V445" s="493">
        <f t="shared" si="566"/>
        <v>942917.32069609221</v>
      </c>
      <c r="W445" s="493">
        <f t="shared" si="566"/>
        <v>942917.32069609221</v>
      </c>
      <c r="X445" s="493">
        <f t="shared" si="567"/>
        <v>942917.32069609221</v>
      </c>
      <c r="Y445" s="493">
        <f t="shared" si="567"/>
        <v>942917.32069609221</v>
      </c>
      <c r="Z445" s="493">
        <f t="shared" si="567"/>
        <v>942917.32069609221</v>
      </c>
      <c r="AA445" s="493">
        <f t="shared" si="567"/>
        <v>942917.32069609221</v>
      </c>
      <c r="AB445" s="493">
        <f t="shared" si="567"/>
        <v>942917.32069609221</v>
      </c>
      <c r="AC445" s="493">
        <f t="shared" si="567"/>
        <v>942917.32069609221</v>
      </c>
      <c r="AD445" s="493">
        <f t="shared" si="567"/>
        <v>942917.32069609221</v>
      </c>
      <c r="AE445" s="493">
        <f t="shared" si="567"/>
        <v>942917.32069609221</v>
      </c>
      <c r="AF445" s="493">
        <f t="shared" si="567"/>
        <v>942917.32069609221</v>
      </c>
      <c r="AG445" s="493">
        <f t="shared" si="567"/>
        <v>942917.32069609221</v>
      </c>
      <c r="AH445" s="493">
        <f t="shared" si="567"/>
        <v>942917.32069609221</v>
      </c>
      <c r="AI445" s="503">
        <f t="shared" si="568"/>
        <v>9429173.206960924</v>
      </c>
      <c r="AJ445" s="503">
        <f t="shared" si="569"/>
        <v>18858346.413921855</v>
      </c>
      <c r="AK445" s="590">
        <f t="shared" si="570"/>
        <v>28287519.620882787</v>
      </c>
    </row>
    <row r="446" spans="1:37" s="465" customFormat="1" x14ac:dyDescent="0.2">
      <c r="A446" s="1409" t="s">
        <v>1089</v>
      </c>
      <c r="B446" s="439"/>
      <c r="C446" s="452" t="s">
        <v>37</v>
      </c>
      <c r="D446" s="493">
        <f t="shared" ref="D446:M447" si="571">SUMIF($A$183:$A$376,$A446,D$183:D$376)</f>
        <v>0</v>
      </c>
      <c r="E446" s="1400">
        <f t="shared" si="571"/>
        <v>76403586.126479939</v>
      </c>
      <c r="F446" s="493">
        <f t="shared" si="571"/>
        <v>76403586.126479939</v>
      </c>
      <c r="G446" s="493">
        <f t="shared" si="571"/>
        <v>76403586.126479939</v>
      </c>
      <c r="H446" s="493">
        <f t="shared" si="571"/>
        <v>76403586.126479939</v>
      </c>
      <c r="I446" s="493">
        <f t="shared" si="571"/>
        <v>76403586.126479939</v>
      </c>
      <c r="J446" s="493">
        <f t="shared" si="571"/>
        <v>76403586.126479939</v>
      </c>
      <c r="K446" s="493">
        <f t="shared" si="571"/>
        <v>76403586.126479939</v>
      </c>
      <c r="L446" s="493">
        <f t="shared" si="571"/>
        <v>76403586.126479939</v>
      </c>
      <c r="M446" s="493">
        <f t="shared" si="571"/>
        <v>76403586.126479939</v>
      </c>
      <c r="N446" s="493">
        <f t="shared" ref="N446:W447" si="572">SUMIF($A$183:$A$376,$A446,N$183:N$376)</f>
        <v>76403586.126479939</v>
      </c>
      <c r="O446" s="493">
        <f t="shared" si="572"/>
        <v>76403586.126479939</v>
      </c>
      <c r="P446" s="493">
        <f t="shared" si="572"/>
        <v>76403586.126479939</v>
      </c>
      <c r="Q446" s="493">
        <f t="shared" si="572"/>
        <v>76403586.126479939</v>
      </c>
      <c r="R446" s="493">
        <f t="shared" si="572"/>
        <v>76403586.126479939</v>
      </c>
      <c r="S446" s="493">
        <f t="shared" si="572"/>
        <v>76403586.126479939</v>
      </c>
      <c r="T446" s="493">
        <f t="shared" si="572"/>
        <v>76403586.126479939</v>
      </c>
      <c r="U446" s="493">
        <f t="shared" si="572"/>
        <v>76403586.126479939</v>
      </c>
      <c r="V446" s="493">
        <f t="shared" si="572"/>
        <v>76403586.126479939</v>
      </c>
      <c r="W446" s="493">
        <f t="shared" si="572"/>
        <v>76403586.126479939</v>
      </c>
      <c r="X446" s="493">
        <f t="shared" ref="X446:AH447" si="573">SUMIF($A$183:$A$376,$A446,X$183:X$376)</f>
        <v>76403586.126479939</v>
      </c>
      <c r="Y446" s="493">
        <f t="shared" si="573"/>
        <v>76403586.126479939</v>
      </c>
      <c r="Z446" s="493">
        <f t="shared" si="573"/>
        <v>76403586.126479939</v>
      </c>
      <c r="AA446" s="493">
        <f t="shared" si="573"/>
        <v>76403586.126479939</v>
      </c>
      <c r="AB446" s="493">
        <f t="shared" si="573"/>
        <v>76403586.126479939</v>
      </c>
      <c r="AC446" s="493">
        <f t="shared" si="573"/>
        <v>76403586.126479939</v>
      </c>
      <c r="AD446" s="493">
        <f t="shared" si="573"/>
        <v>76403586.126479939</v>
      </c>
      <c r="AE446" s="493">
        <f t="shared" si="573"/>
        <v>76403586.126479939</v>
      </c>
      <c r="AF446" s="493">
        <f t="shared" si="573"/>
        <v>76403586.126479939</v>
      </c>
      <c r="AG446" s="493">
        <f t="shared" si="573"/>
        <v>76403586.126479939</v>
      </c>
      <c r="AH446" s="493">
        <f t="shared" si="573"/>
        <v>76403586.126479939</v>
      </c>
      <c r="AI446" s="503">
        <f t="shared" si="568"/>
        <v>764035861.26479948</v>
      </c>
      <c r="AJ446" s="503">
        <f t="shared" si="569"/>
        <v>1528071722.5295987</v>
      </c>
      <c r="AK446" s="590">
        <f t="shared" si="570"/>
        <v>2292107583.7943978</v>
      </c>
    </row>
    <row r="447" spans="1:37" x14ac:dyDescent="0.2">
      <c r="A447" s="1410" t="s">
        <v>1091</v>
      </c>
      <c r="B447" s="489"/>
      <c r="C447" s="453" t="s">
        <v>37</v>
      </c>
      <c r="D447" s="495">
        <f t="shared" si="571"/>
        <v>0</v>
      </c>
      <c r="E447" s="1401">
        <f t="shared" si="571"/>
        <v>393785377.58233196</v>
      </c>
      <c r="F447" s="495">
        <f t="shared" si="571"/>
        <v>393785377.58233196</v>
      </c>
      <c r="G447" s="495">
        <f t="shared" si="571"/>
        <v>393785377.58233196</v>
      </c>
      <c r="H447" s="495">
        <f t="shared" si="571"/>
        <v>393785377.58233196</v>
      </c>
      <c r="I447" s="495">
        <f t="shared" si="571"/>
        <v>393785377.58233196</v>
      </c>
      <c r="J447" s="495">
        <f t="shared" si="571"/>
        <v>393785377.58233196</v>
      </c>
      <c r="K447" s="495">
        <f t="shared" si="571"/>
        <v>393785377.58233196</v>
      </c>
      <c r="L447" s="495">
        <f t="shared" si="571"/>
        <v>393785377.58233196</v>
      </c>
      <c r="M447" s="495">
        <f t="shared" si="571"/>
        <v>393785377.58233196</v>
      </c>
      <c r="N447" s="495">
        <f t="shared" si="572"/>
        <v>393785377.58233196</v>
      </c>
      <c r="O447" s="495">
        <f t="shared" si="572"/>
        <v>393785377.58233196</v>
      </c>
      <c r="P447" s="495">
        <f t="shared" si="572"/>
        <v>393785377.58233196</v>
      </c>
      <c r="Q447" s="495">
        <f t="shared" si="572"/>
        <v>393785377.58233196</v>
      </c>
      <c r="R447" s="495">
        <f t="shared" si="572"/>
        <v>393785377.58233196</v>
      </c>
      <c r="S447" s="495">
        <f t="shared" si="572"/>
        <v>393785377.58233196</v>
      </c>
      <c r="T447" s="495">
        <f t="shared" si="572"/>
        <v>393785377.58233196</v>
      </c>
      <c r="U447" s="495">
        <f t="shared" si="572"/>
        <v>393785377.58233196</v>
      </c>
      <c r="V447" s="495">
        <f t="shared" si="572"/>
        <v>393785377.58233196</v>
      </c>
      <c r="W447" s="495">
        <f t="shared" si="572"/>
        <v>393785377.58233196</v>
      </c>
      <c r="X447" s="495">
        <f t="shared" si="573"/>
        <v>393785377.58233196</v>
      </c>
      <c r="Y447" s="495">
        <f t="shared" si="573"/>
        <v>393785377.58233196</v>
      </c>
      <c r="Z447" s="495">
        <f t="shared" si="573"/>
        <v>393785377.58233196</v>
      </c>
      <c r="AA447" s="495">
        <f t="shared" si="573"/>
        <v>393785377.58233196</v>
      </c>
      <c r="AB447" s="495">
        <f t="shared" si="573"/>
        <v>393785377.58233196</v>
      </c>
      <c r="AC447" s="495">
        <f t="shared" si="573"/>
        <v>393785377.58233196</v>
      </c>
      <c r="AD447" s="495">
        <f t="shared" si="573"/>
        <v>393785377.58233196</v>
      </c>
      <c r="AE447" s="495">
        <f t="shared" si="573"/>
        <v>393785377.58233196</v>
      </c>
      <c r="AF447" s="495">
        <f t="shared" si="573"/>
        <v>393785377.58233196</v>
      </c>
      <c r="AG447" s="495">
        <f t="shared" si="573"/>
        <v>393785377.58233196</v>
      </c>
      <c r="AH447" s="495">
        <f t="shared" si="573"/>
        <v>393785377.58233196</v>
      </c>
      <c r="AI447" s="502">
        <f t="shared" si="568"/>
        <v>3937853775.8233204</v>
      </c>
      <c r="AJ447" s="502">
        <f t="shared" si="569"/>
        <v>7875707551.646637</v>
      </c>
      <c r="AK447" s="502">
        <f t="shared" si="570"/>
        <v>11813561327.469961</v>
      </c>
    </row>
    <row r="448" spans="1:37" x14ac:dyDescent="0.2">
      <c r="A448" s="454" t="s">
        <v>276</v>
      </c>
      <c r="B448" s="489"/>
      <c r="C448" s="453" t="s">
        <v>37</v>
      </c>
      <c r="D448" s="495">
        <f t="shared" ref="D448" si="574">SUM(D447,D446)</f>
        <v>0</v>
      </c>
      <c r="E448" s="495">
        <f>SUM(E447,E446)</f>
        <v>470188963.70881188</v>
      </c>
      <c r="F448" s="495">
        <f t="shared" ref="F448" si="575">SUM(F447,F446)</f>
        <v>470188963.70881188</v>
      </c>
      <c r="G448" s="495">
        <f t="shared" ref="G448" si="576">SUM(G447,G446)</f>
        <v>470188963.70881188</v>
      </c>
      <c r="H448" s="495">
        <f t="shared" ref="H448" si="577">SUM(H447,H446)</f>
        <v>470188963.70881188</v>
      </c>
      <c r="I448" s="495">
        <f t="shared" ref="I448" si="578">SUM(I447,I446)</f>
        <v>470188963.70881188</v>
      </c>
      <c r="J448" s="495">
        <f t="shared" ref="J448" si="579">SUM(J447,J446)</f>
        <v>470188963.70881188</v>
      </c>
      <c r="K448" s="495">
        <f t="shared" ref="K448" si="580">SUM(K447,K446)</f>
        <v>470188963.70881188</v>
      </c>
      <c r="L448" s="495">
        <f t="shared" ref="L448" si="581">SUM(L447,L446)</f>
        <v>470188963.70881188</v>
      </c>
      <c r="M448" s="495">
        <f t="shared" ref="M448" si="582">SUM(M447,M446)</f>
        <v>470188963.70881188</v>
      </c>
      <c r="N448" s="495">
        <f t="shared" ref="N448" si="583">SUM(N447,N446)</f>
        <v>470188963.70881188</v>
      </c>
      <c r="O448" s="495">
        <f t="shared" ref="O448" si="584">SUM(O447,O446)</f>
        <v>470188963.70881188</v>
      </c>
      <c r="P448" s="495">
        <f t="shared" ref="P448" si="585">SUM(P447,P446)</f>
        <v>470188963.70881188</v>
      </c>
      <c r="Q448" s="495">
        <f t="shared" ref="Q448" si="586">SUM(Q447,Q446)</f>
        <v>470188963.70881188</v>
      </c>
      <c r="R448" s="495">
        <f t="shared" ref="R448" si="587">SUM(R447,R446)</f>
        <v>470188963.70881188</v>
      </c>
      <c r="S448" s="495">
        <f t="shared" ref="S448" si="588">SUM(S447,S446)</f>
        <v>470188963.70881188</v>
      </c>
      <c r="T448" s="495">
        <f t="shared" ref="T448" si="589">SUM(T447,T446)</f>
        <v>470188963.70881188</v>
      </c>
      <c r="U448" s="495">
        <f t="shared" ref="U448" si="590">SUM(U447,U446)</f>
        <v>470188963.70881188</v>
      </c>
      <c r="V448" s="495">
        <f t="shared" ref="V448" si="591">SUM(V447,V446)</f>
        <v>470188963.70881188</v>
      </c>
      <c r="W448" s="495">
        <f t="shared" ref="W448" si="592">SUM(W447,W446)</f>
        <v>470188963.70881188</v>
      </c>
      <c r="X448" s="495">
        <f t="shared" ref="X448" si="593">SUM(X447,X446)</f>
        <v>470188963.70881188</v>
      </c>
      <c r="Y448" s="495">
        <f t="shared" ref="Y448" si="594">SUM(Y447,Y446)</f>
        <v>470188963.70881188</v>
      </c>
      <c r="Z448" s="495">
        <f t="shared" ref="Z448" si="595">SUM(Z447,Z446)</f>
        <v>470188963.70881188</v>
      </c>
      <c r="AA448" s="495">
        <f t="shared" ref="AA448" si="596">SUM(AA447,AA446)</f>
        <v>470188963.70881188</v>
      </c>
      <c r="AB448" s="495">
        <f t="shared" ref="AB448" si="597">SUM(AB447,AB446)</f>
        <v>470188963.70881188</v>
      </c>
      <c r="AC448" s="495">
        <f t="shared" ref="AC448" si="598">SUM(AC447,AC446)</f>
        <v>470188963.70881188</v>
      </c>
      <c r="AD448" s="495">
        <f t="shared" ref="AD448" si="599">SUM(AD447,AD446)</f>
        <v>470188963.70881188</v>
      </c>
      <c r="AE448" s="495">
        <f t="shared" ref="AE448" si="600">SUM(AE447,AE446)</f>
        <v>470188963.70881188</v>
      </c>
      <c r="AF448" s="495">
        <f t="shared" ref="AF448" si="601">SUM(AF447,AF446)</f>
        <v>470188963.70881188</v>
      </c>
      <c r="AG448" s="495">
        <f t="shared" ref="AG448" si="602">SUM(AG447,AG446)</f>
        <v>470188963.70881188</v>
      </c>
      <c r="AH448" s="495">
        <f t="shared" ref="AH448" si="603">SUM(AH447,AH446)</f>
        <v>470188963.70881188</v>
      </c>
      <c r="AI448" s="591">
        <f t="shared" ref="AI448" si="604">SUM(AI447,AI446)</f>
        <v>4701889637.0881195</v>
      </c>
      <c r="AJ448" s="591">
        <f t="shared" ref="AJ448" si="605">SUM(AJ447,AJ446)</f>
        <v>9403779274.1762352</v>
      </c>
      <c r="AK448" s="591">
        <f t="shared" ref="AK448" si="606">SUM(AK447,AK446)</f>
        <v>14105668911.264359</v>
      </c>
    </row>
    <row r="449" spans="1:37" ht="11.5" x14ac:dyDescent="0.25">
      <c r="A449" s="1408" t="s">
        <v>199</v>
      </c>
      <c r="B449" s="416"/>
      <c r="C449" s="451" t="s">
        <v>37</v>
      </c>
      <c r="D449" s="493">
        <f>D273</f>
        <v>0</v>
      </c>
      <c r="E449" s="493">
        <f t="shared" ref="E449:AK449" si="607">E273</f>
        <v>72241552.11290203</v>
      </c>
      <c r="F449" s="493">
        <f t="shared" si="607"/>
        <v>72241552.11290203</v>
      </c>
      <c r="G449" s="493">
        <f t="shared" si="607"/>
        <v>72241552.11290203</v>
      </c>
      <c r="H449" s="493">
        <f t="shared" si="607"/>
        <v>72241552.11290203</v>
      </c>
      <c r="I449" s="493">
        <f t="shared" si="607"/>
        <v>72241552.11290203</v>
      </c>
      <c r="J449" s="493">
        <f t="shared" si="607"/>
        <v>72241552.11290203</v>
      </c>
      <c r="K449" s="493">
        <f t="shared" si="607"/>
        <v>72241552.11290203</v>
      </c>
      <c r="L449" s="493">
        <f t="shared" si="607"/>
        <v>72241552.11290203</v>
      </c>
      <c r="M449" s="493">
        <f t="shared" si="607"/>
        <v>72241552.11290203</v>
      </c>
      <c r="N449" s="493">
        <f t="shared" si="607"/>
        <v>72241552.11290203</v>
      </c>
      <c r="O449" s="493">
        <f t="shared" si="607"/>
        <v>72241552.11290203</v>
      </c>
      <c r="P449" s="493">
        <f t="shared" si="607"/>
        <v>72241552.11290203</v>
      </c>
      <c r="Q449" s="493">
        <f t="shared" si="607"/>
        <v>72241552.11290203</v>
      </c>
      <c r="R449" s="493">
        <f t="shared" si="607"/>
        <v>72241552.11290203</v>
      </c>
      <c r="S449" s="493">
        <f t="shared" si="607"/>
        <v>72241552.11290203</v>
      </c>
      <c r="T449" s="493">
        <f t="shared" si="607"/>
        <v>72241552.11290203</v>
      </c>
      <c r="U449" s="493">
        <f t="shared" si="607"/>
        <v>72241552.11290203</v>
      </c>
      <c r="V449" s="493">
        <f t="shared" si="607"/>
        <v>72241552.11290203</v>
      </c>
      <c r="W449" s="493">
        <f t="shared" si="607"/>
        <v>72241552.11290203</v>
      </c>
      <c r="X449" s="493">
        <f t="shared" si="607"/>
        <v>72241552.11290203</v>
      </c>
      <c r="Y449" s="493">
        <f t="shared" si="607"/>
        <v>72241552.11290203</v>
      </c>
      <c r="Z449" s="493">
        <f t="shared" si="607"/>
        <v>72241552.11290203</v>
      </c>
      <c r="AA449" s="493">
        <f t="shared" si="607"/>
        <v>72241552.11290203</v>
      </c>
      <c r="AB449" s="493">
        <f t="shared" si="607"/>
        <v>72241552.11290203</v>
      </c>
      <c r="AC449" s="493">
        <f t="shared" si="607"/>
        <v>72241552.11290203</v>
      </c>
      <c r="AD449" s="493">
        <f t="shared" si="607"/>
        <v>72241552.11290203</v>
      </c>
      <c r="AE449" s="493">
        <f t="shared" si="607"/>
        <v>72241552.11290203</v>
      </c>
      <c r="AF449" s="493">
        <f t="shared" si="607"/>
        <v>72241552.11290203</v>
      </c>
      <c r="AG449" s="493">
        <f t="shared" si="607"/>
        <v>72241552.11290203</v>
      </c>
      <c r="AH449" s="493">
        <f t="shared" si="607"/>
        <v>72241552.11290203</v>
      </c>
      <c r="AI449" s="535">
        <f t="shared" si="607"/>
        <v>722415521.12902033</v>
      </c>
      <c r="AJ449" s="535">
        <f t="shared" si="607"/>
        <v>1444831042.2580402</v>
      </c>
      <c r="AK449" s="497">
        <f t="shared" si="607"/>
        <v>2167246563.3870597</v>
      </c>
    </row>
    <row r="450" spans="1:37" ht="11.5" x14ac:dyDescent="0.25">
      <c r="A450" s="1413" t="s">
        <v>256</v>
      </c>
      <c r="B450" s="416"/>
      <c r="C450" s="451" t="s">
        <v>37</v>
      </c>
      <c r="D450" s="493">
        <f t="shared" ref="D450:AK450" si="608">D274</f>
        <v>0</v>
      </c>
      <c r="E450" s="493">
        <f t="shared" si="608"/>
        <v>57793241.690321624</v>
      </c>
      <c r="F450" s="493">
        <f t="shared" si="608"/>
        <v>57793241.690321624</v>
      </c>
      <c r="G450" s="493">
        <f t="shared" si="608"/>
        <v>57793241.690321624</v>
      </c>
      <c r="H450" s="493">
        <f t="shared" si="608"/>
        <v>57793241.690321624</v>
      </c>
      <c r="I450" s="493">
        <f t="shared" si="608"/>
        <v>57793241.690321624</v>
      </c>
      <c r="J450" s="493">
        <f t="shared" si="608"/>
        <v>57793241.690321624</v>
      </c>
      <c r="K450" s="493">
        <f t="shared" si="608"/>
        <v>57793241.690321624</v>
      </c>
      <c r="L450" s="493">
        <f t="shared" si="608"/>
        <v>57793241.690321624</v>
      </c>
      <c r="M450" s="493">
        <f t="shared" si="608"/>
        <v>57793241.690321624</v>
      </c>
      <c r="N450" s="493">
        <f t="shared" si="608"/>
        <v>57793241.690321624</v>
      </c>
      <c r="O450" s="493">
        <f t="shared" si="608"/>
        <v>57793241.690321624</v>
      </c>
      <c r="P450" s="493">
        <f t="shared" si="608"/>
        <v>57793241.690321624</v>
      </c>
      <c r="Q450" s="493">
        <f t="shared" si="608"/>
        <v>57793241.690321624</v>
      </c>
      <c r="R450" s="493">
        <f t="shared" si="608"/>
        <v>57793241.690321624</v>
      </c>
      <c r="S450" s="493">
        <f t="shared" si="608"/>
        <v>57793241.690321624</v>
      </c>
      <c r="T450" s="493">
        <f t="shared" si="608"/>
        <v>57793241.690321624</v>
      </c>
      <c r="U450" s="493">
        <f t="shared" si="608"/>
        <v>57793241.690321624</v>
      </c>
      <c r="V450" s="493">
        <f t="shared" si="608"/>
        <v>57793241.690321624</v>
      </c>
      <c r="W450" s="493">
        <f t="shared" si="608"/>
        <v>57793241.690321624</v>
      </c>
      <c r="X450" s="493">
        <f t="shared" si="608"/>
        <v>57793241.690321624</v>
      </c>
      <c r="Y450" s="493">
        <f t="shared" si="608"/>
        <v>57793241.690321624</v>
      </c>
      <c r="Z450" s="493">
        <f t="shared" si="608"/>
        <v>57793241.690321624</v>
      </c>
      <c r="AA450" s="493">
        <f t="shared" si="608"/>
        <v>57793241.690321624</v>
      </c>
      <c r="AB450" s="493">
        <f t="shared" si="608"/>
        <v>57793241.690321624</v>
      </c>
      <c r="AC450" s="493">
        <f t="shared" si="608"/>
        <v>57793241.690321624</v>
      </c>
      <c r="AD450" s="493">
        <f t="shared" si="608"/>
        <v>57793241.690321624</v>
      </c>
      <c r="AE450" s="493">
        <f t="shared" si="608"/>
        <v>57793241.690321624</v>
      </c>
      <c r="AF450" s="493">
        <f t="shared" si="608"/>
        <v>57793241.690321624</v>
      </c>
      <c r="AG450" s="493">
        <f t="shared" si="608"/>
        <v>57793241.690321624</v>
      </c>
      <c r="AH450" s="493">
        <f t="shared" si="608"/>
        <v>57793241.690321624</v>
      </c>
      <c r="AI450" s="535">
        <f t="shared" si="608"/>
        <v>577932416.90321624</v>
      </c>
      <c r="AJ450" s="535">
        <f t="shared" si="608"/>
        <v>1155864833.806433</v>
      </c>
      <c r="AK450" s="497">
        <f t="shared" si="608"/>
        <v>1733797250.7096498</v>
      </c>
    </row>
    <row r="451" spans="1:37" ht="11.5" x14ac:dyDescent="0.25">
      <c r="A451" s="1412"/>
      <c r="B451" s="439" t="s">
        <v>259</v>
      </c>
      <c r="C451" s="451" t="s">
        <v>37</v>
      </c>
      <c r="D451" s="493">
        <f t="shared" ref="D451:AK451" si="609">D275</f>
        <v>0</v>
      </c>
      <c r="E451" s="493">
        <f t="shared" si="609"/>
        <v>39458617.778984919</v>
      </c>
      <c r="F451" s="493">
        <f t="shared" si="609"/>
        <v>39458617.778984919</v>
      </c>
      <c r="G451" s="493">
        <f t="shared" si="609"/>
        <v>39458617.778984919</v>
      </c>
      <c r="H451" s="493">
        <f t="shared" si="609"/>
        <v>39458617.778984919</v>
      </c>
      <c r="I451" s="493">
        <f t="shared" si="609"/>
        <v>39458617.778984919</v>
      </c>
      <c r="J451" s="493">
        <f t="shared" si="609"/>
        <v>39458617.778984919</v>
      </c>
      <c r="K451" s="493">
        <f t="shared" si="609"/>
        <v>39458617.778984919</v>
      </c>
      <c r="L451" s="493">
        <f t="shared" si="609"/>
        <v>39458617.778984919</v>
      </c>
      <c r="M451" s="493">
        <f t="shared" si="609"/>
        <v>39458617.778984919</v>
      </c>
      <c r="N451" s="493">
        <f t="shared" si="609"/>
        <v>39458617.778984919</v>
      </c>
      <c r="O451" s="493">
        <f t="shared" si="609"/>
        <v>39458617.778984919</v>
      </c>
      <c r="P451" s="493">
        <f t="shared" si="609"/>
        <v>39458617.778984919</v>
      </c>
      <c r="Q451" s="493">
        <f t="shared" si="609"/>
        <v>39458617.778984919</v>
      </c>
      <c r="R451" s="493">
        <f t="shared" si="609"/>
        <v>39458617.778984919</v>
      </c>
      <c r="S451" s="493">
        <f t="shared" si="609"/>
        <v>39458617.778984919</v>
      </c>
      <c r="T451" s="493">
        <f t="shared" si="609"/>
        <v>39458617.778984919</v>
      </c>
      <c r="U451" s="493">
        <f t="shared" si="609"/>
        <v>39458617.778984919</v>
      </c>
      <c r="V451" s="493">
        <f t="shared" si="609"/>
        <v>39458617.778984919</v>
      </c>
      <c r="W451" s="493">
        <f t="shared" si="609"/>
        <v>39458617.778984919</v>
      </c>
      <c r="X451" s="493">
        <f t="shared" si="609"/>
        <v>39458617.778984919</v>
      </c>
      <c r="Y451" s="493">
        <f t="shared" si="609"/>
        <v>39458617.778984919</v>
      </c>
      <c r="Z451" s="493">
        <f t="shared" si="609"/>
        <v>39458617.778984919</v>
      </c>
      <c r="AA451" s="493">
        <f t="shared" si="609"/>
        <v>39458617.778984919</v>
      </c>
      <c r="AB451" s="493">
        <f t="shared" si="609"/>
        <v>39458617.778984919</v>
      </c>
      <c r="AC451" s="493">
        <f t="shared" si="609"/>
        <v>39458617.778984919</v>
      </c>
      <c r="AD451" s="493">
        <f t="shared" si="609"/>
        <v>39458617.778984919</v>
      </c>
      <c r="AE451" s="493">
        <f t="shared" si="609"/>
        <v>39458617.778984919</v>
      </c>
      <c r="AF451" s="493">
        <f t="shared" si="609"/>
        <v>39458617.778984919</v>
      </c>
      <c r="AG451" s="493">
        <f t="shared" si="609"/>
        <v>39458617.778984919</v>
      </c>
      <c r="AH451" s="493">
        <f t="shared" si="609"/>
        <v>39458617.778984919</v>
      </c>
      <c r="AI451" s="535">
        <f t="shared" si="609"/>
        <v>394586177.7898491</v>
      </c>
      <c r="AJ451" s="535">
        <f t="shared" si="609"/>
        <v>789172355.5796982</v>
      </c>
      <c r="AK451" s="497">
        <f t="shared" si="609"/>
        <v>1183758533.3695476</v>
      </c>
    </row>
    <row r="452" spans="1:37" ht="11.5" x14ac:dyDescent="0.25">
      <c r="A452" s="1414"/>
      <c r="B452" s="439" t="s">
        <v>1124</v>
      </c>
      <c r="C452" s="452" t="s">
        <v>37</v>
      </c>
      <c r="D452" s="493">
        <f t="shared" ref="D452:AK452" si="610">D276</f>
        <v>0</v>
      </c>
      <c r="E452" s="493">
        <f t="shared" si="610"/>
        <v>11558648.338064326</v>
      </c>
      <c r="F452" s="493">
        <f t="shared" si="610"/>
        <v>11558648.338064326</v>
      </c>
      <c r="G452" s="493">
        <f t="shared" si="610"/>
        <v>11558648.338064326</v>
      </c>
      <c r="H452" s="493">
        <f t="shared" si="610"/>
        <v>11558648.338064326</v>
      </c>
      <c r="I452" s="493">
        <f t="shared" si="610"/>
        <v>11558648.338064326</v>
      </c>
      <c r="J452" s="493">
        <f t="shared" si="610"/>
        <v>11558648.338064326</v>
      </c>
      <c r="K452" s="493">
        <f t="shared" si="610"/>
        <v>11558648.338064326</v>
      </c>
      <c r="L452" s="493">
        <f t="shared" si="610"/>
        <v>11558648.338064326</v>
      </c>
      <c r="M452" s="493">
        <f t="shared" si="610"/>
        <v>11558648.338064326</v>
      </c>
      <c r="N452" s="493">
        <f t="shared" si="610"/>
        <v>11558648.338064326</v>
      </c>
      <c r="O452" s="493">
        <f t="shared" si="610"/>
        <v>11558648.338064326</v>
      </c>
      <c r="P452" s="493">
        <f t="shared" si="610"/>
        <v>11558648.338064326</v>
      </c>
      <c r="Q452" s="493">
        <f t="shared" si="610"/>
        <v>11558648.338064326</v>
      </c>
      <c r="R452" s="493">
        <f t="shared" si="610"/>
        <v>11558648.338064326</v>
      </c>
      <c r="S452" s="493">
        <f t="shared" si="610"/>
        <v>11558648.338064326</v>
      </c>
      <c r="T452" s="493">
        <f t="shared" si="610"/>
        <v>11558648.338064326</v>
      </c>
      <c r="U452" s="493">
        <f t="shared" si="610"/>
        <v>11558648.338064326</v>
      </c>
      <c r="V452" s="493">
        <f t="shared" si="610"/>
        <v>11558648.338064326</v>
      </c>
      <c r="W452" s="493">
        <f t="shared" si="610"/>
        <v>11558648.338064326</v>
      </c>
      <c r="X452" s="493">
        <f t="shared" si="610"/>
        <v>11558648.338064326</v>
      </c>
      <c r="Y452" s="493">
        <f t="shared" si="610"/>
        <v>11558648.338064326</v>
      </c>
      <c r="Z452" s="493">
        <f t="shared" si="610"/>
        <v>11558648.338064326</v>
      </c>
      <c r="AA452" s="493">
        <f t="shared" si="610"/>
        <v>11558648.338064326</v>
      </c>
      <c r="AB452" s="493">
        <f t="shared" si="610"/>
        <v>11558648.338064326</v>
      </c>
      <c r="AC452" s="493">
        <f t="shared" si="610"/>
        <v>11558648.338064326</v>
      </c>
      <c r="AD452" s="493">
        <f t="shared" si="610"/>
        <v>11558648.338064326</v>
      </c>
      <c r="AE452" s="493">
        <f t="shared" si="610"/>
        <v>11558648.338064326</v>
      </c>
      <c r="AF452" s="493">
        <f t="shared" si="610"/>
        <v>11558648.338064326</v>
      </c>
      <c r="AG452" s="493">
        <f t="shared" si="610"/>
        <v>11558648.338064326</v>
      </c>
      <c r="AH452" s="493">
        <f t="shared" si="610"/>
        <v>11558648.338064326</v>
      </c>
      <c r="AI452" s="535">
        <f t="shared" si="610"/>
        <v>115586483.38064326</v>
      </c>
      <c r="AJ452" s="535">
        <f t="shared" si="610"/>
        <v>231172966.76128641</v>
      </c>
      <c r="AK452" s="497">
        <f t="shared" si="610"/>
        <v>346759450.14192957</v>
      </c>
    </row>
    <row r="453" spans="1:37" ht="11.5" x14ac:dyDescent="0.25">
      <c r="A453" s="1412"/>
      <c r="B453" s="439" t="s">
        <v>254</v>
      </c>
      <c r="C453" s="451" t="s">
        <v>37</v>
      </c>
      <c r="D453" s="493">
        <f t="shared" ref="D453:AK453" si="611">D277</f>
        <v>0</v>
      </c>
      <c r="E453" s="493">
        <f t="shared" si="611"/>
        <v>2860784.0978420526</v>
      </c>
      <c r="F453" s="493">
        <f t="shared" si="611"/>
        <v>2860784.0978420526</v>
      </c>
      <c r="G453" s="493">
        <f t="shared" si="611"/>
        <v>2860784.0978420526</v>
      </c>
      <c r="H453" s="493">
        <f t="shared" si="611"/>
        <v>2860784.0978420526</v>
      </c>
      <c r="I453" s="493">
        <f t="shared" si="611"/>
        <v>2860784.0978420526</v>
      </c>
      <c r="J453" s="493">
        <f t="shared" si="611"/>
        <v>2860784.0978420526</v>
      </c>
      <c r="K453" s="493">
        <f t="shared" si="611"/>
        <v>2860784.0978420526</v>
      </c>
      <c r="L453" s="493">
        <f t="shared" si="611"/>
        <v>2860784.0978420526</v>
      </c>
      <c r="M453" s="493">
        <f t="shared" si="611"/>
        <v>2860784.0978420526</v>
      </c>
      <c r="N453" s="493">
        <f t="shared" si="611"/>
        <v>2860784.0978420526</v>
      </c>
      <c r="O453" s="493">
        <f t="shared" si="611"/>
        <v>2860784.0978420526</v>
      </c>
      <c r="P453" s="493">
        <f t="shared" si="611"/>
        <v>2860784.0978420526</v>
      </c>
      <c r="Q453" s="493">
        <f t="shared" si="611"/>
        <v>2860784.0978420526</v>
      </c>
      <c r="R453" s="493">
        <f t="shared" si="611"/>
        <v>2860784.0978420526</v>
      </c>
      <c r="S453" s="493">
        <f t="shared" si="611"/>
        <v>2860784.0978420526</v>
      </c>
      <c r="T453" s="493">
        <f t="shared" si="611"/>
        <v>2860784.0978420526</v>
      </c>
      <c r="U453" s="493">
        <f t="shared" si="611"/>
        <v>2860784.0978420526</v>
      </c>
      <c r="V453" s="493">
        <f t="shared" si="611"/>
        <v>2860784.0978420526</v>
      </c>
      <c r="W453" s="493">
        <f t="shared" si="611"/>
        <v>2860784.0978420526</v>
      </c>
      <c r="X453" s="493">
        <f t="shared" si="611"/>
        <v>2860784.0978420526</v>
      </c>
      <c r="Y453" s="493">
        <f t="shared" si="611"/>
        <v>2860784.0978420526</v>
      </c>
      <c r="Z453" s="493">
        <f t="shared" si="611"/>
        <v>2860784.0978420526</v>
      </c>
      <c r="AA453" s="493">
        <f t="shared" si="611"/>
        <v>2860784.0978420526</v>
      </c>
      <c r="AB453" s="493">
        <f t="shared" si="611"/>
        <v>2860784.0978420526</v>
      </c>
      <c r="AC453" s="493">
        <f t="shared" si="611"/>
        <v>2860784.0978420526</v>
      </c>
      <c r="AD453" s="493">
        <f t="shared" si="611"/>
        <v>2860784.0978420526</v>
      </c>
      <c r="AE453" s="493">
        <f t="shared" si="611"/>
        <v>2860784.0978420526</v>
      </c>
      <c r="AF453" s="493">
        <f t="shared" si="611"/>
        <v>2860784.0978420526</v>
      </c>
      <c r="AG453" s="493">
        <f t="shared" si="611"/>
        <v>2860784.0978420526</v>
      </c>
      <c r="AH453" s="493">
        <f t="shared" si="611"/>
        <v>2860784.0978420526</v>
      </c>
      <c r="AI453" s="535">
        <f t="shared" si="611"/>
        <v>28607840.978420526</v>
      </c>
      <c r="AJ453" s="535">
        <f t="shared" si="611"/>
        <v>57215681.956841052</v>
      </c>
      <c r="AK453" s="497">
        <f t="shared" si="611"/>
        <v>85823522.935261577</v>
      </c>
    </row>
    <row r="454" spans="1:37" ht="11.5" x14ac:dyDescent="0.25">
      <c r="A454" s="1412"/>
      <c r="B454" s="439" t="s">
        <v>255</v>
      </c>
      <c r="C454" s="452" t="s">
        <v>37</v>
      </c>
      <c r="D454" s="493">
        <f t="shared" ref="D454:AK454" si="612">D278</f>
        <v>0</v>
      </c>
      <c r="E454" s="493">
        <f t="shared" si="612"/>
        <v>3915191.4754303242</v>
      </c>
      <c r="F454" s="493">
        <f t="shared" si="612"/>
        <v>3915191.4754303242</v>
      </c>
      <c r="G454" s="493">
        <f t="shared" si="612"/>
        <v>3915191.4754303242</v>
      </c>
      <c r="H454" s="493">
        <f t="shared" si="612"/>
        <v>3915191.4754303242</v>
      </c>
      <c r="I454" s="493">
        <f t="shared" si="612"/>
        <v>3915191.4754303242</v>
      </c>
      <c r="J454" s="493">
        <f t="shared" si="612"/>
        <v>3915191.4754303242</v>
      </c>
      <c r="K454" s="493">
        <f t="shared" si="612"/>
        <v>3915191.4754303242</v>
      </c>
      <c r="L454" s="493">
        <f t="shared" si="612"/>
        <v>3915191.4754303242</v>
      </c>
      <c r="M454" s="493">
        <f t="shared" si="612"/>
        <v>3915191.4754303242</v>
      </c>
      <c r="N454" s="493">
        <f t="shared" si="612"/>
        <v>3915191.4754303242</v>
      </c>
      <c r="O454" s="493">
        <f t="shared" si="612"/>
        <v>3915191.4754303242</v>
      </c>
      <c r="P454" s="493">
        <f t="shared" si="612"/>
        <v>3915191.4754303242</v>
      </c>
      <c r="Q454" s="493">
        <f t="shared" si="612"/>
        <v>3915191.4754303242</v>
      </c>
      <c r="R454" s="493">
        <f t="shared" si="612"/>
        <v>3915191.4754303242</v>
      </c>
      <c r="S454" s="493">
        <f t="shared" si="612"/>
        <v>3915191.4754303242</v>
      </c>
      <c r="T454" s="493">
        <f t="shared" si="612"/>
        <v>3915191.4754303242</v>
      </c>
      <c r="U454" s="493">
        <f t="shared" si="612"/>
        <v>3915191.4754303242</v>
      </c>
      <c r="V454" s="493">
        <f t="shared" si="612"/>
        <v>3915191.4754303242</v>
      </c>
      <c r="W454" s="493">
        <f t="shared" si="612"/>
        <v>3915191.4754303242</v>
      </c>
      <c r="X454" s="493">
        <f t="shared" si="612"/>
        <v>3915191.4754303242</v>
      </c>
      <c r="Y454" s="493">
        <f t="shared" si="612"/>
        <v>3915191.4754303242</v>
      </c>
      <c r="Z454" s="493">
        <f t="shared" si="612"/>
        <v>3915191.4754303242</v>
      </c>
      <c r="AA454" s="493">
        <f t="shared" si="612"/>
        <v>3915191.4754303242</v>
      </c>
      <c r="AB454" s="493">
        <f t="shared" si="612"/>
        <v>3915191.4754303242</v>
      </c>
      <c r="AC454" s="493">
        <f t="shared" si="612"/>
        <v>3915191.4754303242</v>
      </c>
      <c r="AD454" s="493">
        <f t="shared" si="612"/>
        <v>3915191.4754303242</v>
      </c>
      <c r="AE454" s="493">
        <f t="shared" si="612"/>
        <v>3915191.4754303242</v>
      </c>
      <c r="AF454" s="493">
        <f t="shared" si="612"/>
        <v>3915191.4754303242</v>
      </c>
      <c r="AG454" s="493">
        <f t="shared" si="612"/>
        <v>3915191.4754303242</v>
      </c>
      <c r="AH454" s="493">
        <f t="shared" si="612"/>
        <v>3915191.4754303242</v>
      </c>
      <c r="AI454" s="535">
        <f t="shared" si="612"/>
        <v>39151914.754303239</v>
      </c>
      <c r="AJ454" s="535">
        <f t="shared" si="612"/>
        <v>78303829.508606479</v>
      </c>
      <c r="AK454" s="497">
        <f t="shared" si="612"/>
        <v>117455744.26290973</v>
      </c>
    </row>
    <row r="455" spans="1:37" ht="11.5" x14ac:dyDescent="0.25">
      <c r="A455" s="1408" t="s">
        <v>257</v>
      </c>
      <c r="B455" s="416"/>
      <c r="C455" s="451" t="s">
        <v>37</v>
      </c>
      <c r="D455" s="493">
        <f t="shared" ref="D455:AK455" si="613">D279</f>
        <v>0</v>
      </c>
      <c r="E455" s="493">
        <f t="shared" si="613"/>
        <v>7224155.211290203</v>
      </c>
      <c r="F455" s="493">
        <f t="shared" si="613"/>
        <v>7224155.211290203</v>
      </c>
      <c r="G455" s="493">
        <f t="shared" si="613"/>
        <v>7224155.211290203</v>
      </c>
      <c r="H455" s="493">
        <f t="shared" si="613"/>
        <v>7224155.211290203</v>
      </c>
      <c r="I455" s="493">
        <f t="shared" si="613"/>
        <v>7224155.211290203</v>
      </c>
      <c r="J455" s="493">
        <f t="shared" si="613"/>
        <v>7224155.211290203</v>
      </c>
      <c r="K455" s="493">
        <f t="shared" si="613"/>
        <v>7224155.211290203</v>
      </c>
      <c r="L455" s="493">
        <f t="shared" si="613"/>
        <v>7224155.211290203</v>
      </c>
      <c r="M455" s="493">
        <f t="shared" si="613"/>
        <v>7224155.211290203</v>
      </c>
      <c r="N455" s="493">
        <f t="shared" si="613"/>
        <v>7224155.211290203</v>
      </c>
      <c r="O455" s="493">
        <f t="shared" si="613"/>
        <v>7224155.211290203</v>
      </c>
      <c r="P455" s="493">
        <f t="shared" si="613"/>
        <v>7224155.211290203</v>
      </c>
      <c r="Q455" s="493">
        <f t="shared" si="613"/>
        <v>7224155.211290203</v>
      </c>
      <c r="R455" s="493">
        <f t="shared" si="613"/>
        <v>7224155.211290203</v>
      </c>
      <c r="S455" s="493">
        <f t="shared" si="613"/>
        <v>7224155.211290203</v>
      </c>
      <c r="T455" s="493">
        <f t="shared" si="613"/>
        <v>7224155.211290203</v>
      </c>
      <c r="U455" s="493">
        <f t="shared" si="613"/>
        <v>7224155.211290203</v>
      </c>
      <c r="V455" s="493">
        <f t="shared" si="613"/>
        <v>7224155.211290203</v>
      </c>
      <c r="W455" s="493">
        <f t="shared" si="613"/>
        <v>7224155.211290203</v>
      </c>
      <c r="X455" s="493">
        <f t="shared" si="613"/>
        <v>7224155.211290203</v>
      </c>
      <c r="Y455" s="493">
        <f t="shared" si="613"/>
        <v>7224155.211290203</v>
      </c>
      <c r="Z455" s="493">
        <f t="shared" si="613"/>
        <v>7224155.211290203</v>
      </c>
      <c r="AA455" s="493">
        <f t="shared" si="613"/>
        <v>7224155.211290203</v>
      </c>
      <c r="AB455" s="493">
        <f t="shared" si="613"/>
        <v>7224155.211290203</v>
      </c>
      <c r="AC455" s="493">
        <f t="shared" si="613"/>
        <v>7224155.211290203</v>
      </c>
      <c r="AD455" s="493">
        <f t="shared" si="613"/>
        <v>7224155.211290203</v>
      </c>
      <c r="AE455" s="493">
        <f t="shared" si="613"/>
        <v>7224155.211290203</v>
      </c>
      <c r="AF455" s="493">
        <f t="shared" si="613"/>
        <v>7224155.211290203</v>
      </c>
      <c r="AG455" s="493">
        <f t="shared" si="613"/>
        <v>7224155.211290203</v>
      </c>
      <c r="AH455" s="493">
        <f t="shared" si="613"/>
        <v>7224155.211290203</v>
      </c>
      <c r="AI455" s="535">
        <f t="shared" si="613"/>
        <v>72241552.11290203</v>
      </c>
      <c r="AJ455" s="535">
        <f t="shared" si="613"/>
        <v>144483104.22580412</v>
      </c>
      <c r="AK455" s="497">
        <f t="shared" si="613"/>
        <v>216724656.33870623</v>
      </c>
    </row>
    <row r="456" spans="1:37" ht="11.5" x14ac:dyDescent="0.25">
      <c r="A456" s="1412"/>
      <c r="B456" s="439" t="s">
        <v>259</v>
      </c>
      <c r="C456" s="451" t="s">
        <v>37</v>
      </c>
      <c r="D456" s="493">
        <f t="shared" ref="D456:AK456" si="614">D280</f>
        <v>0</v>
      </c>
      <c r="E456" s="493">
        <f t="shared" si="614"/>
        <v>4932327.2223731149</v>
      </c>
      <c r="F456" s="493">
        <f t="shared" si="614"/>
        <v>4932327.2223731149</v>
      </c>
      <c r="G456" s="493">
        <f t="shared" si="614"/>
        <v>4932327.2223731149</v>
      </c>
      <c r="H456" s="493">
        <f t="shared" si="614"/>
        <v>4932327.2223731149</v>
      </c>
      <c r="I456" s="493">
        <f t="shared" si="614"/>
        <v>4932327.2223731149</v>
      </c>
      <c r="J456" s="493">
        <f t="shared" si="614"/>
        <v>4932327.2223731149</v>
      </c>
      <c r="K456" s="493">
        <f t="shared" si="614"/>
        <v>4932327.2223731149</v>
      </c>
      <c r="L456" s="493">
        <f t="shared" si="614"/>
        <v>4932327.2223731149</v>
      </c>
      <c r="M456" s="493">
        <f t="shared" si="614"/>
        <v>4932327.2223731149</v>
      </c>
      <c r="N456" s="493">
        <f t="shared" si="614"/>
        <v>4932327.2223731149</v>
      </c>
      <c r="O456" s="493">
        <f t="shared" si="614"/>
        <v>4932327.2223731149</v>
      </c>
      <c r="P456" s="493">
        <f t="shared" si="614"/>
        <v>4932327.2223731149</v>
      </c>
      <c r="Q456" s="493">
        <f t="shared" si="614"/>
        <v>4932327.2223731149</v>
      </c>
      <c r="R456" s="493">
        <f t="shared" si="614"/>
        <v>4932327.2223731149</v>
      </c>
      <c r="S456" s="493">
        <f t="shared" si="614"/>
        <v>4932327.2223731149</v>
      </c>
      <c r="T456" s="493">
        <f t="shared" si="614"/>
        <v>4932327.2223731149</v>
      </c>
      <c r="U456" s="493">
        <f t="shared" si="614"/>
        <v>4932327.2223731149</v>
      </c>
      <c r="V456" s="493">
        <f t="shared" si="614"/>
        <v>4932327.2223731149</v>
      </c>
      <c r="W456" s="493">
        <f t="shared" si="614"/>
        <v>4932327.2223731149</v>
      </c>
      <c r="X456" s="493">
        <f t="shared" si="614"/>
        <v>4932327.2223731149</v>
      </c>
      <c r="Y456" s="493">
        <f t="shared" si="614"/>
        <v>4932327.2223731149</v>
      </c>
      <c r="Z456" s="493">
        <f t="shared" si="614"/>
        <v>4932327.2223731149</v>
      </c>
      <c r="AA456" s="493">
        <f t="shared" si="614"/>
        <v>4932327.2223731149</v>
      </c>
      <c r="AB456" s="493">
        <f t="shared" si="614"/>
        <v>4932327.2223731149</v>
      </c>
      <c r="AC456" s="493">
        <f t="shared" si="614"/>
        <v>4932327.2223731149</v>
      </c>
      <c r="AD456" s="493">
        <f t="shared" si="614"/>
        <v>4932327.2223731149</v>
      </c>
      <c r="AE456" s="493">
        <f t="shared" si="614"/>
        <v>4932327.2223731149</v>
      </c>
      <c r="AF456" s="493">
        <f t="shared" si="614"/>
        <v>4932327.2223731149</v>
      </c>
      <c r="AG456" s="493">
        <f t="shared" si="614"/>
        <v>4932327.2223731149</v>
      </c>
      <c r="AH456" s="493">
        <f t="shared" si="614"/>
        <v>4932327.2223731149</v>
      </c>
      <c r="AI456" s="535">
        <f t="shared" si="614"/>
        <v>49323272.223731138</v>
      </c>
      <c r="AJ456" s="535">
        <f t="shared" si="614"/>
        <v>98646544.447462276</v>
      </c>
      <c r="AK456" s="497">
        <f t="shared" si="614"/>
        <v>147969816.67119345</v>
      </c>
    </row>
    <row r="457" spans="1:37" ht="11.5" x14ac:dyDescent="0.25">
      <c r="A457" s="1414"/>
      <c r="B457" s="439" t="s">
        <v>1124</v>
      </c>
      <c r="C457" s="452" t="s">
        <v>37</v>
      </c>
      <c r="D457" s="493">
        <f t="shared" ref="D457:AK457" si="615">D281</f>
        <v>0</v>
      </c>
      <c r="E457" s="493">
        <f t="shared" si="615"/>
        <v>1444831.0422580407</v>
      </c>
      <c r="F457" s="493">
        <f t="shared" si="615"/>
        <v>1444831.0422580407</v>
      </c>
      <c r="G457" s="493">
        <f t="shared" si="615"/>
        <v>1444831.0422580407</v>
      </c>
      <c r="H457" s="493">
        <f t="shared" si="615"/>
        <v>1444831.0422580407</v>
      </c>
      <c r="I457" s="493">
        <f t="shared" si="615"/>
        <v>1444831.0422580407</v>
      </c>
      <c r="J457" s="493">
        <f t="shared" si="615"/>
        <v>1444831.0422580407</v>
      </c>
      <c r="K457" s="493">
        <f t="shared" si="615"/>
        <v>1444831.0422580407</v>
      </c>
      <c r="L457" s="493">
        <f t="shared" si="615"/>
        <v>1444831.0422580407</v>
      </c>
      <c r="M457" s="493">
        <f t="shared" si="615"/>
        <v>1444831.0422580407</v>
      </c>
      <c r="N457" s="493">
        <f t="shared" si="615"/>
        <v>1444831.0422580407</v>
      </c>
      <c r="O457" s="493">
        <f t="shared" si="615"/>
        <v>1444831.0422580407</v>
      </c>
      <c r="P457" s="493">
        <f t="shared" si="615"/>
        <v>1444831.0422580407</v>
      </c>
      <c r="Q457" s="493">
        <f t="shared" si="615"/>
        <v>1444831.0422580407</v>
      </c>
      <c r="R457" s="493">
        <f t="shared" si="615"/>
        <v>1444831.0422580407</v>
      </c>
      <c r="S457" s="493">
        <f t="shared" si="615"/>
        <v>1444831.0422580407</v>
      </c>
      <c r="T457" s="493">
        <f t="shared" si="615"/>
        <v>1444831.0422580407</v>
      </c>
      <c r="U457" s="493">
        <f t="shared" si="615"/>
        <v>1444831.0422580407</v>
      </c>
      <c r="V457" s="493">
        <f t="shared" si="615"/>
        <v>1444831.0422580407</v>
      </c>
      <c r="W457" s="493">
        <f t="shared" si="615"/>
        <v>1444831.0422580407</v>
      </c>
      <c r="X457" s="493">
        <f t="shared" si="615"/>
        <v>1444831.0422580407</v>
      </c>
      <c r="Y457" s="493">
        <f t="shared" si="615"/>
        <v>1444831.0422580407</v>
      </c>
      <c r="Z457" s="493">
        <f t="shared" si="615"/>
        <v>1444831.0422580407</v>
      </c>
      <c r="AA457" s="493">
        <f t="shared" si="615"/>
        <v>1444831.0422580407</v>
      </c>
      <c r="AB457" s="493">
        <f t="shared" si="615"/>
        <v>1444831.0422580407</v>
      </c>
      <c r="AC457" s="493">
        <f t="shared" si="615"/>
        <v>1444831.0422580407</v>
      </c>
      <c r="AD457" s="493">
        <f t="shared" si="615"/>
        <v>1444831.0422580407</v>
      </c>
      <c r="AE457" s="493">
        <f t="shared" si="615"/>
        <v>1444831.0422580407</v>
      </c>
      <c r="AF457" s="493">
        <f t="shared" si="615"/>
        <v>1444831.0422580407</v>
      </c>
      <c r="AG457" s="493">
        <f t="shared" si="615"/>
        <v>1444831.0422580407</v>
      </c>
      <c r="AH457" s="493">
        <f t="shared" si="615"/>
        <v>1444831.0422580407</v>
      </c>
      <c r="AI457" s="535">
        <f t="shared" si="615"/>
        <v>14448310.422580408</v>
      </c>
      <c r="AJ457" s="535">
        <f t="shared" si="615"/>
        <v>28896620.845160801</v>
      </c>
      <c r="AK457" s="497">
        <f t="shared" si="615"/>
        <v>43344931.267741196</v>
      </c>
    </row>
    <row r="458" spans="1:37" ht="11.5" x14ac:dyDescent="0.25">
      <c r="A458" s="1412"/>
      <c r="B458" s="439" t="s">
        <v>254</v>
      </c>
      <c r="C458" s="451" t="s">
        <v>37</v>
      </c>
      <c r="D458" s="493">
        <f t="shared" ref="D458:AK458" si="616">D282</f>
        <v>0</v>
      </c>
      <c r="E458" s="493">
        <f t="shared" si="616"/>
        <v>357598.01223025657</v>
      </c>
      <c r="F458" s="493">
        <f t="shared" si="616"/>
        <v>357598.01223025657</v>
      </c>
      <c r="G458" s="493">
        <f t="shared" si="616"/>
        <v>357598.01223025657</v>
      </c>
      <c r="H458" s="493">
        <f t="shared" si="616"/>
        <v>357598.01223025657</v>
      </c>
      <c r="I458" s="493">
        <f t="shared" si="616"/>
        <v>357598.01223025657</v>
      </c>
      <c r="J458" s="493">
        <f t="shared" si="616"/>
        <v>357598.01223025657</v>
      </c>
      <c r="K458" s="493">
        <f t="shared" si="616"/>
        <v>357598.01223025657</v>
      </c>
      <c r="L458" s="493">
        <f t="shared" si="616"/>
        <v>357598.01223025657</v>
      </c>
      <c r="M458" s="493">
        <f t="shared" si="616"/>
        <v>357598.01223025657</v>
      </c>
      <c r="N458" s="493">
        <f t="shared" si="616"/>
        <v>357598.01223025657</v>
      </c>
      <c r="O458" s="493">
        <f t="shared" si="616"/>
        <v>357598.01223025657</v>
      </c>
      <c r="P458" s="493">
        <f t="shared" si="616"/>
        <v>357598.01223025657</v>
      </c>
      <c r="Q458" s="493">
        <f t="shared" si="616"/>
        <v>357598.01223025657</v>
      </c>
      <c r="R458" s="493">
        <f t="shared" si="616"/>
        <v>357598.01223025657</v>
      </c>
      <c r="S458" s="493">
        <f t="shared" si="616"/>
        <v>357598.01223025657</v>
      </c>
      <c r="T458" s="493">
        <f t="shared" si="616"/>
        <v>357598.01223025657</v>
      </c>
      <c r="U458" s="493">
        <f t="shared" si="616"/>
        <v>357598.01223025657</v>
      </c>
      <c r="V458" s="493">
        <f t="shared" si="616"/>
        <v>357598.01223025657</v>
      </c>
      <c r="W458" s="493">
        <f t="shared" si="616"/>
        <v>357598.01223025657</v>
      </c>
      <c r="X458" s="493">
        <f t="shared" si="616"/>
        <v>357598.01223025657</v>
      </c>
      <c r="Y458" s="493">
        <f t="shared" si="616"/>
        <v>357598.01223025657</v>
      </c>
      <c r="Z458" s="493">
        <f t="shared" si="616"/>
        <v>357598.01223025657</v>
      </c>
      <c r="AA458" s="493">
        <f t="shared" si="616"/>
        <v>357598.01223025657</v>
      </c>
      <c r="AB458" s="493">
        <f t="shared" si="616"/>
        <v>357598.01223025657</v>
      </c>
      <c r="AC458" s="493">
        <f t="shared" si="616"/>
        <v>357598.01223025657</v>
      </c>
      <c r="AD458" s="493">
        <f t="shared" si="616"/>
        <v>357598.01223025657</v>
      </c>
      <c r="AE458" s="493">
        <f t="shared" si="616"/>
        <v>357598.01223025657</v>
      </c>
      <c r="AF458" s="493">
        <f t="shared" si="616"/>
        <v>357598.01223025657</v>
      </c>
      <c r="AG458" s="493">
        <f t="shared" si="616"/>
        <v>357598.01223025657</v>
      </c>
      <c r="AH458" s="493">
        <f t="shared" si="616"/>
        <v>357598.01223025657</v>
      </c>
      <c r="AI458" s="535">
        <f t="shared" si="616"/>
        <v>3575980.1223025657</v>
      </c>
      <c r="AJ458" s="535">
        <f t="shared" si="616"/>
        <v>7151960.2446051314</v>
      </c>
      <c r="AK458" s="497">
        <f t="shared" si="616"/>
        <v>10727940.366907697</v>
      </c>
    </row>
    <row r="459" spans="1:37" ht="11.5" x14ac:dyDescent="0.25">
      <c r="A459" s="1412"/>
      <c r="B459" s="439" t="s">
        <v>255</v>
      </c>
      <c r="C459" s="452" t="s">
        <v>37</v>
      </c>
      <c r="D459" s="493">
        <f t="shared" ref="D459:AK459" si="617">D283</f>
        <v>0</v>
      </c>
      <c r="E459" s="493">
        <f t="shared" si="617"/>
        <v>489398.93442879053</v>
      </c>
      <c r="F459" s="493">
        <f t="shared" si="617"/>
        <v>489398.93442879053</v>
      </c>
      <c r="G459" s="493">
        <f t="shared" si="617"/>
        <v>489398.93442879053</v>
      </c>
      <c r="H459" s="493">
        <f t="shared" si="617"/>
        <v>489398.93442879053</v>
      </c>
      <c r="I459" s="493">
        <f t="shared" si="617"/>
        <v>489398.93442879053</v>
      </c>
      <c r="J459" s="493">
        <f t="shared" si="617"/>
        <v>489398.93442879053</v>
      </c>
      <c r="K459" s="493">
        <f t="shared" si="617"/>
        <v>489398.93442879053</v>
      </c>
      <c r="L459" s="493">
        <f t="shared" si="617"/>
        <v>489398.93442879053</v>
      </c>
      <c r="M459" s="493">
        <f t="shared" si="617"/>
        <v>489398.93442879053</v>
      </c>
      <c r="N459" s="493">
        <f t="shared" si="617"/>
        <v>489398.93442879053</v>
      </c>
      <c r="O459" s="493">
        <f t="shared" si="617"/>
        <v>489398.93442879053</v>
      </c>
      <c r="P459" s="493">
        <f t="shared" si="617"/>
        <v>489398.93442879053</v>
      </c>
      <c r="Q459" s="493">
        <f t="shared" si="617"/>
        <v>489398.93442879053</v>
      </c>
      <c r="R459" s="493">
        <f t="shared" si="617"/>
        <v>489398.93442879053</v>
      </c>
      <c r="S459" s="493">
        <f t="shared" si="617"/>
        <v>489398.93442879053</v>
      </c>
      <c r="T459" s="493">
        <f t="shared" si="617"/>
        <v>489398.93442879053</v>
      </c>
      <c r="U459" s="493">
        <f t="shared" si="617"/>
        <v>489398.93442879053</v>
      </c>
      <c r="V459" s="493">
        <f t="shared" si="617"/>
        <v>489398.93442879053</v>
      </c>
      <c r="W459" s="493">
        <f t="shared" si="617"/>
        <v>489398.93442879053</v>
      </c>
      <c r="X459" s="493">
        <f t="shared" si="617"/>
        <v>489398.93442879053</v>
      </c>
      <c r="Y459" s="493">
        <f t="shared" si="617"/>
        <v>489398.93442879053</v>
      </c>
      <c r="Z459" s="493">
        <f t="shared" si="617"/>
        <v>489398.93442879053</v>
      </c>
      <c r="AA459" s="493">
        <f t="shared" si="617"/>
        <v>489398.93442879053</v>
      </c>
      <c r="AB459" s="493">
        <f t="shared" si="617"/>
        <v>489398.93442879053</v>
      </c>
      <c r="AC459" s="493">
        <f t="shared" si="617"/>
        <v>489398.93442879053</v>
      </c>
      <c r="AD459" s="493">
        <f t="shared" si="617"/>
        <v>489398.93442879053</v>
      </c>
      <c r="AE459" s="493">
        <f t="shared" si="617"/>
        <v>489398.93442879053</v>
      </c>
      <c r="AF459" s="493">
        <f t="shared" si="617"/>
        <v>489398.93442879053</v>
      </c>
      <c r="AG459" s="493">
        <f t="shared" si="617"/>
        <v>489398.93442879053</v>
      </c>
      <c r="AH459" s="493">
        <f t="shared" si="617"/>
        <v>489398.93442879053</v>
      </c>
      <c r="AI459" s="535">
        <f t="shared" si="617"/>
        <v>4893989.3442879049</v>
      </c>
      <c r="AJ459" s="535">
        <f t="shared" si="617"/>
        <v>9787978.6885758098</v>
      </c>
      <c r="AK459" s="497">
        <f t="shared" si="617"/>
        <v>14681968.032863716</v>
      </c>
    </row>
    <row r="460" spans="1:37" ht="11.5" x14ac:dyDescent="0.25">
      <c r="A460" s="1415" t="s">
        <v>258</v>
      </c>
      <c r="B460" s="489"/>
      <c r="C460" s="361" t="s">
        <v>37</v>
      </c>
      <c r="D460" s="495">
        <f t="shared" ref="D460:AK460" si="618">D284</f>
        <v>0</v>
      </c>
      <c r="E460" s="495">
        <f t="shared" si="618"/>
        <v>7224155.211290203</v>
      </c>
      <c r="F460" s="495">
        <f t="shared" si="618"/>
        <v>7224155.211290203</v>
      </c>
      <c r="G460" s="495">
        <f t="shared" si="618"/>
        <v>7224155.211290203</v>
      </c>
      <c r="H460" s="495">
        <f t="shared" si="618"/>
        <v>7224155.211290203</v>
      </c>
      <c r="I460" s="495">
        <f t="shared" si="618"/>
        <v>7224155.211290203</v>
      </c>
      <c r="J460" s="495">
        <f t="shared" si="618"/>
        <v>7224155.211290203</v>
      </c>
      <c r="K460" s="495">
        <f t="shared" si="618"/>
        <v>7224155.211290203</v>
      </c>
      <c r="L460" s="495">
        <f t="shared" si="618"/>
        <v>7224155.211290203</v>
      </c>
      <c r="M460" s="495">
        <f t="shared" si="618"/>
        <v>7224155.211290203</v>
      </c>
      <c r="N460" s="495">
        <f t="shared" si="618"/>
        <v>7224155.211290203</v>
      </c>
      <c r="O460" s="495">
        <f t="shared" si="618"/>
        <v>7224155.211290203</v>
      </c>
      <c r="P460" s="495">
        <f t="shared" si="618"/>
        <v>7224155.211290203</v>
      </c>
      <c r="Q460" s="495">
        <f t="shared" si="618"/>
        <v>7224155.211290203</v>
      </c>
      <c r="R460" s="495">
        <f t="shared" si="618"/>
        <v>7224155.211290203</v>
      </c>
      <c r="S460" s="495">
        <f t="shared" si="618"/>
        <v>7224155.211290203</v>
      </c>
      <c r="T460" s="495">
        <f t="shared" si="618"/>
        <v>7224155.211290203</v>
      </c>
      <c r="U460" s="495">
        <f t="shared" si="618"/>
        <v>7224155.211290203</v>
      </c>
      <c r="V460" s="495">
        <f t="shared" si="618"/>
        <v>7224155.211290203</v>
      </c>
      <c r="W460" s="495">
        <f t="shared" si="618"/>
        <v>7224155.211290203</v>
      </c>
      <c r="X460" s="495">
        <f t="shared" si="618"/>
        <v>7224155.211290203</v>
      </c>
      <c r="Y460" s="495">
        <f t="shared" si="618"/>
        <v>7224155.211290203</v>
      </c>
      <c r="Z460" s="495">
        <f t="shared" si="618"/>
        <v>7224155.211290203</v>
      </c>
      <c r="AA460" s="495">
        <f t="shared" si="618"/>
        <v>7224155.211290203</v>
      </c>
      <c r="AB460" s="495">
        <f t="shared" si="618"/>
        <v>7224155.211290203</v>
      </c>
      <c r="AC460" s="495">
        <f t="shared" si="618"/>
        <v>7224155.211290203</v>
      </c>
      <c r="AD460" s="495">
        <f t="shared" si="618"/>
        <v>7224155.211290203</v>
      </c>
      <c r="AE460" s="495">
        <f t="shared" si="618"/>
        <v>7224155.211290203</v>
      </c>
      <c r="AF460" s="495">
        <f t="shared" si="618"/>
        <v>7224155.211290203</v>
      </c>
      <c r="AG460" s="495">
        <f t="shared" si="618"/>
        <v>7224155.211290203</v>
      </c>
      <c r="AH460" s="495">
        <f t="shared" si="618"/>
        <v>7224155.211290203</v>
      </c>
      <c r="AI460" s="537">
        <f t="shared" si="618"/>
        <v>72241552.11290203</v>
      </c>
      <c r="AJ460" s="537">
        <f t="shared" si="618"/>
        <v>144483104.22580412</v>
      </c>
      <c r="AK460" s="538">
        <f t="shared" si="618"/>
        <v>216724656.33870623</v>
      </c>
    </row>
    <row r="461" spans="1:37" ht="11.5" x14ac:dyDescent="0.25">
      <c r="A461" s="1409" t="s">
        <v>1089</v>
      </c>
      <c r="B461" s="439"/>
      <c r="C461" s="452" t="s">
        <v>1090</v>
      </c>
      <c r="D461" s="493">
        <f t="shared" ref="D461:AK461" si="619">SUM(D451,D453:D454,D456,D458:D459)</f>
        <v>0</v>
      </c>
      <c r="E461" s="493">
        <f t="shared" si="619"/>
        <v>52013917.521289453</v>
      </c>
      <c r="F461" s="493">
        <f t="shared" si="619"/>
        <v>52013917.521289453</v>
      </c>
      <c r="G461" s="493">
        <f t="shared" si="619"/>
        <v>52013917.521289453</v>
      </c>
      <c r="H461" s="493">
        <f t="shared" si="619"/>
        <v>52013917.521289453</v>
      </c>
      <c r="I461" s="493">
        <f t="shared" si="619"/>
        <v>52013917.521289453</v>
      </c>
      <c r="J461" s="493">
        <f t="shared" si="619"/>
        <v>52013917.521289453</v>
      </c>
      <c r="K461" s="493">
        <f t="shared" si="619"/>
        <v>52013917.521289453</v>
      </c>
      <c r="L461" s="493">
        <f t="shared" si="619"/>
        <v>52013917.521289453</v>
      </c>
      <c r="M461" s="493">
        <f t="shared" si="619"/>
        <v>52013917.521289453</v>
      </c>
      <c r="N461" s="493">
        <f t="shared" si="619"/>
        <v>52013917.521289453</v>
      </c>
      <c r="O461" s="493">
        <f t="shared" si="619"/>
        <v>52013917.521289453</v>
      </c>
      <c r="P461" s="493">
        <f t="shared" si="619"/>
        <v>52013917.521289453</v>
      </c>
      <c r="Q461" s="493">
        <f t="shared" si="619"/>
        <v>52013917.521289453</v>
      </c>
      <c r="R461" s="493">
        <f t="shared" si="619"/>
        <v>52013917.521289453</v>
      </c>
      <c r="S461" s="493">
        <f t="shared" si="619"/>
        <v>52013917.521289453</v>
      </c>
      <c r="T461" s="493">
        <f t="shared" si="619"/>
        <v>52013917.521289453</v>
      </c>
      <c r="U461" s="493">
        <f t="shared" si="619"/>
        <v>52013917.521289453</v>
      </c>
      <c r="V461" s="493">
        <f t="shared" si="619"/>
        <v>52013917.521289453</v>
      </c>
      <c r="W461" s="493">
        <f t="shared" si="619"/>
        <v>52013917.521289453</v>
      </c>
      <c r="X461" s="493">
        <f t="shared" si="619"/>
        <v>52013917.521289453</v>
      </c>
      <c r="Y461" s="493">
        <f t="shared" si="619"/>
        <v>52013917.521289453</v>
      </c>
      <c r="Z461" s="493">
        <f t="shared" si="619"/>
        <v>52013917.521289453</v>
      </c>
      <c r="AA461" s="493">
        <f t="shared" si="619"/>
        <v>52013917.521289453</v>
      </c>
      <c r="AB461" s="493">
        <f t="shared" si="619"/>
        <v>52013917.521289453</v>
      </c>
      <c r="AC461" s="493">
        <f t="shared" si="619"/>
        <v>52013917.521289453</v>
      </c>
      <c r="AD461" s="493">
        <f t="shared" si="619"/>
        <v>52013917.521289453</v>
      </c>
      <c r="AE461" s="493">
        <f t="shared" si="619"/>
        <v>52013917.521289453</v>
      </c>
      <c r="AF461" s="493">
        <f t="shared" si="619"/>
        <v>52013917.521289453</v>
      </c>
      <c r="AG461" s="493">
        <f t="shared" si="619"/>
        <v>52013917.521289453</v>
      </c>
      <c r="AH461" s="493">
        <f t="shared" si="619"/>
        <v>52013917.521289453</v>
      </c>
      <c r="AI461" s="535">
        <f t="shared" si="619"/>
        <v>520139175.21289456</v>
      </c>
      <c r="AJ461" s="535">
        <f t="shared" si="619"/>
        <v>1040278350.4257891</v>
      </c>
      <c r="AK461" s="497">
        <f t="shared" si="619"/>
        <v>1560417525.6386833</v>
      </c>
    </row>
    <row r="462" spans="1:37" ht="11.5" x14ac:dyDescent="0.25">
      <c r="A462" s="1410" t="s">
        <v>1091</v>
      </c>
      <c r="B462" s="1403"/>
      <c r="C462" s="1404" t="s">
        <v>37</v>
      </c>
      <c r="D462" s="1397">
        <f t="shared" ref="D462:AK462" si="620">SUM(D460,D457,D452)</f>
        <v>0</v>
      </c>
      <c r="E462" s="1397">
        <f t="shared" si="620"/>
        <v>20227634.59161257</v>
      </c>
      <c r="F462" s="1397">
        <f t="shared" si="620"/>
        <v>20227634.59161257</v>
      </c>
      <c r="G462" s="1397">
        <f t="shared" si="620"/>
        <v>20227634.59161257</v>
      </c>
      <c r="H462" s="1397">
        <f t="shared" si="620"/>
        <v>20227634.59161257</v>
      </c>
      <c r="I462" s="1397">
        <f t="shared" si="620"/>
        <v>20227634.59161257</v>
      </c>
      <c r="J462" s="1397">
        <f t="shared" si="620"/>
        <v>20227634.59161257</v>
      </c>
      <c r="K462" s="1397">
        <f t="shared" si="620"/>
        <v>20227634.59161257</v>
      </c>
      <c r="L462" s="1397">
        <f t="shared" si="620"/>
        <v>20227634.59161257</v>
      </c>
      <c r="M462" s="1397">
        <f t="shared" si="620"/>
        <v>20227634.59161257</v>
      </c>
      <c r="N462" s="1397">
        <f t="shared" si="620"/>
        <v>20227634.59161257</v>
      </c>
      <c r="O462" s="1397">
        <f t="shared" si="620"/>
        <v>20227634.59161257</v>
      </c>
      <c r="P462" s="1397">
        <f t="shared" si="620"/>
        <v>20227634.59161257</v>
      </c>
      <c r="Q462" s="1397">
        <f t="shared" si="620"/>
        <v>20227634.59161257</v>
      </c>
      <c r="R462" s="1397">
        <f t="shared" si="620"/>
        <v>20227634.59161257</v>
      </c>
      <c r="S462" s="1397">
        <f t="shared" si="620"/>
        <v>20227634.59161257</v>
      </c>
      <c r="T462" s="1397">
        <f t="shared" si="620"/>
        <v>20227634.59161257</v>
      </c>
      <c r="U462" s="1397">
        <f t="shared" si="620"/>
        <v>20227634.59161257</v>
      </c>
      <c r="V462" s="1397">
        <f t="shared" si="620"/>
        <v>20227634.59161257</v>
      </c>
      <c r="W462" s="1397">
        <f t="shared" si="620"/>
        <v>20227634.59161257</v>
      </c>
      <c r="X462" s="1397">
        <f t="shared" si="620"/>
        <v>20227634.59161257</v>
      </c>
      <c r="Y462" s="1397">
        <f t="shared" si="620"/>
        <v>20227634.59161257</v>
      </c>
      <c r="Z462" s="1397">
        <f t="shared" si="620"/>
        <v>20227634.59161257</v>
      </c>
      <c r="AA462" s="1397">
        <f t="shared" si="620"/>
        <v>20227634.59161257</v>
      </c>
      <c r="AB462" s="1397">
        <f t="shared" si="620"/>
        <v>20227634.59161257</v>
      </c>
      <c r="AC462" s="1397">
        <f t="shared" si="620"/>
        <v>20227634.59161257</v>
      </c>
      <c r="AD462" s="1397">
        <f t="shared" si="620"/>
        <v>20227634.59161257</v>
      </c>
      <c r="AE462" s="1397">
        <f t="shared" si="620"/>
        <v>20227634.59161257</v>
      </c>
      <c r="AF462" s="1397">
        <f t="shared" si="620"/>
        <v>20227634.59161257</v>
      </c>
      <c r="AG462" s="1397">
        <f t="shared" si="620"/>
        <v>20227634.59161257</v>
      </c>
      <c r="AH462" s="1397">
        <f t="shared" si="620"/>
        <v>20227634.59161257</v>
      </c>
      <c r="AI462" s="1405">
        <f t="shared" si="620"/>
        <v>202276345.91612571</v>
      </c>
      <c r="AJ462" s="1405">
        <f t="shared" si="620"/>
        <v>404552691.83225131</v>
      </c>
      <c r="AK462" s="1406">
        <f t="shared" si="620"/>
        <v>606829037.74837697</v>
      </c>
    </row>
    <row r="463" spans="1:37" x14ac:dyDescent="0.2">
      <c r="A463" s="454" t="s">
        <v>276</v>
      </c>
      <c r="B463" s="489"/>
      <c r="C463" s="453" t="s">
        <v>37</v>
      </c>
      <c r="D463" s="495">
        <f t="shared" ref="D463" si="621">SUM(D462,D461)</f>
        <v>0</v>
      </c>
      <c r="E463" s="495">
        <f>SUM(E462,E461)</f>
        <v>72241552.112902015</v>
      </c>
      <c r="F463" s="495">
        <f t="shared" ref="F463" si="622">SUM(F462,F461)</f>
        <v>72241552.112902015</v>
      </c>
      <c r="G463" s="495">
        <f t="shared" ref="G463" si="623">SUM(G462,G461)</f>
        <v>72241552.112902015</v>
      </c>
      <c r="H463" s="495">
        <f t="shared" ref="H463" si="624">SUM(H462,H461)</f>
        <v>72241552.112902015</v>
      </c>
      <c r="I463" s="495">
        <f t="shared" ref="I463" si="625">SUM(I462,I461)</f>
        <v>72241552.112902015</v>
      </c>
      <c r="J463" s="495">
        <f t="shared" ref="J463" si="626">SUM(J462,J461)</f>
        <v>72241552.112902015</v>
      </c>
      <c r="K463" s="495">
        <f t="shared" ref="K463" si="627">SUM(K462,K461)</f>
        <v>72241552.112902015</v>
      </c>
      <c r="L463" s="495">
        <f t="shared" ref="L463" si="628">SUM(L462,L461)</f>
        <v>72241552.112902015</v>
      </c>
      <c r="M463" s="495">
        <f t="shared" ref="M463" si="629">SUM(M462,M461)</f>
        <v>72241552.112902015</v>
      </c>
      <c r="N463" s="495">
        <f t="shared" ref="N463" si="630">SUM(N462,N461)</f>
        <v>72241552.112902015</v>
      </c>
      <c r="O463" s="495">
        <f t="shared" ref="O463" si="631">SUM(O462,O461)</f>
        <v>72241552.112902015</v>
      </c>
      <c r="P463" s="495">
        <f t="shared" ref="P463" si="632">SUM(P462,P461)</f>
        <v>72241552.112902015</v>
      </c>
      <c r="Q463" s="495">
        <f t="shared" ref="Q463" si="633">SUM(Q462,Q461)</f>
        <v>72241552.112902015</v>
      </c>
      <c r="R463" s="495">
        <f t="shared" ref="R463" si="634">SUM(R462,R461)</f>
        <v>72241552.112902015</v>
      </c>
      <c r="S463" s="495">
        <f t="shared" ref="S463" si="635">SUM(S462,S461)</f>
        <v>72241552.112902015</v>
      </c>
      <c r="T463" s="495">
        <f t="shared" ref="T463" si="636">SUM(T462,T461)</f>
        <v>72241552.112902015</v>
      </c>
      <c r="U463" s="495">
        <f t="shared" ref="U463" si="637">SUM(U462,U461)</f>
        <v>72241552.112902015</v>
      </c>
      <c r="V463" s="495">
        <f t="shared" ref="V463" si="638">SUM(V462,V461)</f>
        <v>72241552.112902015</v>
      </c>
      <c r="W463" s="495">
        <f t="shared" ref="W463" si="639">SUM(W462,W461)</f>
        <v>72241552.112902015</v>
      </c>
      <c r="X463" s="495">
        <f t="shared" ref="X463" si="640">SUM(X462,X461)</f>
        <v>72241552.112902015</v>
      </c>
      <c r="Y463" s="495">
        <f t="shared" ref="Y463" si="641">SUM(Y462,Y461)</f>
        <v>72241552.112902015</v>
      </c>
      <c r="Z463" s="495">
        <f t="shared" ref="Z463" si="642">SUM(Z462,Z461)</f>
        <v>72241552.112902015</v>
      </c>
      <c r="AA463" s="495">
        <f t="shared" ref="AA463" si="643">SUM(AA462,AA461)</f>
        <v>72241552.112902015</v>
      </c>
      <c r="AB463" s="495">
        <f t="shared" ref="AB463" si="644">SUM(AB462,AB461)</f>
        <v>72241552.112902015</v>
      </c>
      <c r="AC463" s="495">
        <f t="shared" ref="AC463" si="645">SUM(AC462,AC461)</f>
        <v>72241552.112902015</v>
      </c>
      <c r="AD463" s="495">
        <f t="shared" ref="AD463" si="646">SUM(AD462,AD461)</f>
        <v>72241552.112902015</v>
      </c>
      <c r="AE463" s="495">
        <f t="shared" ref="AE463" si="647">SUM(AE462,AE461)</f>
        <v>72241552.112902015</v>
      </c>
      <c r="AF463" s="495">
        <f t="shared" ref="AF463" si="648">SUM(AF462,AF461)</f>
        <v>72241552.112902015</v>
      </c>
      <c r="AG463" s="495">
        <f t="shared" ref="AG463" si="649">SUM(AG462,AG461)</f>
        <v>72241552.112902015</v>
      </c>
      <c r="AH463" s="495">
        <f t="shared" ref="AH463" si="650">SUM(AH462,AH461)</f>
        <v>72241552.112902015</v>
      </c>
      <c r="AI463" s="591">
        <f t="shared" ref="AI463" si="651">SUM(AI462,AI461)</f>
        <v>722415521.12902021</v>
      </c>
      <c r="AJ463" s="591">
        <f t="shared" ref="AJ463" si="652">SUM(AJ462,AJ461)</f>
        <v>1444831042.2580404</v>
      </c>
      <c r="AK463" s="591">
        <f t="shared" ref="AK463" si="653">SUM(AK462,AK461)</f>
        <v>2167246563.3870602</v>
      </c>
    </row>
    <row r="464" spans="1:37" x14ac:dyDescent="0.2">
      <c r="A464" s="465" t="s">
        <v>206</v>
      </c>
      <c r="B464" s="439"/>
      <c r="C464" s="452"/>
      <c r="D464" s="493"/>
      <c r="E464" s="1400"/>
      <c r="F464" s="493"/>
      <c r="G464" s="493"/>
      <c r="H464" s="493"/>
      <c r="I464" s="493"/>
      <c r="J464" s="493"/>
      <c r="K464" s="493"/>
      <c r="L464" s="493"/>
      <c r="M464" s="493"/>
      <c r="N464" s="493"/>
      <c r="O464" s="493"/>
      <c r="P464" s="493"/>
      <c r="Q464" s="493"/>
      <c r="R464" s="493"/>
      <c r="S464" s="493"/>
      <c r="T464" s="493"/>
      <c r="U464" s="493"/>
      <c r="V464" s="493"/>
      <c r="W464" s="493"/>
      <c r="X464" s="493"/>
      <c r="Y464" s="493"/>
      <c r="Z464" s="493"/>
      <c r="AA464" s="493"/>
      <c r="AB464" s="493"/>
      <c r="AC464" s="493"/>
      <c r="AD464" s="493"/>
      <c r="AE464" s="493"/>
      <c r="AF464" s="493"/>
      <c r="AG464" s="493"/>
      <c r="AH464" s="493"/>
      <c r="AI464" s="503"/>
      <c r="AJ464" s="503"/>
      <c r="AK464" s="503"/>
    </row>
    <row r="465" spans="1:37" x14ac:dyDescent="0.2">
      <c r="A465" s="439" t="s">
        <v>207</v>
      </c>
      <c r="B465" s="465"/>
      <c r="C465" s="452"/>
      <c r="D465" s="493"/>
      <c r="E465" s="1400"/>
      <c r="F465" s="493"/>
      <c r="G465" s="493"/>
      <c r="H465" s="493"/>
      <c r="I465" s="493"/>
      <c r="J465" s="493"/>
      <c r="K465" s="493"/>
      <c r="L465" s="493"/>
      <c r="M465" s="493"/>
      <c r="N465" s="493"/>
      <c r="O465" s="493"/>
      <c r="P465" s="493"/>
      <c r="Q465" s="493"/>
      <c r="R465" s="493"/>
      <c r="S465" s="493"/>
      <c r="T465" s="493"/>
      <c r="U465" s="493"/>
      <c r="V465" s="493"/>
      <c r="W465" s="493"/>
      <c r="X465" s="493"/>
      <c r="Y465" s="493"/>
      <c r="Z465" s="493"/>
      <c r="AA465" s="493"/>
      <c r="AB465" s="493"/>
      <c r="AC465" s="493"/>
      <c r="AD465" s="493"/>
      <c r="AE465" s="493"/>
      <c r="AF465" s="493"/>
      <c r="AG465" s="493"/>
      <c r="AH465" s="493"/>
      <c r="AI465" s="503"/>
      <c r="AJ465" s="503"/>
      <c r="AK465" s="503"/>
    </row>
    <row r="466" spans="1:37" x14ac:dyDescent="0.2">
      <c r="A466" s="491"/>
      <c r="B466" s="439" t="s">
        <v>207</v>
      </c>
      <c r="C466" s="452" t="s">
        <v>37</v>
      </c>
      <c r="D466" s="493">
        <f t="shared" ref="D466:AH466" si="654">D378</f>
        <v>0</v>
      </c>
      <c r="E466" s="1400">
        <f t="shared" si="654"/>
        <v>0</v>
      </c>
      <c r="F466" s="493">
        <f t="shared" si="654"/>
        <v>0</v>
      </c>
      <c r="G466" s="493">
        <f t="shared" si="654"/>
        <v>0</v>
      </c>
      <c r="H466" s="493">
        <f t="shared" si="654"/>
        <v>0</v>
      </c>
      <c r="I466" s="493">
        <f t="shared" si="654"/>
        <v>0</v>
      </c>
      <c r="J466" s="493">
        <f t="shared" si="654"/>
        <v>0</v>
      </c>
      <c r="K466" s="493">
        <f t="shared" si="654"/>
        <v>0</v>
      </c>
      <c r="L466" s="493">
        <f t="shared" si="654"/>
        <v>0</v>
      </c>
      <c r="M466" s="493">
        <f t="shared" si="654"/>
        <v>0</v>
      </c>
      <c r="N466" s="493">
        <f t="shared" si="654"/>
        <v>0</v>
      </c>
      <c r="O466" s="493">
        <f t="shared" si="654"/>
        <v>0</v>
      </c>
      <c r="P466" s="493">
        <f t="shared" si="654"/>
        <v>0</v>
      </c>
      <c r="Q466" s="493">
        <f t="shared" si="654"/>
        <v>0</v>
      </c>
      <c r="R466" s="493">
        <f t="shared" si="654"/>
        <v>0</v>
      </c>
      <c r="S466" s="493">
        <f t="shared" si="654"/>
        <v>0</v>
      </c>
      <c r="T466" s="493">
        <f t="shared" si="654"/>
        <v>0</v>
      </c>
      <c r="U466" s="493">
        <f t="shared" si="654"/>
        <v>0</v>
      </c>
      <c r="V466" s="493">
        <f t="shared" si="654"/>
        <v>0</v>
      </c>
      <c r="W466" s="493">
        <f t="shared" si="654"/>
        <v>0</v>
      </c>
      <c r="X466" s="493">
        <f t="shared" si="654"/>
        <v>0</v>
      </c>
      <c r="Y466" s="493">
        <f t="shared" si="654"/>
        <v>0</v>
      </c>
      <c r="Z466" s="493">
        <f t="shared" si="654"/>
        <v>0</v>
      </c>
      <c r="AA466" s="493">
        <f t="shared" si="654"/>
        <v>0</v>
      </c>
      <c r="AB466" s="493">
        <f t="shared" si="654"/>
        <v>0</v>
      </c>
      <c r="AC466" s="493">
        <f t="shared" si="654"/>
        <v>0</v>
      </c>
      <c r="AD466" s="493">
        <f t="shared" si="654"/>
        <v>0</v>
      </c>
      <c r="AE466" s="493">
        <f t="shared" si="654"/>
        <v>0</v>
      </c>
      <c r="AF466" s="493">
        <f t="shared" si="654"/>
        <v>0</v>
      </c>
      <c r="AG466" s="493">
        <f t="shared" si="654"/>
        <v>0</v>
      </c>
      <c r="AH466" s="493">
        <f t="shared" si="654"/>
        <v>0</v>
      </c>
      <c r="AI466" s="503">
        <f t="shared" ref="AI466:AI479" si="655">SUM(D466:N466)</f>
        <v>0</v>
      </c>
      <c r="AJ466" s="503">
        <f t="shared" ref="AJ466:AJ479" si="656">SUM(D466:X466)</f>
        <v>0</v>
      </c>
      <c r="AK466" s="503">
        <f t="shared" ref="AK466:AK479" si="657">SUM(D466:AH466)</f>
        <v>0</v>
      </c>
    </row>
    <row r="467" spans="1:37" x14ac:dyDescent="0.2">
      <c r="A467" s="491"/>
      <c r="B467" s="439" t="s">
        <v>269</v>
      </c>
      <c r="C467" s="452" t="s">
        <v>37</v>
      </c>
      <c r="D467" s="493">
        <f t="shared" ref="D467:AH467" si="658">D379</f>
        <v>0</v>
      </c>
      <c r="E467" s="1400">
        <f t="shared" si="658"/>
        <v>0</v>
      </c>
      <c r="F467" s="493">
        <f t="shared" si="658"/>
        <v>0</v>
      </c>
      <c r="G467" s="493">
        <f t="shared" si="658"/>
        <v>0</v>
      </c>
      <c r="H467" s="493">
        <f t="shared" si="658"/>
        <v>0</v>
      </c>
      <c r="I467" s="493">
        <f t="shared" si="658"/>
        <v>0</v>
      </c>
      <c r="J467" s="493">
        <f t="shared" si="658"/>
        <v>0</v>
      </c>
      <c r="K467" s="493">
        <f t="shared" si="658"/>
        <v>0</v>
      </c>
      <c r="L467" s="493">
        <f t="shared" si="658"/>
        <v>0</v>
      </c>
      <c r="M467" s="493">
        <f t="shared" si="658"/>
        <v>0</v>
      </c>
      <c r="N467" s="493">
        <f t="shared" si="658"/>
        <v>0</v>
      </c>
      <c r="O467" s="493">
        <f t="shared" si="658"/>
        <v>0</v>
      </c>
      <c r="P467" s="493">
        <f t="shared" si="658"/>
        <v>0</v>
      </c>
      <c r="Q467" s="493">
        <f t="shared" si="658"/>
        <v>0</v>
      </c>
      <c r="R467" s="493">
        <f t="shared" si="658"/>
        <v>0</v>
      </c>
      <c r="S467" s="493">
        <f t="shared" si="658"/>
        <v>0</v>
      </c>
      <c r="T467" s="493">
        <f t="shared" si="658"/>
        <v>0</v>
      </c>
      <c r="U467" s="493">
        <f t="shared" si="658"/>
        <v>0</v>
      </c>
      <c r="V467" s="493">
        <f t="shared" si="658"/>
        <v>0</v>
      </c>
      <c r="W467" s="493">
        <f t="shared" si="658"/>
        <v>0</v>
      </c>
      <c r="X467" s="493">
        <f t="shared" si="658"/>
        <v>0</v>
      </c>
      <c r="Y467" s="493">
        <f t="shared" si="658"/>
        <v>0</v>
      </c>
      <c r="Z467" s="493">
        <f t="shared" si="658"/>
        <v>0</v>
      </c>
      <c r="AA467" s="493">
        <f t="shared" si="658"/>
        <v>0</v>
      </c>
      <c r="AB467" s="493">
        <f t="shared" si="658"/>
        <v>0</v>
      </c>
      <c r="AC467" s="493">
        <f t="shared" si="658"/>
        <v>0</v>
      </c>
      <c r="AD467" s="493">
        <f t="shared" si="658"/>
        <v>0</v>
      </c>
      <c r="AE467" s="493">
        <f t="shared" si="658"/>
        <v>0</v>
      </c>
      <c r="AF467" s="493">
        <f t="shared" si="658"/>
        <v>0</v>
      </c>
      <c r="AG467" s="493">
        <f t="shared" si="658"/>
        <v>0</v>
      </c>
      <c r="AH467" s="493">
        <f t="shared" si="658"/>
        <v>0</v>
      </c>
      <c r="AI467" s="503">
        <f t="shared" si="655"/>
        <v>0</v>
      </c>
      <c r="AJ467" s="503">
        <f t="shared" si="656"/>
        <v>0</v>
      </c>
      <c r="AK467" s="503">
        <f t="shared" si="657"/>
        <v>0</v>
      </c>
    </row>
    <row r="468" spans="1:37" x14ac:dyDescent="0.2">
      <c r="A468" s="491"/>
      <c r="B468" s="439" t="s">
        <v>270</v>
      </c>
      <c r="C468" s="452" t="s">
        <v>37</v>
      </c>
      <c r="D468" s="493">
        <f t="shared" ref="D468:AH468" si="659">D380</f>
        <v>0</v>
      </c>
      <c r="E468" s="1400">
        <f t="shared" si="659"/>
        <v>0</v>
      </c>
      <c r="F468" s="493">
        <f t="shared" si="659"/>
        <v>0</v>
      </c>
      <c r="G468" s="493">
        <f t="shared" si="659"/>
        <v>0</v>
      </c>
      <c r="H468" s="493">
        <f t="shared" si="659"/>
        <v>0</v>
      </c>
      <c r="I468" s="493">
        <f t="shared" si="659"/>
        <v>0</v>
      </c>
      <c r="J468" s="493">
        <f t="shared" si="659"/>
        <v>0</v>
      </c>
      <c r="K468" s="493">
        <f t="shared" si="659"/>
        <v>0</v>
      </c>
      <c r="L468" s="493">
        <f t="shared" si="659"/>
        <v>0</v>
      </c>
      <c r="M468" s="493">
        <f t="shared" si="659"/>
        <v>0</v>
      </c>
      <c r="N468" s="493">
        <f t="shared" si="659"/>
        <v>0</v>
      </c>
      <c r="O468" s="493">
        <f t="shared" si="659"/>
        <v>0</v>
      </c>
      <c r="P468" s="493">
        <f t="shared" si="659"/>
        <v>0</v>
      </c>
      <c r="Q468" s="493">
        <f t="shared" si="659"/>
        <v>0</v>
      </c>
      <c r="R468" s="493">
        <f t="shared" si="659"/>
        <v>0</v>
      </c>
      <c r="S468" s="493">
        <f t="shared" si="659"/>
        <v>0</v>
      </c>
      <c r="T468" s="493">
        <f t="shared" si="659"/>
        <v>0</v>
      </c>
      <c r="U468" s="493">
        <f t="shared" si="659"/>
        <v>0</v>
      </c>
      <c r="V468" s="493">
        <f t="shared" si="659"/>
        <v>0</v>
      </c>
      <c r="W468" s="493">
        <f t="shared" si="659"/>
        <v>0</v>
      </c>
      <c r="X468" s="493">
        <f t="shared" si="659"/>
        <v>0</v>
      </c>
      <c r="Y468" s="493">
        <f t="shared" si="659"/>
        <v>0</v>
      </c>
      <c r="Z468" s="493">
        <f t="shared" si="659"/>
        <v>0</v>
      </c>
      <c r="AA468" s="493">
        <f t="shared" si="659"/>
        <v>0</v>
      </c>
      <c r="AB468" s="493">
        <f t="shared" si="659"/>
        <v>0</v>
      </c>
      <c r="AC468" s="493">
        <f t="shared" si="659"/>
        <v>0</v>
      </c>
      <c r="AD468" s="493">
        <f t="shared" si="659"/>
        <v>0</v>
      </c>
      <c r="AE468" s="493">
        <f t="shared" si="659"/>
        <v>0</v>
      </c>
      <c r="AF468" s="493">
        <f t="shared" si="659"/>
        <v>0</v>
      </c>
      <c r="AG468" s="493">
        <f t="shared" si="659"/>
        <v>0</v>
      </c>
      <c r="AH468" s="493">
        <f t="shared" si="659"/>
        <v>0</v>
      </c>
      <c r="AI468" s="503">
        <f t="shared" si="655"/>
        <v>0</v>
      </c>
      <c r="AJ468" s="503">
        <f t="shared" si="656"/>
        <v>0</v>
      </c>
      <c r="AK468" s="503">
        <f t="shared" si="657"/>
        <v>0</v>
      </c>
    </row>
    <row r="469" spans="1:37" x14ac:dyDescent="0.2">
      <c r="A469" s="416"/>
      <c r="B469" s="439" t="s">
        <v>351</v>
      </c>
      <c r="C469" s="452" t="s">
        <v>333</v>
      </c>
      <c r="D469" s="493">
        <f t="shared" ref="D469:AH469" si="660">D381</f>
        <v>0</v>
      </c>
      <c r="E469" s="1400">
        <f t="shared" si="660"/>
        <v>0</v>
      </c>
      <c r="F469" s="493">
        <f t="shared" si="660"/>
        <v>0</v>
      </c>
      <c r="G469" s="493">
        <f t="shared" si="660"/>
        <v>0</v>
      </c>
      <c r="H469" s="493">
        <f t="shared" si="660"/>
        <v>0</v>
      </c>
      <c r="I469" s="493">
        <f t="shared" si="660"/>
        <v>0</v>
      </c>
      <c r="J469" s="493">
        <f t="shared" si="660"/>
        <v>0</v>
      </c>
      <c r="K469" s="493">
        <f t="shared" si="660"/>
        <v>0</v>
      </c>
      <c r="L469" s="493">
        <f t="shared" si="660"/>
        <v>0</v>
      </c>
      <c r="M469" s="493">
        <f t="shared" si="660"/>
        <v>0</v>
      </c>
      <c r="N469" s="493">
        <f t="shared" si="660"/>
        <v>0</v>
      </c>
      <c r="O469" s="493">
        <f t="shared" si="660"/>
        <v>0</v>
      </c>
      <c r="P469" s="493">
        <f t="shared" si="660"/>
        <v>0</v>
      </c>
      <c r="Q469" s="493">
        <f t="shared" si="660"/>
        <v>0</v>
      </c>
      <c r="R469" s="493">
        <f t="shared" si="660"/>
        <v>0</v>
      </c>
      <c r="S469" s="493">
        <f t="shared" si="660"/>
        <v>0</v>
      </c>
      <c r="T469" s="493">
        <f t="shared" si="660"/>
        <v>0</v>
      </c>
      <c r="U469" s="493">
        <f t="shared" si="660"/>
        <v>0</v>
      </c>
      <c r="V469" s="493">
        <f t="shared" si="660"/>
        <v>0</v>
      </c>
      <c r="W469" s="493">
        <f t="shared" si="660"/>
        <v>0</v>
      </c>
      <c r="X469" s="493">
        <f t="shared" si="660"/>
        <v>0</v>
      </c>
      <c r="Y469" s="493">
        <f t="shared" si="660"/>
        <v>0</v>
      </c>
      <c r="Z469" s="493">
        <f t="shared" si="660"/>
        <v>0</v>
      </c>
      <c r="AA469" s="493">
        <f t="shared" si="660"/>
        <v>0</v>
      </c>
      <c r="AB469" s="493">
        <f t="shared" si="660"/>
        <v>0</v>
      </c>
      <c r="AC469" s="493">
        <f t="shared" si="660"/>
        <v>0</v>
      </c>
      <c r="AD469" s="493">
        <f t="shared" si="660"/>
        <v>0</v>
      </c>
      <c r="AE469" s="493">
        <f t="shared" si="660"/>
        <v>0</v>
      </c>
      <c r="AF469" s="493">
        <f t="shared" si="660"/>
        <v>0</v>
      </c>
      <c r="AG469" s="493">
        <f t="shared" si="660"/>
        <v>0</v>
      </c>
      <c r="AH469" s="493">
        <f t="shared" si="660"/>
        <v>0</v>
      </c>
      <c r="AI469" s="503">
        <f t="shared" si="655"/>
        <v>0</v>
      </c>
      <c r="AJ469" s="503">
        <f t="shared" si="656"/>
        <v>0</v>
      </c>
      <c r="AK469" s="590">
        <f t="shared" si="657"/>
        <v>0</v>
      </c>
    </row>
    <row r="470" spans="1:37" x14ac:dyDescent="0.2">
      <c r="A470" s="416"/>
      <c r="B470" s="439" t="s">
        <v>350</v>
      </c>
      <c r="C470" s="452" t="s">
        <v>333</v>
      </c>
      <c r="D470" s="493">
        <f t="shared" ref="D470:AH470" si="661">D382</f>
        <v>0</v>
      </c>
      <c r="E470" s="1400">
        <f t="shared" si="661"/>
        <v>0</v>
      </c>
      <c r="F470" s="493">
        <f t="shared" si="661"/>
        <v>0</v>
      </c>
      <c r="G470" s="493">
        <f t="shared" si="661"/>
        <v>0</v>
      </c>
      <c r="H470" s="493">
        <f t="shared" si="661"/>
        <v>0</v>
      </c>
      <c r="I470" s="493">
        <f t="shared" si="661"/>
        <v>0</v>
      </c>
      <c r="J470" s="493">
        <f t="shared" si="661"/>
        <v>0</v>
      </c>
      <c r="K470" s="493">
        <f t="shared" si="661"/>
        <v>0</v>
      </c>
      <c r="L470" s="493">
        <f t="shared" si="661"/>
        <v>0</v>
      </c>
      <c r="M470" s="493">
        <f t="shared" si="661"/>
        <v>0</v>
      </c>
      <c r="N470" s="493">
        <f t="shared" si="661"/>
        <v>0</v>
      </c>
      <c r="O470" s="493">
        <f t="shared" si="661"/>
        <v>0</v>
      </c>
      <c r="P470" s="493">
        <f t="shared" si="661"/>
        <v>0</v>
      </c>
      <c r="Q470" s="493">
        <f t="shared" si="661"/>
        <v>0</v>
      </c>
      <c r="R470" s="493">
        <f t="shared" si="661"/>
        <v>0</v>
      </c>
      <c r="S470" s="493">
        <f t="shared" si="661"/>
        <v>0</v>
      </c>
      <c r="T470" s="493">
        <f t="shared" si="661"/>
        <v>0</v>
      </c>
      <c r="U470" s="493">
        <f t="shared" si="661"/>
        <v>0</v>
      </c>
      <c r="V470" s="493">
        <f t="shared" si="661"/>
        <v>0</v>
      </c>
      <c r="W470" s="493">
        <f t="shared" si="661"/>
        <v>0</v>
      </c>
      <c r="X470" s="493">
        <f t="shared" si="661"/>
        <v>0</v>
      </c>
      <c r="Y470" s="493">
        <f t="shared" si="661"/>
        <v>0</v>
      </c>
      <c r="Z470" s="493">
        <f t="shared" si="661"/>
        <v>0</v>
      </c>
      <c r="AA470" s="493">
        <f t="shared" si="661"/>
        <v>0</v>
      </c>
      <c r="AB470" s="493">
        <f t="shared" si="661"/>
        <v>0</v>
      </c>
      <c r="AC470" s="493">
        <f t="shared" si="661"/>
        <v>0</v>
      </c>
      <c r="AD470" s="493">
        <f t="shared" si="661"/>
        <v>0</v>
      </c>
      <c r="AE470" s="493">
        <f t="shared" si="661"/>
        <v>0</v>
      </c>
      <c r="AF470" s="493">
        <f t="shared" si="661"/>
        <v>0</v>
      </c>
      <c r="AG470" s="493">
        <f t="shared" si="661"/>
        <v>0</v>
      </c>
      <c r="AH470" s="493">
        <f t="shared" si="661"/>
        <v>0</v>
      </c>
      <c r="AI470" s="503">
        <f t="shared" si="655"/>
        <v>0</v>
      </c>
      <c r="AJ470" s="503">
        <f t="shared" si="656"/>
        <v>0</v>
      </c>
      <c r="AK470" s="590">
        <f t="shared" si="657"/>
        <v>0</v>
      </c>
    </row>
    <row r="471" spans="1:37" x14ac:dyDescent="0.2">
      <c r="A471" s="491"/>
      <c r="B471" s="439" t="s">
        <v>331</v>
      </c>
      <c r="C471" s="452" t="s">
        <v>37</v>
      </c>
      <c r="D471" s="493">
        <f t="shared" ref="D471:AH471" si="662">D383</f>
        <v>0</v>
      </c>
      <c r="E471" s="1400">
        <f t="shared" si="662"/>
        <v>0</v>
      </c>
      <c r="F471" s="493">
        <f t="shared" si="662"/>
        <v>0</v>
      </c>
      <c r="G471" s="493">
        <f t="shared" si="662"/>
        <v>0</v>
      </c>
      <c r="H471" s="493">
        <f t="shared" si="662"/>
        <v>0</v>
      </c>
      <c r="I471" s="493">
        <f t="shared" si="662"/>
        <v>0</v>
      </c>
      <c r="J471" s="493">
        <f t="shared" si="662"/>
        <v>0</v>
      </c>
      <c r="K471" s="493">
        <f t="shared" si="662"/>
        <v>0</v>
      </c>
      <c r="L471" s="493">
        <f t="shared" si="662"/>
        <v>0</v>
      </c>
      <c r="M471" s="493">
        <f t="shared" si="662"/>
        <v>0</v>
      </c>
      <c r="N471" s="493">
        <f t="shared" si="662"/>
        <v>0</v>
      </c>
      <c r="O471" s="493">
        <f t="shared" si="662"/>
        <v>0</v>
      </c>
      <c r="P471" s="493">
        <f t="shared" si="662"/>
        <v>0</v>
      </c>
      <c r="Q471" s="493">
        <f t="shared" si="662"/>
        <v>0</v>
      </c>
      <c r="R471" s="493">
        <f t="shared" si="662"/>
        <v>0</v>
      </c>
      <c r="S471" s="493">
        <f t="shared" si="662"/>
        <v>0</v>
      </c>
      <c r="T471" s="493">
        <f t="shared" si="662"/>
        <v>0</v>
      </c>
      <c r="U471" s="493">
        <f t="shared" si="662"/>
        <v>0</v>
      </c>
      <c r="V471" s="493">
        <f t="shared" si="662"/>
        <v>0</v>
      </c>
      <c r="W471" s="493">
        <f t="shared" si="662"/>
        <v>0</v>
      </c>
      <c r="X471" s="493">
        <f t="shared" si="662"/>
        <v>0</v>
      </c>
      <c r="Y471" s="493">
        <f t="shared" si="662"/>
        <v>0</v>
      </c>
      <c r="Z471" s="493">
        <f t="shared" si="662"/>
        <v>0</v>
      </c>
      <c r="AA471" s="493">
        <f t="shared" si="662"/>
        <v>0</v>
      </c>
      <c r="AB471" s="493">
        <f t="shared" si="662"/>
        <v>0</v>
      </c>
      <c r="AC471" s="493">
        <f t="shared" si="662"/>
        <v>0</v>
      </c>
      <c r="AD471" s="493">
        <f t="shared" si="662"/>
        <v>0</v>
      </c>
      <c r="AE471" s="493">
        <f t="shared" si="662"/>
        <v>0</v>
      </c>
      <c r="AF471" s="493">
        <f t="shared" si="662"/>
        <v>0</v>
      </c>
      <c r="AG471" s="493">
        <f t="shared" si="662"/>
        <v>0</v>
      </c>
      <c r="AH471" s="493">
        <f t="shared" si="662"/>
        <v>0</v>
      </c>
      <c r="AI471" s="503">
        <f t="shared" si="655"/>
        <v>0</v>
      </c>
      <c r="AJ471" s="503">
        <f t="shared" si="656"/>
        <v>0</v>
      </c>
      <c r="AK471" s="503">
        <f t="shared" si="657"/>
        <v>0</v>
      </c>
    </row>
    <row r="472" spans="1:37" x14ac:dyDescent="0.2">
      <c r="A472" s="491"/>
      <c r="B472" s="439" t="s">
        <v>332</v>
      </c>
      <c r="C472" s="452" t="s">
        <v>37</v>
      </c>
      <c r="D472" s="493">
        <f t="shared" ref="D472:AH472" si="663">D384</f>
        <v>0</v>
      </c>
      <c r="E472" s="1400">
        <f t="shared" si="663"/>
        <v>0</v>
      </c>
      <c r="F472" s="493">
        <f t="shared" si="663"/>
        <v>0</v>
      </c>
      <c r="G472" s="493">
        <f t="shared" si="663"/>
        <v>0</v>
      </c>
      <c r="H472" s="493">
        <f t="shared" si="663"/>
        <v>0</v>
      </c>
      <c r="I472" s="493">
        <f t="shared" si="663"/>
        <v>0</v>
      </c>
      <c r="J472" s="493">
        <f t="shared" si="663"/>
        <v>0</v>
      </c>
      <c r="K472" s="493">
        <f t="shared" si="663"/>
        <v>0</v>
      </c>
      <c r="L472" s="493">
        <f t="shared" si="663"/>
        <v>0</v>
      </c>
      <c r="M472" s="493">
        <f t="shared" si="663"/>
        <v>0</v>
      </c>
      <c r="N472" s="493">
        <f t="shared" si="663"/>
        <v>0</v>
      </c>
      <c r="O472" s="493">
        <f t="shared" si="663"/>
        <v>0</v>
      </c>
      <c r="P472" s="493">
        <f t="shared" si="663"/>
        <v>0</v>
      </c>
      <c r="Q472" s="493">
        <f t="shared" si="663"/>
        <v>0</v>
      </c>
      <c r="R472" s="493">
        <f t="shared" si="663"/>
        <v>0</v>
      </c>
      <c r="S472" s="493">
        <f t="shared" si="663"/>
        <v>0</v>
      </c>
      <c r="T472" s="493">
        <f t="shared" si="663"/>
        <v>0</v>
      </c>
      <c r="U472" s="493">
        <f t="shared" si="663"/>
        <v>0</v>
      </c>
      <c r="V472" s="493">
        <f t="shared" si="663"/>
        <v>0</v>
      </c>
      <c r="W472" s="493">
        <f t="shared" si="663"/>
        <v>0</v>
      </c>
      <c r="X472" s="493">
        <f t="shared" si="663"/>
        <v>0</v>
      </c>
      <c r="Y472" s="493">
        <f t="shared" si="663"/>
        <v>0</v>
      </c>
      <c r="Z472" s="493">
        <f t="shared" si="663"/>
        <v>0</v>
      </c>
      <c r="AA472" s="493">
        <f t="shared" si="663"/>
        <v>0</v>
      </c>
      <c r="AB472" s="493">
        <f t="shared" si="663"/>
        <v>0</v>
      </c>
      <c r="AC472" s="493">
        <f t="shared" si="663"/>
        <v>0</v>
      </c>
      <c r="AD472" s="493">
        <f t="shared" si="663"/>
        <v>0</v>
      </c>
      <c r="AE472" s="493">
        <f t="shared" si="663"/>
        <v>0</v>
      </c>
      <c r="AF472" s="493">
        <f t="shared" si="663"/>
        <v>0</v>
      </c>
      <c r="AG472" s="493">
        <f t="shared" si="663"/>
        <v>0</v>
      </c>
      <c r="AH472" s="493">
        <f t="shared" si="663"/>
        <v>0</v>
      </c>
      <c r="AI472" s="503">
        <f t="shared" si="655"/>
        <v>0</v>
      </c>
      <c r="AJ472" s="503">
        <f t="shared" si="656"/>
        <v>0</v>
      </c>
      <c r="AK472" s="503">
        <f t="shared" si="657"/>
        <v>0</v>
      </c>
    </row>
    <row r="473" spans="1:37" s="465" customFormat="1" x14ac:dyDescent="0.2">
      <c r="B473" s="439" t="s">
        <v>334</v>
      </c>
      <c r="C473" s="452" t="s">
        <v>37</v>
      </c>
      <c r="D473" s="493">
        <f t="shared" ref="D473:AH473" si="664">D385</f>
        <v>0</v>
      </c>
      <c r="E473" s="1400">
        <f t="shared" si="664"/>
        <v>0</v>
      </c>
      <c r="F473" s="493">
        <f t="shared" si="664"/>
        <v>0</v>
      </c>
      <c r="G473" s="493">
        <f t="shared" si="664"/>
        <v>0</v>
      </c>
      <c r="H473" s="493">
        <f t="shared" si="664"/>
        <v>0</v>
      </c>
      <c r="I473" s="493">
        <f t="shared" si="664"/>
        <v>0</v>
      </c>
      <c r="J473" s="493">
        <f t="shared" si="664"/>
        <v>0</v>
      </c>
      <c r="K473" s="493">
        <f t="shared" si="664"/>
        <v>0</v>
      </c>
      <c r="L473" s="493">
        <f t="shared" si="664"/>
        <v>0</v>
      </c>
      <c r="M473" s="493">
        <f t="shared" si="664"/>
        <v>0</v>
      </c>
      <c r="N473" s="493">
        <f t="shared" si="664"/>
        <v>0</v>
      </c>
      <c r="O473" s="493">
        <f t="shared" si="664"/>
        <v>0</v>
      </c>
      <c r="P473" s="493">
        <f t="shared" si="664"/>
        <v>0</v>
      </c>
      <c r="Q473" s="493">
        <f t="shared" si="664"/>
        <v>0</v>
      </c>
      <c r="R473" s="493">
        <f t="shared" si="664"/>
        <v>0</v>
      </c>
      <c r="S473" s="493">
        <f t="shared" si="664"/>
        <v>0</v>
      </c>
      <c r="T473" s="493">
        <f t="shared" si="664"/>
        <v>0</v>
      </c>
      <c r="U473" s="493">
        <f t="shared" si="664"/>
        <v>0</v>
      </c>
      <c r="V473" s="493">
        <f t="shared" si="664"/>
        <v>0</v>
      </c>
      <c r="W473" s="493">
        <f t="shared" si="664"/>
        <v>0</v>
      </c>
      <c r="X473" s="493">
        <f t="shared" si="664"/>
        <v>0</v>
      </c>
      <c r="Y473" s="493">
        <f t="shared" si="664"/>
        <v>0</v>
      </c>
      <c r="Z473" s="493">
        <f t="shared" si="664"/>
        <v>0</v>
      </c>
      <c r="AA473" s="493">
        <f t="shared" si="664"/>
        <v>0</v>
      </c>
      <c r="AB473" s="493">
        <f t="shared" si="664"/>
        <v>0</v>
      </c>
      <c r="AC473" s="493">
        <f t="shared" si="664"/>
        <v>0</v>
      </c>
      <c r="AD473" s="493">
        <f t="shared" si="664"/>
        <v>0</v>
      </c>
      <c r="AE473" s="493">
        <f t="shared" si="664"/>
        <v>0</v>
      </c>
      <c r="AF473" s="493">
        <f t="shared" si="664"/>
        <v>0</v>
      </c>
      <c r="AG473" s="493">
        <f t="shared" si="664"/>
        <v>0</v>
      </c>
      <c r="AH473" s="493">
        <f t="shared" si="664"/>
        <v>0</v>
      </c>
      <c r="AI473" s="503">
        <f t="shared" si="655"/>
        <v>0</v>
      </c>
      <c r="AJ473" s="503">
        <f t="shared" si="656"/>
        <v>0</v>
      </c>
      <c r="AK473" s="503">
        <f t="shared" si="657"/>
        <v>0</v>
      </c>
    </row>
    <row r="474" spans="1:37" s="465" customFormat="1" x14ac:dyDescent="0.2">
      <c r="B474" s="439" t="s">
        <v>335</v>
      </c>
      <c r="C474" s="452" t="s">
        <v>37</v>
      </c>
      <c r="D474" s="493">
        <f t="shared" ref="D474:AH474" si="665">D386</f>
        <v>0</v>
      </c>
      <c r="E474" s="1400">
        <f t="shared" si="665"/>
        <v>0</v>
      </c>
      <c r="F474" s="493">
        <f t="shared" si="665"/>
        <v>0</v>
      </c>
      <c r="G474" s="493">
        <f t="shared" si="665"/>
        <v>0</v>
      </c>
      <c r="H474" s="493">
        <f t="shared" si="665"/>
        <v>0</v>
      </c>
      <c r="I474" s="493">
        <f t="shared" si="665"/>
        <v>0</v>
      </c>
      <c r="J474" s="493">
        <f t="shared" si="665"/>
        <v>0</v>
      </c>
      <c r="K474" s="493">
        <f t="shared" si="665"/>
        <v>0</v>
      </c>
      <c r="L474" s="493">
        <f t="shared" si="665"/>
        <v>0</v>
      </c>
      <c r="M474" s="493">
        <f t="shared" si="665"/>
        <v>0</v>
      </c>
      <c r="N474" s="493">
        <f t="shared" si="665"/>
        <v>0</v>
      </c>
      <c r="O474" s="493">
        <f t="shared" si="665"/>
        <v>0</v>
      </c>
      <c r="P474" s="493">
        <f t="shared" si="665"/>
        <v>0</v>
      </c>
      <c r="Q474" s="493">
        <f t="shared" si="665"/>
        <v>0</v>
      </c>
      <c r="R474" s="493">
        <f t="shared" si="665"/>
        <v>0</v>
      </c>
      <c r="S474" s="493">
        <f t="shared" si="665"/>
        <v>0</v>
      </c>
      <c r="T474" s="493">
        <f t="shared" si="665"/>
        <v>0</v>
      </c>
      <c r="U474" s="493">
        <f t="shared" si="665"/>
        <v>0</v>
      </c>
      <c r="V474" s="493">
        <f t="shared" si="665"/>
        <v>0</v>
      </c>
      <c r="W474" s="493">
        <f t="shared" si="665"/>
        <v>0</v>
      </c>
      <c r="X474" s="493">
        <f t="shared" si="665"/>
        <v>0</v>
      </c>
      <c r="Y474" s="493">
        <f t="shared" si="665"/>
        <v>0</v>
      </c>
      <c r="Z474" s="493">
        <f t="shared" si="665"/>
        <v>0</v>
      </c>
      <c r="AA474" s="493">
        <f t="shared" si="665"/>
        <v>0</v>
      </c>
      <c r="AB474" s="493">
        <f t="shared" si="665"/>
        <v>0</v>
      </c>
      <c r="AC474" s="493">
        <f t="shared" si="665"/>
        <v>0</v>
      </c>
      <c r="AD474" s="493">
        <f t="shared" si="665"/>
        <v>0</v>
      </c>
      <c r="AE474" s="493">
        <f t="shared" si="665"/>
        <v>0</v>
      </c>
      <c r="AF474" s="493">
        <f t="shared" si="665"/>
        <v>0</v>
      </c>
      <c r="AG474" s="493">
        <f t="shared" si="665"/>
        <v>0</v>
      </c>
      <c r="AH474" s="493">
        <f t="shared" si="665"/>
        <v>0</v>
      </c>
      <c r="AI474" s="503">
        <f t="shared" si="655"/>
        <v>0</v>
      </c>
      <c r="AJ474" s="503">
        <f t="shared" si="656"/>
        <v>0</v>
      </c>
      <c r="AK474" s="503">
        <f t="shared" si="657"/>
        <v>0</v>
      </c>
    </row>
    <row r="475" spans="1:37" s="465" customFormat="1" x14ac:dyDescent="0.2">
      <c r="B475" s="439" t="s">
        <v>336</v>
      </c>
      <c r="C475" s="452" t="s">
        <v>37</v>
      </c>
      <c r="D475" s="493">
        <f t="shared" ref="D475:AH475" si="666">D387</f>
        <v>0</v>
      </c>
      <c r="E475" s="1400">
        <f t="shared" si="666"/>
        <v>0</v>
      </c>
      <c r="F475" s="493">
        <f t="shared" si="666"/>
        <v>0</v>
      </c>
      <c r="G475" s="493">
        <f t="shared" si="666"/>
        <v>0</v>
      </c>
      <c r="H475" s="493">
        <f t="shared" si="666"/>
        <v>0</v>
      </c>
      <c r="I475" s="493">
        <f t="shared" si="666"/>
        <v>0</v>
      </c>
      <c r="J475" s="493">
        <f t="shared" si="666"/>
        <v>0</v>
      </c>
      <c r="K475" s="493">
        <f t="shared" si="666"/>
        <v>0</v>
      </c>
      <c r="L475" s="493">
        <f t="shared" si="666"/>
        <v>0</v>
      </c>
      <c r="M475" s="493">
        <f t="shared" si="666"/>
        <v>0</v>
      </c>
      <c r="N475" s="493">
        <f t="shared" si="666"/>
        <v>0</v>
      </c>
      <c r="O475" s="493">
        <f t="shared" si="666"/>
        <v>0</v>
      </c>
      <c r="P475" s="493">
        <f t="shared" si="666"/>
        <v>0</v>
      </c>
      <c r="Q475" s="493">
        <f t="shared" si="666"/>
        <v>0</v>
      </c>
      <c r="R475" s="493">
        <f t="shared" si="666"/>
        <v>0</v>
      </c>
      <c r="S475" s="493">
        <f t="shared" si="666"/>
        <v>0</v>
      </c>
      <c r="T475" s="493">
        <f t="shared" si="666"/>
        <v>0</v>
      </c>
      <c r="U475" s="493">
        <f t="shared" si="666"/>
        <v>0</v>
      </c>
      <c r="V475" s="493">
        <f t="shared" si="666"/>
        <v>0</v>
      </c>
      <c r="W475" s="493">
        <f t="shared" si="666"/>
        <v>0</v>
      </c>
      <c r="X475" s="493">
        <f t="shared" si="666"/>
        <v>0</v>
      </c>
      <c r="Y475" s="493">
        <f t="shared" si="666"/>
        <v>0</v>
      </c>
      <c r="Z475" s="493">
        <f t="shared" si="666"/>
        <v>0</v>
      </c>
      <c r="AA475" s="493">
        <f t="shared" si="666"/>
        <v>0</v>
      </c>
      <c r="AB475" s="493">
        <f t="shared" si="666"/>
        <v>0</v>
      </c>
      <c r="AC475" s="493">
        <f t="shared" si="666"/>
        <v>0</v>
      </c>
      <c r="AD475" s="493">
        <f t="shared" si="666"/>
        <v>0</v>
      </c>
      <c r="AE475" s="493">
        <f t="shared" si="666"/>
        <v>0</v>
      </c>
      <c r="AF475" s="493">
        <f t="shared" si="666"/>
        <v>0</v>
      </c>
      <c r="AG475" s="493">
        <f t="shared" si="666"/>
        <v>0</v>
      </c>
      <c r="AH475" s="493">
        <f t="shared" si="666"/>
        <v>0</v>
      </c>
      <c r="AI475" s="503">
        <f t="shared" si="655"/>
        <v>0</v>
      </c>
      <c r="AJ475" s="503">
        <f t="shared" si="656"/>
        <v>0</v>
      </c>
      <c r="AK475" s="503">
        <f t="shared" si="657"/>
        <v>0</v>
      </c>
    </row>
    <row r="476" spans="1:37" s="465" customFormat="1" x14ac:dyDescent="0.2">
      <c r="B476" s="439" t="s">
        <v>337</v>
      </c>
      <c r="C476" s="452" t="s">
        <v>37</v>
      </c>
      <c r="D476" s="493">
        <f t="shared" ref="D476:AH476" si="667">D388</f>
        <v>0</v>
      </c>
      <c r="E476" s="1400">
        <f t="shared" si="667"/>
        <v>0</v>
      </c>
      <c r="F476" s="493">
        <f t="shared" si="667"/>
        <v>0</v>
      </c>
      <c r="G476" s="493">
        <f t="shared" si="667"/>
        <v>0</v>
      </c>
      <c r="H476" s="493">
        <f t="shared" si="667"/>
        <v>0</v>
      </c>
      <c r="I476" s="493">
        <f t="shared" si="667"/>
        <v>0</v>
      </c>
      <c r="J476" s="493">
        <f t="shared" si="667"/>
        <v>0</v>
      </c>
      <c r="K476" s="493">
        <f t="shared" si="667"/>
        <v>0</v>
      </c>
      <c r="L476" s="493">
        <f t="shared" si="667"/>
        <v>0</v>
      </c>
      <c r="M476" s="493">
        <f t="shared" si="667"/>
        <v>0</v>
      </c>
      <c r="N476" s="493">
        <f t="shared" si="667"/>
        <v>0</v>
      </c>
      <c r="O476" s="493">
        <f t="shared" si="667"/>
        <v>0</v>
      </c>
      <c r="P476" s="493">
        <f t="shared" si="667"/>
        <v>0</v>
      </c>
      <c r="Q476" s="493">
        <f t="shared" si="667"/>
        <v>0</v>
      </c>
      <c r="R476" s="493">
        <f t="shared" si="667"/>
        <v>0</v>
      </c>
      <c r="S476" s="493">
        <f t="shared" si="667"/>
        <v>0</v>
      </c>
      <c r="T476" s="493">
        <f t="shared" si="667"/>
        <v>0</v>
      </c>
      <c r="U476" s="493">
        <f t="shared" si="667"/>
        <v>0</v>
      </c>
      <c r="V476" s="493">
        <f t="shared" si="667"/>
        <v>0</v>
      </c>
      <c r="W476" s="493">
        <f t="shared" si="667"/>
        <v>0</v>
      </c>
      <c r="X476" s="493">
        <f t="shared" si="667"/>
        <v>0</v>
      </c>
      <c r="Y476" s="493">
        <f t="shared" si="667"/>
        <v>0</v>
      </c>
      <c r="Z476" s="493">
        <f t="shared" si="667"/>
        <v>0</v>
      </c>
      <c r="AA476" s="493">
        <f t="shared" si="667"/>
        <v>0</v>
      </c>
      <c r="AB476" s="493">
        <f t="shared" si="667"/>
        <v>0</v>
      </c>
      <c r="AC476" s="493">
        <f t="shared" si="667"/>
        <v>0</v>
      </c>
      <c r="AD476" s="493">
        <f t="shared" si="667"/>
        <v>0</v>
      </c>
      <c r="AE476" s="493">
        <f t="shared" si="667"/>
        <v>0</v>
      </c>
      <c r="AF476" s="493">
        <f t="shared" si="667"/>
        <v>0</v>
      </c>
      <c r="AG476" s="493">
        <f t="shared" si="667"/>
        <v>0</v>
      </c>
      <c r="AH476" s="493">
        <f t="shared" si="667"/>
        <v>0</v>
      </c>
      <c r="AI476" s="503">
        <f t="shared" si="655"/>
        <v>0</v>
      </c>
      <c r="AJ476" s="503">
        <f t="shared" si="656"/>
        <v>0</v>
      </c>
      <c r="AK476" s="503">
        <f t="shared" si="657"/>
        <v>0</v>
      </c>
    </row>
    <row r="477" spans="1:37" s="465" customFormat="1" x14ac:dyDescent="0.2">
      <c r="A477" s="1409" t="s">
        <v>1089</v>
      </c>
      <c r="B477" s="439"/>
      <c r="C477" s="452"/>
      <c r="D477" s="493">
        <f t="shared" ref="D477:AH477" si="668">D390</f>
        <v>0</v>
      </c>
      <c r="E477" s="1400">
        <f t="shared" si="668"/>
        <v>0</v>
      </c>
      <c r="F477" s="493">
        <f t="shared" si="668"/>
        <v>0</v>
      </c>
      <c r="G477" s="493">
        <f t="shared" si="668"/>
        <v>0</v>
      </c>
      <c r="H477" s="493">
        <f t="shared" si="668"/>
        <v>0</v>
      </c>
      <c r="I477" s="493">
        <f t="shared" si="668"/>
        <v>0</v>
      </c>
      <c r="J477" s="493">
        <f t="shared" si="668"/>
        <v>0</v>
      </c>
      <c r="K477" s="493">
        <f t="shared" si="668"/>
        <v>0</v>
      </c>
      <c r="L477" s="493">
        <f t="shared" si="668"/>
        <v>0</v>
      </c>
      <c r="M477" s="493">
        <f t="shared" si="668"/>
        <v>0</v>
      </c>
      <c r="N477" s="493">
        <f t="shared" si="668"/>
        <v>0</v>
      </c>
      <c r="O477" s="493">
        <f t="shared" si="668"/>
        <v>0</v>
      </c>
      <c r="P477" s="493">
        <f t="shared" si="668"/>
        <v>0</v>
      </c>
      <c r="Q477" s="493">
        <f t="shared" si="668"/>
        <v>0</v>
      </c>
      <c r="R477" s="493">
        <f t="shared" si="668"/>
        <v>0</v>
      </c>
      <c r="S477" s="493">
        <f t="shared" si="668"/>
        <v>0</v>
      </c>
      <c r="T477" s="493">
        <f t="shared" si="668"/>
        <v>0</v>
      </c>
      <c r="U477" s="493">
        <f t="shared" si="668"/>
        <v>0</v>
      </c>
      <c r="V477" s="493">
        <f t="shared" si="668"/>
        <v>0</v>
      </c>
      <c r="W477" s="493">
        <f t="shared" si="668"/>
        <v>0</v>
      </c>
      <c r="X477" s="493">
        <f t="shared" si="668"/>
        <v>0</v>
      </c>
      <c r="Y477" s="493">
        <f t="shared" si="668"/>
        <v>0</v>
      </c>
      <c r="Z477" s="493">
        <f t="shared" si="668"/>
        <v>0</v>
      </c>
      <c r="AA477" s="493">
        <f t="shared" si="668"/>
        <v>0</v>
      </c>
      <c r="AB477" s="493">
        <f t="shared" si="668"/>
        <v>0</v>
      </c>
      <c r="AC477" s="493">
        <f t="shared" si="668"/>
        <v>0</v>
      </c>
      <c r="AD477" s="493">
        <f t="shared" si="668"/>
        <v>0</v>
      </c>
      <c r="AE477" s="493">
        <f t="shared" si="668"/>
        <v>0</v>
      </c>
      <c r="AF477" s="493">
        <f t="shared" si="668"/>
        <v>0</v>
      </c>
      <c r="AG477" s="493">
        <f t="shared" si="668"/>
        <v>0</v>
      </c>
      <c r="AH477" s="493">
        <f t="shared" si="668"/>
        <v>0</v>
      </c>
      <c r="AI477" s="503">
        <f t="shared" si="655"/>
        <v>0</v>
      </c>
      <c r="AJ477" s="503">
        <f t="shared" si="656"/>
        <v>0</v>
      </c>
      <c r="AK477" s="503">
        <f t="shared" si="657"/>
        <v>0</v>
      </c>
    </row>
    <row r="478" spans="1:37" x14ac:dyDescent="0.2">
      <c r="A478" s="1410" t="s">
        <v>1091</v>
      </c>
      <c r="B478" s="489"/>
      <c r="C478" s="453" t="s">
        <v>37</v>
      </c>
      <c r="D478" s="495">
        <f t="shared" ref="D478:AH478" si="669">D389</f>
        <v>0</v>
      </c>
      <c r="E478" s="1401">
        <f t="shared" si="669"/>
        <v>0</v>
      </c>
      <c r="F478" s="495">
        <f t="shared" si="669"/>
        <v>0</v>
      </c>
      <c r="G478" s="495">
        <f t="shared" si="669"/>
        <v>0</v>
      </c>
      <c r="H478" s="495">
        <f t="shared" si="669"/>
        <v>0</v>
      </c>
      <c r="I478" s="495">
        <f t="shared" si="669"/>
        <v>0</v>
      </c>
      <c r="J478" s="495">
        <f t="shared" si="669"/>
        <v>0</v>
      </c>
      <c r="K478" s="495">
        <f t="shared" si="669"/>
        <v>0</v>
      </c>
      <c r="L478" s="495">
        <f t="shared" si="669"/>
        <v>0</v>
      </c>
      <c r="M478" s="495">
        <f t="shared" si="669"/>
        <v>0</v>
      </c>
      <c r="N478" s="495">
        <f t="shared" si="669"/>
        <v>0</v>
      </c>
      <c r="O478" s="495">
        <f t="shared" si="669"/>
        <v>0</v>
      </c>
      <c r="P478" s="495">
        <f t="shared" si="669"/>
        <v>0</v>
      </c>
      <c r="Q478" s="495">
        <f t="shared" si="669"/>
        <v>0</v>
      </c>
      <c r="R478" s="495">
        <f t="shared" si="669"/>
        <v>0</v>
      </c>
      <c r="S478" s="495">
        <f t="shared" si="669"/>
        <v>0</v>
      </c>
      <c r="T478" s="495">
        <f t="shared" si="669"/>
        <v>0</v>
      </c>
      <c r="U478" s="495">
        <f t="shared" si="669"/>
        <v>0</v>
      </c>
      <c r="V478" s="495">
        <f t="shared" si="669"/>
        <v>0</v>
      </c>
      <c r="W478" s="495">
        <f t="shared" si="669"/>
        <v>0</v>
      </c>
      <c r="X478" s="495">
        <f t="shared" si="669"/>
        <v>0</v>
      </c>
      <c r="Y478" s="495">
        <f t="shared" si="669"/>
        <v>0</v>
      </c>
      <c r="Z478" s="495">
        <f t="shared" si="669"/>
        <v>0</v>
      </c>
      <c r="AA478" s="495">
        <f t="shared" si="669"/>
        <v>0</v>
      </c>
      <c r="AB478" s="495">
        <f t="shared" si="669"/>
        <v>0</v>
      </c>
      <c r="AC478" s="495">
        <f t="shared" si="669"/>
        <v>0</v>
      </c>
      <c r="AD478" s="495">
        <f t="shared" si="669"/>
        <v>0</v>
      </c>
      <c r="AE478" s="495">
        <f t="shared" si="669"/>
        <v>0</v>
      </c>
      <c r="AF478" s="495">
        <f t="shared" si="669"/>
        <v>0</v>
      </c>
      <c r="AG478" s="495">
        <f t="shared" si="669"/>
        <v>0</v>
      </c>
      <c r="AH478" s="495">
        <f t="shared" si="669"/>
        <v>0</v>
      </c>
      <c r="AI478" s="502">
        <f t="shared" si="655"/>
        <v>0</v>
      </c>
      <c r="AJ478" s="502">
        <f t="shared" si="656"/>
        <v>0</v>
      </c>
      <c r="AK478" s="502">
        <f t="shared" si="657"/>
        <v>0</v>
      </c>
    </row>
    <row r="479" spans="1:37" x14ac:dyDescent="0.2">
      <c r="A479" s="454" t="s">
        <v>276</v>
      </c>
      <c r="B479" s="489"/>
      <c r="C479" s="453" t="s">
        <v>37</v>
      </c>
      <c r="D479" s="495">
        <f>SUM(D466,D477)</f>
        <v>0</v>
      </c>
      <c r="E479" s="1401">
        <f>SUM(E466,E477)</f>
        <v>0</v>
      </c>
      <c r="F479" s="495">
        <f t="shared" ref="F479:AH479" si="670">SUM(F466,F477)</f>
        <v>0</v>
      </c>
      <c r="G479" s="495">
        <f t="shared" si="670"/>
        <v>0</v>
      </c>
      <c r="H479" s="495">
        <f t="shared" si="670"/>
        <v>0</v>
      </c>
      <c r="I479" s="495">
        <f t="shared" si="670"/>
        <v>0</v>
      </c>
      <c r="J479" s="495">
        <f t="shared" si="670"/>
        <v>0</v>
      </c>
      <c r="K479" s="495">
        <f t="shared" si="670"/>
        <v>0</v>
      </c>
      <c r="L479" s="495">
        <f t="shared" si="670"/>
        <v>0</v>
      </c>
      <c r="M479" s="495">
        <f t="shared" si="670"/>
        <v>0</v>
      </c>
      <c r="N479" s="495">
        <f t="shared" si="670"/>
        <v>0</v>
      </c>
      <c r="O479" s="495">
        <f t="shared" si="670"/>
        <v>0</v>
      </c>
      <c r="P479" s="495">
        <f t="shared" si="670"/>
        <v>0</v>
      </c>
      <c r="Q479" s="495">
        <f t="shared" si="670"/>
        <v>0</v>
      </c>
      <c r="R479" s="495">
        <f t="shared" si="670"/>
        <v>0</v>
      </c>
      <c r="S479" s="495">
        <f t="shared" si="670"/>
        <v>0</v>
      </c>
      <c r="T479" s="495">
        <f t="shared" si="670"/>
        <v>0</v>
      </c>
      <c r="U479" s="495">
        <f t="shared" si="670"/>
        <v>0</v>
      </c>
      <c r="V479" s="495">
        <f t="shared" si="670"/>
        <v>0</v>
      </c>
      <c r="W479" s="495">
        <f t="shared" si="670"/>
        <v>0</v>
      </c>
      <c r="X479" s="495">
        <f t="shared" si="670"/>
        <v>0</v>
      </c>
      <c r="Y479" s="495">
        <f t="shared" si="670"/>
        <v>0</v>
      </c>
      <c r="Z479" s="495">
        <f t="shared" si="670"/>
        <v>0</v>
      </c>
      <c r="AA479" s="495">
        <f t="shared" si="670"/>
        <v>0</v>
      </c>
      <c r="AB479" s="495">
        <f t="shared" si="670"/>
        <v>0</v>
      </c>
      <c r="AC479" s="495">
        <f t="shared" si="670"/>
        <v>0</v>
      </c>
      <c r="AD479" s="495">
        <f t="shared" si="670"/>
        <v>0</v>
      </c>
      <c r="AE479" s="495">
        <f t="shared" si="670"/>
        <v>0</v>
      </c>
      <c r="AF479" s="495">
        <f t="shared" si="670"/>
        <v>0</v>
      </c>
      <c r="AG479" s="495">
        <f t="shared" si="670"/>
        <v>0</v>
      </c>
      <c r="AH479" s="495">
        <f t="shared" si="670"/>
        <v>0</v>
      </c>
      <c r="AI479" s="591">
        <f t="shared" si="655"/>
        <v>0</v>
      </c>
      <c r="AJ479" s="591">
        <f t="shared" si="656"/>
        <v>0</v>
      </c>
      <c r="AK479" s="591">
        <f t="shared" si="657"/>
        <v>0</v>
      </c>
    </row>
    <row r="480" spans="1:37" x14ac:dyDescent="0.2">
      <c r="B480" s="519"/>
      <c r="C480" s="360"/>
      <c r="D480" s="493"/>
      <c r="E480" s="493"/>
      <c r="F480" s="493"/>
      <c r="G480" s="493"/>
      <c r="H480" s="493"/>
      <c r="I480" s="493"/>
      <c r="J480" s="493"/>
      <c r="K480" s="493"/>
      <c r="L480" s="493"/>
      <c r="M480" s="493"/>
      <c r="N480" s="493"/>
      <c r="O480" s="493"/>
      <c r="P480" s="493"/>
      <c r="Q480" s="493"/>
      <c r="R480" s="493"/>
      <c r="S480" s="493"/>
      <c r="T480" s="493"/>
      <c r="U480" s="493"/>
      <c r="V480" s="493"/>
      <c r="W480" s="493"/>
      <c r="X480" s="493"/>
      <c r="Y480" s="493"/>
      <c r="Z480" s="493"/>
      <c r="AA480" s="493"/>
      <c r="AB480" s="493"/>
      <c r="AC480" s="493"/>
      <c r="AD480" s="493"/>
      <c r="AE480" s="493"/>
      <c r="AF480" s="493"/>
      <c r="AG480" s="493"/>
      <c r="AH480" s="493"/>
      <c r="AI480" s="493"/>
      <c r="AJ480" s="493"/>
    </row>
    <row r="481" spans="1:37" ht="11.5" thickBot="1" x14ac:dyDescent="0.25">
      <c r="A481" s="465" t="s">
        <v>280</v>
      </c>
    </row>
    <row r="482" spans="1:37" ht="12" thickBot="1" x14ac:dyDescent="0.3">
      <c r="A482" s="446"/>
      <c r="B482" s="508" t="s">
        <v>265</v>
      </c>
      <c r="C482" s="447"/>
      <c r="D482" s="584">
        <v>0</v>
      </c>
      <c r="E482" s="448">
        <v>1</v>
      </c>
      <c r="F482" s="448">
        <v>2</v>
      </c>
      <c r="G482" s="448">
        <v>3</v>
      </c>
      <c r="H482" s="448">
        <v>4</v>
      </c>
      <c r="I482" s="448">
        <v>5</v>
      </c>
      <c r="J482" s="448">
        <v>6</v>
      </c>
      <c r="K482" s="448">
        <v>7</v>
      </c>
      <c r="L482" s="448">
        <v>8</v>
      </c>
      <c r="M482" s="448">
        <v>9</v>
      </c>
      <c r="N482" s="448">
        <v>10</v>
      </c>
      <c r="O482" s="448">
        <v>11</v>
      </c>
      <c r="P482" s="448">
        <v>12</v>
      </c>
      <c r="Q482" s="448">
        <v>13</v>
      </c>
      <c r="R482" s="448">
        <v>14</v>
      </c>
      <c r="S482" s="448">
        <v>15</v>
      </c>
      <c r="T482" s="448">
        <v>16</v>
      </c>
      <c r="U482" s="448">
        <v>17</v>
      </c>
      <c r="V482" s="448">
        <v>18</v>
      </c>
      <c r="W482" s="448">
        <v>19</v>
      </c>
      <c r="X482" s="449">
        <v>20</v>
      </c>
      <c r="Y482" s="449">
        <v>21</v>
      </c>
      <c r="Z482" s="449">
        <v>22</v>
      </c>
      <c r="AA482" s="449">
        <v>23</v>
      </c>
      <c r="AB482" s="449">
        <v>24</v>
      </c>
      <c r="AC482" s="449">
        <v>25</v>
      </c>
      <c r="AD482" s="449">
        <v>26</v>
      </c>
      <c r="AE482" s="449">
        <v>27</v>
      </c>
      <c r="AF482" s="449">
        <v>28</v>
      </c>
      <c r="AG482" s="449">
        <v>29</v>
      </c>
      <c r="AH482" s="463">
        <v>30</v>
      </c>
      <c r="AI482" s="521" t="s">
        <v>298</v>
      </c>
      <c r="AJ482" s="524" t="s">
        <v>261</v>
      </c>
      <c r="AK482" s="526" t="s">
        <v>262</v>
      </c>
    </row>
    <row r="483" spans="1:37" x14ac:dyDescent="0.2">
      <c r="A483" s="530" t="s">
        <v>55</v>
      </c>
      <c r="B483" s="465"/>
      <c r="C483" s="452" t="s">
        <v>37</v>
      </c>
      <c r="D483" s="493"/>
      <c r="E483" s="493"/>
      <c r="F483" s="493"/>
      <c r="G483" s="493"/>
      <c r="H483" s="493"/>
      <c r="I483" s="493"/>
      <c r="J483" s="493"/>
      <c r="K483" s="493"/>
      <c r="L483" s="493"/>
      <c r="M483" s="493"/>
      <c r="N483" s="493"/>
      <c r="O483" s="493"/>
      <c r="P483" s="493"/>
      <c r="Q483" s="493"/>
      <c r="R483" s="493"/>
      <c r="S483" s="493"/>
      <c r="T483" s="493"/>
      <c r="U483" s="493"/>
      <c r="V483" s="493"/>
      <c r="W483" s="493"/>
      <c r="X483" s="493"/>
      <c r="Y483" s="493"/>
      <c r="Z483" s="493"/>
      <c r="AA483" s="493"/>
      <c r="AB483" s="493"/>
      <c r="AC483" s="493"/>
      <c r="AD483" s="493"/>
      <c r="AE483" s="493"/>
      <c r="AF483" s="493"/>
      <c r="AG483" s="493"/>
      <c r="AH483" s="493"/>
      <c r="AI483" s="541">
        <f>SUM(D483:N483)</f>
        <v>0</v>
      </c>
      <c r="AJ483" s="542">
        <f>SUM(D483:X483)</f>
        <v>0</v>
      </c>
      <c r="AK483" s="543">
        <f>SUM(D483:AH483)</f>
        <v>0</v>
      </c>
    </row>
    <row r="484" spans="1:37" x14ac:dyDescent="0.2">
      <c r="A484" s="531" t="s">
        <v>281</v>
      </c>
      <c r="B484" s="465"/>
      <c r="C484" s="452" t="s">
        <v>37</v>
      </c>
      <c r="D484" s="493">
        <f>SUM(D485:D487)</f>
        <v>0</v>
      </c>
      <c r="E484" s="493">
        <f t="shared" ref="E484:AH484" si="671">SUM(E485:E487)</f>
        <v>1483602243.75</v>
      </c>
      <c r="F484" s="493">
        <f t="shared" si="671"/>
        <v>1483602243.75</v>
      </c>
      <c r="G484" s="493">
        <f t="shared" si="671"/>
        <v>1483602243.75</v>
      </c>
      <c r="H484" s="493">
        <f t="shared" si="671"/>
        <v>1483602243.75</v>
      </c>
      <c r="I484" s="493">
        <f t="shared" si="671"/>
        <v>1483602243.75</v>
      </c>
      <c r="J484" s="493">
        <f t="shared" si="671"/>
        <v>1483602243.75</v>
      </c>
      <c r="K484" s="493">
        <f t="shared" si="671"/>
        <v>1483602243.75</v>
      </c>
      <c r="L484" s="493">
        <f t="shared" si="671"/>
        <v>1483602243.75</v>
      </c>
      <c r="M484" s="493">
        <f t="shared" si="671"/>
        <v>1483602243.75</v>
      </c>
      <c r="N484" s="493">
        <f t="shared" si="671"/>
        <v>1483602243.75</v>
      </c>
      <c r="O484" s="493">
        <f t="shared" si="671"/>
        <v>1483602243.75</v>
      </c>
      <c r="P484" s="493">
        <f t="shared" si="671"/>
        <v>1483602243.75</v>
      </c>
      <c r="Q484" s="493">
        <f t="shared" si="671"/>
        <v>1483602243.75</v>
      </c>
      <c r="R484" s="493">
        <f t="shared" si="671"/>
        <v>1483602243.75</v>
      </c>
      <c r="S484" s="493">
        <f t="shared" si="671"/>
        <v>1483602243.75</v>
      </c>
      <c r="T484" s="493">
        <f t="shared" si="671"/>
        <v>1483602243.75</v>
      </c>
      <c r="U484" s="493">
        <f t="shared" si="671"/>
        <v>1483602243.75</v>
      </c>
      <c r="V484" s="493">
        <f t="shared" si="671"/>
        <v>1483602243.75</v>
      </c>
      <c r="W484" s="493">
        <f t="shared" si="671"/>
        <v>1483602243.75</v>
      </c>
      <c r="X484" s="493">
        <f t="shared" si="671"/>
        <v>1483602243.75</v>
      </c>
      <c r="Y484" s="493">
        <f t="shared" si="671"/>
        <v>1483602243.75</v>
      </c>
      <c r="Z484" s="493">
        <f t="shared" si="671"/>
        <v>1483602243.75</v>
      </c>
      <c r="AA484" s="493">
        <f t="shared" si="671"/>
        <v>1483602243.75</v>
      </c>
      <c r="AB484" s="493">
        <f t="shared" si="671"/>
        <v>1483602243.75</v>
      </c>
      <c r="AC484" s="493">
        <f t="shared" si="671"/>
        <v>1483602243.75</v>
      </c>
      <c r="AD484" s="493">
        <f t="shared" si="671"/>
        <v>1483602243.75</v>
      </c>
      <c r="AE484" s="493">
        <f t="shared" si="671"/>
        <v>1483602243.75</v>
      </c>
      <c r="AF484" s="493">
        <f t="shared" si="671"/>
        <v>1483602243.75</v>
      </c>
      <c r="AG484" s="493">
        <f t="shared" si="671"/>
        <v>1483602243.75</v>
      </c>
      <c r="AH484" s="493">
        <f t="shared" si="671"/>
        <v>1483602243.75</v>
      </c>
      <c r="AI484" s="544">
        <f t="shared" ref="AI484:AI507" si="672">SUM(D484:N484)</f>
        <v>14836022437.5</v>
      </c>
      <c r="AJ484" s="545">
        <f t="shared" ref="AJ484:AJ507" si="673">SUM(D484:X484)</f>
        <v>29672044875</v>
      </c>
      <c r="AK484" s="529">
        <f t="shared" ref="AK484:AK507" si="674">SUM(D484:AH484)</f>
        <v>44508067312.5</v>
      </c>
    </row>
    <row r="485" spans="1:37" x14ac:dyDescent="0.2">
      <c r="A485" s="491"/>
      <c r="B485" s="465" t="s">
        <v>32</v>
      </c>
      <c r="C485" s="452" t="s">
        <v>37</v>
      </c>
      <c r="D485" s="493">
        <f t="shared" ref="D485:AH485" si="675">D8</f>
        <v>0</v>
      </c>
      <c r="E485" s="493">
        <f t="shared" si="675"/>
        <v>1222404665.625</v>
      </c>
      <c r="F485" s="493">
        <f t="shared" si="675"/>
        <v>1222404665.625</v>
      </c>
      <c r="G485" s="493">
        <f t="shared" si="675"/>
        <v>1222404665.625</v>
      </c>
      <c r="H485" s="493">
        <f t="shared" si="675"/>
        <v>1222404665.625</v>
      </c>
      <c r="I485" s="493">
        <f t="shared" si="675"/>
        <v>1222404665.625</v>
      </c>
      <c r="J485" s="493">
        <f t="shared" si="675"/>
        <v>1222404665.625</v>
      </c>
      <c r="K485" s="493">
        <f t="shared" si="675"/>
        <v>1222404665.625</v>
      </c>
      <c r="L485" s="493">
        <f t="shared" si="675"/>
        <v>1222404665.625</v>
      </c>
      <c r="M485" s="493">
        <f t="shared" si="675"/>
        <v>1222404665.625</v>
      </c>
      <c r="N485" s="493">
        <f t="shared" si="675"/>
        <v>1222404665.625</v>
      </c>
      <c r="O485" s="493">
        <f t="shared" si="675"/>
        <v>1222404665.625</v>
      </c>
      <c r="P485" s="493">
        <f t="shared" si="675"/>
        <v>1222404665.625</v>
      </c>
      <c r="Q485" s="493">
        <f t="shared" si="675"/>
        <v>1222404665.625</v>
      </c>
      <c r="R485" s="493">
        <f t="shared" si="675"/>
        <v>1222404665.625</v>
      </c>
      <c r="S485" s="493">
        <f t="shared" si="675"/>
        <v>1222404665.625</v>
      </c>
      <c r="T485" s="493">
        <f t="shared" si="675"/>
        <v>1222404665.625</v>
      </c>
      <c r="U485" s="493">
        <f t="shared" si="675"/>
        <v>1222404665.625</v>
      </c>
      <c r="V485" s="493">
        <f t="shared" si="675"/>
        <v>1222404665.625</v>
      </c>
      <c r="W485" s="493">
        <f t="shared" si="675"/>
        <v>1222404665.625</v>
      </c>
      <c r="X485" s="493">
        <f t="shared" si="675"/>
        <v>1222404665.625</v>
      </c>
      <c r="Y485" s="493">
        <f t="shared" si="675"/>
        <v>1222404665.625</v>
      </c>
      <c r="Z485" s="493">
        <f t="shared" si="675"/>
        <v>1222404665.625</v>
      </c>
      <c r="AA485" s="493">
        <f t="shared" si="675"/>
        <v>1222404665.625</v>
      </c>
      <c r="AB485" s="493">
        <f t="shared" si="675"/>
        <v>1222404665.625</v>
      </c>
      <c r="AC485" s="493">
        <f t="shared" si="675"/>
        <v>1222404665.625</v>
      </c>
      <c r="AD485" s="493">
        <f t="shared" si="675"/>
        <v>1222404665.625</v>
      </c>
      <c r="AE485" s="493">
        <f t="shared" si="675"/>
        <v>1222404665.625</v>
      </c>
      <c r="AF485" s="493">
        <f t="shared" si="675"/>
        <v>1222404665.625</v>
      </c>
      <c r="AG485" s="493">
        <f t="shared" si="675"/>
        <v>1222404665.625</v>
      </c>
      <c r="AH485" s="493">
        <f t="shared" si="675"/>
        <v>1222404665.625</v>
      </c>
      <c r="AI485" s="544">
        <f t="shared" si="672"/>
        <v>12224046656.25</v>
      </c>
      <c r="AJ485" s="545">
        <f t="shared" si="673"/>
        <v>24448093312.5</v>
      </c>
      <c r="AK485" s="529">
        <f t="shared" si="674"/>
        <v>36672139968.75</v>
      </c>
    </row>
    <row r="486" spans="1:37" x14ac:dyDescent="0.2">
      <c r="A486" s="491"/>
      <c r="B486" s="439" t="s">
        <v>242</v>
      </c>
      <c r="C486" s="452" t="s">
        <v>37</v>
      </c>
      <c r="D486" s="493">
        <f t="shared" ref="D486:AH486" si="676">D12</f>
        <v>0</v>
      </c>
      <c r="E486" s="493">
        <f t="shared" si="676"/>
        <v>261197578.125</v>
      </c>
      <c r="F486" s="493">
        <f t="shared" si="676"/>
        <v>261197578.125</v>
      </c>
      <c r="G486" s="493">
        <f t="shared" si="676"/>
        <v>261197578.125</v>
      </c>
      <c r="H486" s="493">
        <f t="shared" si="676"/>
        <v>261197578.125</v>
      </c>
      <c r="I486" s="493">
        <f t="shared" si="676"/>
        <v>261197578.125</v>
      </c>
      <c r="J486" s="493">
        <f t="shared" si="676"/>
        <v>261197578.125</v>
      </c>
      <c r="K486" s="493">
        <f t="shared" si="676"/>
        <v>261197578.125</v>
      </c>
      <c r="L486" s="493">
        <f t="shared" si="676"/>
        <v>261197578.125</v>
      </c>
      <c r="M486" s="493">
        <f t="shared" si="676"/>
        <v>261197578.125</v>
      </c>
      <c r="N486" s="493">
        <f t="shared" si="676"/>
        <v>261197578.125</v>
      </c>
      <c r="O486" s="493">
        <f t="shared" si="676"/>
        <v>261197578.125</v>
      </c>
      <c r="P486" s="493">
        <f t="shared" si="676"/>
        <v>261197578.125</v>
      </c>
      <c r="Q486" s="493">
        <f t="shared" si="676"/>
        <v>261197578.125</v>
      </c>
      <c r="R486" s="493">
        <f t="shared" si="676"/>
        <v>261197578.125</v>
      </c>
      <c r="S486" s="493">
        <f t="shared" si="676"/>
        <v>261197578.125</v>
      </c>
      <c r="T486" s="493">
        <f t="shared" si="676"/>
        <v>261197578.125</v>
      </c>
      <c r="U486" s="493">
        <f t="shared" si="676"/>
        <v>261197578.125</v>
      </c>
      <c r="V486" s="493">
        <f t="shared" si="676"/>
        <v>261197578.125</v>
      </c>
      <c r="W486" s="493">
        <f t="shared" si="676"/>
        <v>261197578.125</v>
      </c>
      <c r="X486" s="493">
        <f t="shared" si="676"/>
        <v>261197578.125</v>
      </c>
      <c r="Y486" s="493">
        <f t="shared" si="676"/>
        <v>261197578.125</v>
      </c>
      <c r="Z486" s="493">
        <f t="shared" si="676"/>
        <v>261197578.125</v>
      </c>
      <c r="AA486" s="493">
        <f t="shared" si="676"/>
        <v>261197578.125</v>
      </c>
      <c r="AB486" s="493">
        <f t="shared" si="676"/>
        <v>261197578.125</v>
      </c>
      <c r="AC486" s="493">
        <f t="shared" si="676"/>
        <v>261197578.125</v>
      </c>
      <c r="AD486" s="493">
        <f t="shared" si="676"/>
        <v>261197578.125</v>
      </c>
      <c r="AE486" s="493">
        <f t="shared" si="676"/>
        <v>261197578.125</v>
      </c>
      <c r="AF486" s="493">
        <f t="shared" si="676"/>
        <v>261197578.125</v>
      </c>
      <c r="AG486" s="493">
        <f t="shared" si="676"/>
        <v>261197578.125</v>
      </c>
      <c r="AH486" s="493">
        <f t="shared" si="676"/>
        <v>261197578.125</v>
      </c>
      <c r="AI486" s="544">
        <f t="shared" si="672"/>
        <v>2611975781.25</v>
      </c>
      <c r="AJ486" s="545">
        <f t="shared" si="673"/>
        <v>5223951562.5</v>
      </c>
      <c r="AK486" s="529">
        <f t="shared" si="674"/>
        <v>7835927343.75</v>
      </c>
    </row>
    <row r="487" spans="1:37" x14ac:dyDescent="0.2">
      <c r="A487" s="491"/>
      <c r="B487" s="439" t="s">
        <v>1139</v>
      </c>
      <c r="C487" s="452" t="s">
        <v>1140</v>
      </c>
      <c r="D487" s="493">
        <f>D16</f>
        <v>0</v>
      </c>
      <c r="E487" s="493">
        <f t="shared" ref="E487:AH487" si="677">E16</f>
        <v>0</v>
      </c>
      <c r="F487" s="493">
        <f t="shared" si="677"/>
        <v>0</v>
      </c>
      <c r="G487" s="493">
        <f t="shared" si="677"/>
        <v>0</v>
      </c>
      <c r="H487" s="493">
        <f t="shared" si="677"/>
        <v>0</v>
      </c>
      <c r="I487" s="493">
        <f t="shared" si="677"/>
        <v>0</v>
      </c>
      <c r="J487" s="493">
        <f t="shared" si="677"/>
        <v>0</v>
      </c>
      <c r="K487" s="493">
        <f t="shared" si="677"/>
        <v>0</v>
      </c>
      <c r="L487" s="493">
        <f t="shared" si="677"/>
        <v>0</v>
      </c>
      <c r="M487" s="493">
        <f t="shared" si="677"/>
        <v>0</v>
      </c>
      <c r="N487" s="493">
        <f t="shared" si="677"/>
        <v>0</v>
      </c>
      <c r="O487" s="493">
        <f t="shared" si="677"/>
        <v>0</v>
      </c>
      <c r="P487" s="493">
        <f t="shared" si="677"/>
        <v>0</v>
      </c>
      <c r="Q487" s="493">
        <f t="shared" si="677"/>
        <v>0</v>
      </c>
      <c r="R487" s="493">
        <f t="shared" si="677"/>
        <v>0</v>
      </c>
      <c r="S487" s="493">
        <f t="shared" si="677"/>
        <v>0</v>
      </c>
      <c r="T487" s="493">
        <f t="shared" si="677"/>
        <v>0</v>
      </c>
      <c r="U487" s="493">
        <f t="shared" si="677"/>
        <v>0</v>
      </c>
      <c r="V487" s="493">
        <f t="shared" si="677"/>
        <v>0</v>
      </c>
      <c r="W487" s="493">
        <f t="shared" si="677"/>
        <v>0</v>
      </c>
      <c r="X487" s="493">
        <f t="shared" si="677"/>
        <v>0</v>
      </c>
      <c r="Y487" s="493">
        <f t="shared" si="677"/>
        <v>0</v>
      </c>
      <c r="Z487" s="493">
        <f t="shared" si="677"/>
        <v>0</v>
      </c>
      <c r="AA487" s="493">
        <f t="shared" si="677"/>
        <v>0</v>
      </c>
      <c r="AB487" s="493">
        <f t="shared" si="677"/>
        <v>0</v>
      </c>
      <c r="AC487" s="493">
        <f t="shared" si="677"/>
        <v>0</v>
      </c>
      <c r="AD487" s="493">
        <f t="shared" si="677"/>
        <v>0</v>
      </c>
      <c r="AE487" s="493">
        <f t="shared" si="677"/>
        <v>0</v>
      </c>
      <c r="AF487" s="493">
        <f t="shared" si="677"/>
        <v>0</v>
      </c>
      <c r="AG487" s="493">
        <f t="shared" si="677"/>
        <v>0</v>
      </c>
      <c r="AH487" s="493">
        <f t="shared" si="677"/>
        <v>0</v>
      </c>
      <c r="AI487" s="544">
        <f t="shared" si="672"/>
        <v>0</v>
      </c>
      <c r="AJ487" s="545">
        <f t="shared" si="673"/>
        <v>0</v>
      </c>
      <c r="AK487" s="529">
        <f t="shared" si="674"/>
        <v>0</v>
      </c>
    </row>
    <row r="488" spans="1:37" x14ac:dyDescent="0.2">
      <c r="A488" s="491" t="s">
        <v>282</v>
      </c>
      <c r="B488" s="439"/>
      <c r="C488" s="452" t="s">
        <v>37</v>
      </c>
      <c r="D488" s="493">
        <f>-SUM(D489:D500)</f>
        <v>-4820191241.6296968</v>
      </c>
      <c r="E488" s="493">
        <f>-SUM(E489:E491,E496:E500)</f>
        <v>-1103522173.3722081</v>
      </c>
      <c r="F488" s="493">
        <f t="shared" ref="F488:AK488" si="678">-SUM(F489:F491,F496:F500)</f>
        <v>-1100436262.4131312</v>
      </c>
      <c r="G488" s="493">
        <f t="shared" si="678"/>
        <v>-1097350351.4540544</v>
      </c>
      <c r="H488" s="493">
        <f t="shared" si="678"/>
        <v>-1094264440.4949775</v>
      </c>
      <c r="I488" s="493">
        <f t="shared" si="678"/>
        <v>-1091178529.5359004</v>
      </c>
      <c r="J488" s="493">
        <f t="shared" si="678"/>
        <v>-1088092618.5768235</v>
      </c>
      <c r="K488" s="493">
        <f t="shared" si="678"/>
        <v>-1085006707.6177464</v>
      </c>
      <c r="L488" s="493">
        <f t="shared" si="678"/>
        <v>-1081920796.6586695</v>
      </c>
      <c r="M488" s="493">
        <f t="shared" si="678"/>
        <v>-1078834885.6995926</v>
      </c>
      <c r="N488" s="493">
        <f t="shared" si="678"/>
        <v>-1075748974.7405155</v>
      </c>
      <c r="O488" s="493">
        <f t="shared" si="678"/>
        <v>-1072663063.7814386</v>
      </c>
      <c r="P488" s="493">
        <f t="shared" si="678"/>
        <v>-1069577152.8223616</v>
      </c>
      <c r="Q488" s="493">
        <f t="shared" si="678"/>
        <v>-1066491241.8632846</v>
      </c>
      <c r="R488" s="493">
        <f t="shared" si="678"/>
        <v>-1063405330.9042076</v>
      </c>
      <c r="S488" s="493">
        <f t="shared" si="678"/>
        <v>-1060319419.9451307</v>
      </c>
      <c r="T488" s="493">
        <f t="shared" si="678"/>
        <v>-1103451349.3982282</v>
      </c>
      <c r="U488" s="493">
        <f t="shared" si="678"/>
        <v>-1103092522.5425217</v>
      </c>
      <c r="V488" s="493">
        <f t="shared" si="678"/>
        <v>-1102733695.686815</v>
      </c>
      <c r="W488" s="493">
        <f t="shared" si="678"/>
        <v>-1102374868.8311086</v>
      </c>
      <c r="X488" s="493">
        <f t="shared" si="678"/>
        <v>-1102016041.9754021</v>
      </c>
      <c r="Y488" s="493">
        <f t="shared" si="678"/>
        <v>-1101657215.1196954</v>
      </c>
      <c r="Z488" s="493">
        <f t="shared" si="678"/>
        <v>-1101298388.2639885</v>
      </c>
      <c r="AA488" s="493">
        <f t="shared" si="678"/>
        <v>-1100939561.408282</v>
      </c>
      <c r="AB488" s="493">
        <f t="shared" si="678"/>
        <v>-1100580734.5525753</v>
      </c>
      <c r="AC488" s="493">
        <f t="shared" si="678"/>
        <v>-1100221907.6968687</v>
      </c>
      <c r="AD488" s="493">
        <f t="shared" si="678"/>
        <v>-1099863080.8411622</v>
      </c>
      <c r="AE488" s="493">
        <f t="shared" si="678"/>
        <v>-1099504253.9854555</v>
      </c>
      <c r="AF488" s="493">
        <f t="shared" si="678"/>
        <v>-1099145427.1297488</v>
      </c>
      <c r="AG488" s="493">
        <f t="shared" si="678"/>
        <v>-1098786600.2740421</v>
      </c>
      <c r="AH488" s="493">
        <f t="shared" si="678"/>
        <v>-1098427773.4183357</v>
      </c>
      <c r="AI488" s="544">
        <f t="shared" si="678"/>
        <v>-15716546982.193312</v>
      </c>
      <c r="AJ488" s="545">
        <f t="shared" si="678"/>
        <v>-26562671669.943813</v>
      </c>
      <c r="AK488" s="529">
        <f t="shared" si="678"/>
        <v>-37563096612.633957</v>
      </c>
    </row>
    <row r="489" spans="1:37" x14ac:dyDescent="0.2">
      <c r="A489" s="491"/>
      <c r="B489" s="439" t="s">
        <v>283</v>
      </c>
      <c r="C489" s="452" t="s">
        <v>37</v>
      </c>
      <c r="D489" s="493">
        <f t="shared" ref="D489:AH489" si="679">SUM(D28:D29)</f>
        <v>4820191241.6296968</v>
      </c>
      <c r="E489" s="493">
        <f t="shared" si="679"/>
        <v>0</v>
      </c>
      <c r="F489" s="493">
        <f t="shared" si="679"/>
        <v>0</v>
      </c>
      <c r="G489" s="493">
        <f t="shared" si="679"/>
        <v>0</v>
      </c>
      <c r="H489" s="493">
        <f t="shared" si="679"/>
        <v>0</v>
      </c>
      <c r="I489" s="493">
        <f t="shared" si="679"/>
        <v>0</v>
      </c>
      <c r="J489" s="493">
        <f t="shared" si="679"/>
        <v>0</v>
      </c>
      <c r="K489" s="493">
        <f t="shared" si="679"/>
        <v>0</v>
      </c>
      <c r="L489" s="493">
        <f t="shared" si="679"/>
        <v>0</v>
      </c>
      <c r="M489" s="493">
        <f t="shared" si="679"/>
        <v>0</v>
      </c>
      <c r="N489" s="493">
        <f t="shared" si="679"/>
        <v>0</v>
      </c>
      <c r="O489" s="493">
        <f t="shared" si="679"/>
        <v>0</v>
      </c>
      <c r="P489" s="493">
        <f t="shared" si="679"/>
        <v>0</v>
      </c>
      <c r="Q489" s="493">
        <f t="shared" si="679"/>
        <v>0</v>
      </c>
      <c r="R489" s="493">
        <f t="shared" si="679"/>
        <v>0</v>
      </c>
      <c r="S489" s="493">
        <f t="shared" si="679"/>
        <v>0</v>
      </c>
      <c r="T489" s="493">
        <f t="shared" si="679"/>
        <v>0</v>
      </c>
      <c r="U489" s="493">
        <f t="shared" si="679"/>
        <v>0</v>
      </c>
      <c r="V489" s="493">
        <f t="shared" si="679"/>
        <v>0</v>
      </c>
      <c r="W489" s="493">
        <f t="shared" si="679"/>
        <v>0</v>
      </c>
      <c r="X489" s="493">
        <f t="shared" si="679"/>
        <v>0</v>
      </c>
      <c r="Y489" s="493">
        <f t="shared" si="679"/>
        <v>0</v>
      </c>
      <c r="Z489" s="493">
        <f t="shared" si="679"/>
        <v>0</v>
      </c>
      <c r="AA489" s="493">
        <f t="shared" si="679"/>
        <v>0</v>
      </c>
      <c r="AB489" s="493">
        <f t="shared" si="679"/>
        <v>0</v>
      </c>
      <c r="AC489" s="493">
        <f t="shared" si="679"/>
        <v>0</v>
      </c>
      <c r="AD489" s="493">
        <f t="shared" si="679"/>
        <v>0</v>
      </c>
      <c r="AE489" s="493">
        <f t="shared" si="679"/>
        <v>0</v>
      </c>
      <c r="AF489" s="493">
        <f t="shared" si="679"/>
        <v>0</v>
      </c>
      <c r="AG489" s="493">
        <f t="shared" si="679"/>
        <v>0</v>
      </c>
      <c r="AH489" s="493">
        <f t="shared" si="679"/>
        <v>0</v>
      </c>
      <c r="AI489" s="544">
        <f t="shared" si="672"/>
        <v>4820191241.6296968</v>
      </c>
      <c r="AJ489" s="545">
        <f t="shared" si="673"/>
        <v>4820191241.6296968</v>
      </c>
      <c r="AK489" s="529">
        <f t="shared" si="674"/>
        <v>4820191241.6296968</v>
      </c>
    </row>
    <row r="490" spans="1:37" x14ac:dyDescent="0.2">
      <c r="A490" s="491"/>
      <c r="B490" s="439" t="s">
        <v>284</v>
      </c>
      <c r="C490" s="452" t="s">
        <v>37</v>
      </c>
      <c r="D490" s="493">
        <f t="shared" ref="D490:AH490" si="680">SUM(D31:D33,D36:D37)</f>
        <v>0</v>
      </c>
      <c r="E490" s="493">
        <f t="shared" si="680"/>
        <v>922444512.46255624</v>
      </c>
      <c r="F490" s="493">
        <f t="shared" si="680"/>
        <v>922444512.46255624</v>
      </c>
      <c r="G490" s="493">
        <f t="shared" si="680"/>
        <v>922444512.46255624</v>
      </c>
      <c r="H490" s="493">
        <f t="shared" si="680"/>
        <v>922444512.46255624</v>
      </c>
      <c r="I490" s="493">
        <f t="shared" si="680"/>
        <v>922444512.46255624</v>
      </c>
      <c r="J490" s="493">
        <f t="shared" si="680"/>
        <v>922444512.46255624</v>
      </c>
      <c r="K490" s="493">
        <f t="shared" si="680"/>
        <v>922444512.46255624</v>
      </c>
      <c r="L490" s="493">
        <f t="shared" si="680"/>
        <v>922444512.46255624</v>
      </c>
      <c r="M490" s="493">
        <f t="shared" si="680"/>
        <v>922444512.46255624</v>
      </c>
      <c r="N490" s="493">
        <f t="shared" si="680"/>
        <v>922444512.46255624</v>
      </c>
      <c r="O490" s="493">
        <f t="shared" si="680"/>
        <v>922444512.46255624</v>
      </c>
      <c r="P490" s="493">
        <f t="shared" si="680"/>
        <v>922444512.46255624</v>
      </c>
      <c r="Q490" s="493">
        <f t="shared" si="680"/>
        <v>922444512.46255624</v>
      </c>
      <c r="R490" s="493">
        <f t="shared" si="680"/>
        <v>922444512.46255624</v>
      </c>
      <c r="S490" s="493">
        <f t="shared" si="680"/>
        <v>922444512.46255624</v>
      </c>
      <c r="T490" s="493">
        <f t="shared" si="680"/>
        <v>922444512.46255624</v>
      </c>
      <c r="U490" s="493">
        <f t="shared" si="680"/>
        <v>922444512.46255624</v>
      </c>
      <c r="V490" s="493">
        <f t="shared" si="680"/>
        <v>922444512.46255624</v>
      </c>
      <c r="W490" s="493">
        <f t="shared" si="680"/>
        <v>922444512.46255624</v>
      </c>
      <c r="X490" s="493">
        <f t="shared" si="680"/>
        <v>922444512.46255624</v>
      </c>
      <c r="Y490" s="493">
        <f t="shared" si="680"/>
        <v>922444512.46255624</v>
      </c>
      <c r="Z490" s="493">
        <f t="shared" si="680"/>
        <v>922444512.46255624</v>
      </c>
      <c r="AA490" s="493">
        <f t="shared" si="680"/>
        <v>922444512.46255624</v>
      </c>
      <c r="AB490" s="493">
        <f t="shared" si="680"/>
        <v>922444512.46255624</v>
      </c>
      <c r="AC490" s="493">
        <f t="shared" si="680"/>
        <v>922444512.46255624</v>
      </c>
      <c r="AD490" s="493">
        <f t="shared" si="680"/>
        <v>922444512.46255624</v>
      </c>
      <c r="AE490" s="493">
        <f t="shared" si="680"/>
        <v>922444512.46255624</v>
      </c>
      <c r="AF490" s="493">
        <f t="shared" si="680"/>
        <v>922444512.46255624</v>
      </c>
      <c r="AG490" s="493">
        <f t="shared" si="680"/>
        <v>922444512.46255624</v>
      </c>
      <c r="AH490" s="493">
        <f t="shared" si="680"/>
        <v>922444512.46255624</v>
      </c>
      <c r="AI490" s="544">
        <f t="shared" si="672"/>
        <v>9224445124.6255608</v>
      </c>
      <c r="AJ490" s="545">
        <f t="shared" si="673"/>
        <v>18448890249.251125</v>
      </c>
      <c r="AK490" s="529">
        <f t="shared" si="674"/>
        <v>27673335373.876675</v>
      </c>
    </row>
    <row r="491" spans="1:37" x14ac:dyDescent="0.2">
      <c r="A491" s="491"/>
      <c r="B491" s="439" t="s">
        <v>199</v>
      </c>
      <c r="C491" s="452" t="s">
        <v>37</v>
      </c>
      <c r="D491" s="493">
        <f t="shared" ref="D491:AH491" si="681">D35</f>
        <v>0</v>
      </c>
      <c r="E491" s="493">
        <f t="shared" si="681"/>
        <v>72241552.11290203</v>
      </c>
      <c r="F491" s="493">
        <f t="shared" si="681"/>
        <v>72241552.11290203</v>
      </c>
      <c r="G491" s="493">
        <f t="shared" si="681"/>
        <v>72241552.11290203</v>
      </c>
      <c r="H491" s="493">
        <f t="shared" si="681"/>
        <v>72241552.11290203</v>
      </c>
      <c r="I491" s="493">
        <f t="shared" si="681"/>
        <v>72241552.11290203</v>
      </c>
      <c r="J491" s="493">
        <f t="shared" si="681"/>
        <v>72241552.11290203</v>
      </c>
      <c r="K491" s="493">
        <f t="shared" si="681"/>
        <v>72241552.11290203</v>
      </c>
      <c r="L491" s="493">
        <f t="shared" si="681"/>
        <v>72241552.11290203</v>
      </c>
      <c r="M491" s="493">
        <f t="shared" si="681"/>
        <v>72241552.11290203</v>
      </c>
      <c r="N491" s="493">
        <f t="shared" si="681"/>
        <v>72241552.11290203</v>
      </c>
      <c r="O491" s="493">
        <f t="shared" si="681"/>
        <v>72241552.11290203</v>
      </c>
      <c r="P491" s="493">
        <f t="shared" si="681"/>
        <v>72241552.11290203</v>
      </c>
      <c r="Q491" s="493">
        <f t="shared" si="681"/>
        <v>72241552.11290203</v>
      </c>
      <c r="R491" s="493">
        <f t="shared" si="681"/>
        <v>72241552.11290203</v>
      </c>
      <c r="S491" s="493">
        <f t="shared" si="681"/>
        <v>72241552.11290203</v>
      </c>
      <c r="T491" s="493">
        <f t="shared" si="681"/>
        <v>72241552.11290203</v>
      </c>
      <c r="U491" s="493">
        <f t="shared" si="681"/>
        <v>72241552.11290203</v>
      </c>
      <c r="V491" s="493">
        <f t="shared" si="681"/>
        <v>72241552.11290203</v>
      </c>
      <c r="W491" s="493">
        <f t="shared" si="681"/>
        <v>72241552.11290203</v>
      </c>
      <c r="X491" s="493">
        <f t="shared" si="681"/>
        <v>72241552.11290203</v>
      </c>
      <c r="Y491" s="493">
        <f t="shared" si="681"/>
        <v>72241552.11290203</v>
      </c>
      <c r="Z491" s="493">
        <f t="shared" si="681"/>
        <v>72241552.11290203</v>
      </c>
      <c r="AA491" s="493">
        <f t="shared" si="681"/>
        <v>72241552.11290203</v>
      </c>
      <c r="AB491" s="493">
        <f t="shared" si="681"/>
        <v>72241552.11290203</v>
      </c>
      <c r="AC491" s="493">
        <f t="shared" si="681"/>
        <v>72241552.11290203</v>
      </c>
      <c r="AD491" s="493">
        <f t="shared" si="681"/>
        <v>72241552.11290203</v>
      </c>
      <c r="AE491" s="493">
        <f t="shared" si="681"/>
        <v>72241552.11290203</v>
      </c>
      <c r="AF491" s="493">
        <f t="shared" si="681"/>
        <v>72241552.11290203</v>
      </c>
      <c r="AG491" s="493">
        <f t="shared" si="681"/>
        <v>72241552.11290203</v>
      </c>
      <c r="AH491" s="493">
        <f t="shared" si="681"/>
        <v>72241552.11290203</v>
      </c>
      <c r="AI491" s="544">
        <f t="shared" si="672"/>
        <v>722415521.12902033</v>
      </c>
      <c r="AJ491" s="545">
        <f t="shared" si="673"/>
        <v>1444831042.2580402</v>
      </c>
      <c r="AK491" s="529">
        <f t="shared" si="674"/>
        <v>2167246563.3870597</v>
      </c>
    </row>
    <row r="492" spans="1:37" x14ac:dyDescent="0.2">
      <c r="A492" s="491"/>
      <c r="B492" s="439" t="s">
        <v>356</v>
      </c>
      <c r="C492" s="452" t="s">
        <v>355</v>
      </c>
      <c r="D492" s="493">
        <f t="shared" ref="D492:AH492" si="682">D276+D281</f>
        <v>0</v>
      </c>
      <c r="E492" s="493">
        <f t="shared" si="682"/>
        <v>13003479.380322367</v>
      </c>
      <c r="F492" s="493">
        <f t="shared" si="682"/>
        <v>13003479.380322367</v>
      </c>
      <c r="G492" s="493">
        <f t="shared" si="682"/>
        <v>13003479.380322367</v>
      </c>
      <c r="H492" s="493">
        <f t="shared" si="682"/>
        <v>13003479.380322367</v>
      </c>
      <c r="I492" s="493">
        <f t="shared" si="682"/>
        <v>13003479.380322367</v>
      </c>
      <c r="J492" s="493">
        <f t="shared" si="682"/>
        <v>13003479.380322367</v>
      </c>
      <c r="K492" s="493">
        <f t="shared" si="682"/>
        <v>13003479.380322367</v>
      </c>
      <c r="L492" s="493">
        <f t="shared" si="682"/>
        <v>13003479.380322367</v>
      </c>
      <c r="M492" s="493">
        <f t="shared" si="682"/>
        <v>13003479.380322367</v>
      </c>
      <c r="N492" s="493">
        <f t="shared" si="682"/>
        <v>13003479.380322367</v>
      </c>
      <c r="O492" s="493">
        <f t="shared" si="682"/>
        <v>13003479.380322367</v>
      </c>
      <c r="P492" s="493">
        <f t="shared" si="682"/>
        <v>13003479.380322367</v>
      </c>
      <c r="Q492" s="493">
        <f t="shared" si="682"/>
        <v>13003479.380322367</v>
      </c>
      <c r="R492" s="493">
        <f t="shared" si="682"/>
        <v>13003479.380322367</v>
      </c>
      <c r="S492" s="493">
        <f t="shared" si="682"/>
        <v>13003479.380322367</v>
      </c>
      <c r="T492" s="493">
        <f t="shared" si="682"/>
        <v>13003479.380322367</v>
      </c>
      <c r="U492" s="493">
        <f t="shared" si="682"/>
        <v>13003479.380322367</v>
      </c>
      <c r="V492" s="493">
        <f t="shared" si="682"/>
        <v>13003479.380322367</v>
      </c>
      <c r="W492" s="493">
        <f t="shared" si="682"/>
        <v>13003479.380322367</v>
      </c>
      <c r="X492" s="493">
        <f t="shared" si="682"/>
        <v>13003479.380322367</v>
      </c>
      <c r="Y492" s="493">
        <f t="shared" si="682"/>
        <v>13003479.380322367</v>
      </c>
      <c r="Z492" s="493">
        <f t="shared" si="682"/>
        <v>13003479.380322367</v>
      </c>
      <c r="AA492" s="493">
        <f t="shared" si="682"/>
        <v>13003479.380322367</v>
      </c>
      <c r="AB492" s="493">
        <f t="shared" si="682"/>
        <v>13003479.380322367</v>
      </c>
      <c r="AC492" s="493">
        <f t="shared" si="682"/>
        <v>13003479.380322367</v>
      </c>
      <c r="AD492" s="493">
        <f t="shared" si="682"/>
        <v>13003479.380322367</v>
      </c>
      <c r="AE492" s="493">
        <f t="shared" si="682"/>
        <v>13003479.380322367</v>
      </c>
      <c r="AF492" s="493">
        <f t="shared" si="682"/>
        <v>13003479.380322367</v>
      </c>
      <c r="AG492" s="493">
        <f t="shared" si="682"/>
        <v>13003479.380322367</v>
      </c>
      <c r="AH492" s="493">
        <f t="shared" si="682"/>
        <v>13003479.380322367</v>
      </c>
      <c r="AI492" s="544">
        <f>SUM(D492:N492)</f>
        <v>130034793.80322367</v>
      </c>
      <c r="AJ492" s="545">
        <f>SUM(D492:X492)</f>
        <v>260069587.60644734</v>
      </c>
      <c r="AK492" s="529">
        <f>SUM(D492:AH492)</f>
        <v>390104381.40967071</v>
      </c>
    </row>
    <row r="493" spans="1:37" x14ac:dyDescent="0.2">
      <c r="A493" s="491"/>
      <c r="B493" s="439" t="s">
        <v>285</v>
      </c>
      <c r="C493" s="452" t="s">
        <v>37</v>
      </c>
      <c r="D493" s="493">
        <f t="shared" ref="D493:AH493" si="683">D277+D282</f>
        <v>0</v>
      </c>
      <c r="E493" s="493">
        <f t="shared" si="683"/>
        <v>3218382.1100723092</v>
      </c>
      <c r="F493" s="493">
        <f t="shared" si="683"/>
        <v>3218382.1100723092</v>
      </c>
      <c r="G493" s="493">
        <f t="shared" si="683"/>
        <v>3218382.1100723092</v>
      </c>
      <c r="H493" s="493">
        <f t="shared" si="683"/>
        <v>3218382.1100723092</v>
      </c>
      <c r="I493" s="493">
        <f t="shared" si="683"/>
        <v>3218382.1100723092</v>
      </c>
      <c r="J493" s="493">
        <f t="shared" si="683"/>
        <v>3218382.1100723092</v>
      </c>
      <c r="K493" s="493">
        <f t="shared" si="683"/>
        <v>3218382.1100723092</v>
      </c>
      <c r="L493" s="493">
        <f t="shared" si="683"/>
        <v>3218382.1100723092</v>
      </c>
      <c r="M493" s="493">
        <f t="shared" si="683"/>
        <v>3218382.1100723092</v>
      </c>
      <c r="N493" s="493">
        <f t="shared" si="683"/>
        <v>3218382.1100723092</v>
      </c>
      <c r="O493" s="493">
        <f t="shared" si="683"/>
        <v>3218382.1100723092</v>
      </c>
      <c r="P493" s="493">
        <f t="shared" si="683"/>
        <v>3218382.1100723092</v>
      </c>
      <c r="Q493" s="493">
        <f t="shared" si="683"/>
        <v>3218382.1100723092</v>
      </c>
      <c r="R493" s="493">
        <f t="shared" si="683"/>
        <v>3218382.1100723092</v>
      </c>
      <c r="S493" s="493">
        <f t="shared" si="683"/>
        <v>3218382.1100723092</v>
      </c>
      <c r="T493" s="493">
        <f t="shared" si="683"/>
        <v>3218382.1100723092</v>
      </c>
      <c r="U493" s="493">
        <f t="shared" si="683"/>
        <v>3218382.1100723092</v>
      </c>
      <c r="V493" s="493">
        <f t="shared" si="683"/>
        <v>3218382.1100723092</v>
      </c>
      <c r="W493" s="493">
        <f t="shared" si="683"/>
        <v>3218382.1100723092</v>
      </c>
      <c r="X493" s="493">
        <f t="shared" si="683"/>
        <v>3218382.1100723092</v>
      </c>
      <c r="Y493" s="493">
        <f t="shared" si="683"/>
        <v>3218382.1100723092</v>
      </c>
      <c r="Z493" s="493">
        <f t="shared" si="683"/>
        <v>3218382.1100723092</v>
      </c>
      <c r="AA493" s="493">
        <f t="shared" si="683"/>
        <v>3218382.1100723092</v>
      </c>
      <c r="AB493" s="493">
        <f t="shared" si="683"/>
        <v>3218382.1100723092</v>
      </c>
      <c r="AC493" s="493">
        <f t="shared" si="683"/>
        <v>3218382.1100723092</v>
      </c>
      <c r="AD493" s="493">
        <f t="shared" si="683"/>
        <v>3218382.1100723092</v>
      </c>
      <c r="AE493" s="493">
        <f t="shared" si="683"/>
        <v>3218382.1100723092</v>
      </c>
      <c r="AF493" s="493">
        <f t="shared" si="683"/>
        <v>3218382.1100723092</v>
      </c>
      <c r="AG493" s="493">
        <f t="shared" si="683"/>
        <v>3218382.1100723092</v>
      </c>
      <c r="AH493" s="493">
        <f t="shared" si="683"/>
        <v>3218382.1100723092</v>
      </c>
      <c r="AI493" s="544">
        <f t="shared" si="672"/>
        <v>32183821.100723088</v>
      </c>
      <c r="AJ493" s="545">
        <f t="shared" si="673"/>
        <v>64367642.201446161</v>
      </c>
      <c r="AK493" s="529">
        <f t="shared" si="674"/>
        <v>96551463.302169308</v>
      </c>
    </row>
    <row r="494" spans="1:37" x14ac:dyDescent="0.2">
      <c r="A494" s="491"/>
      <c r="B494" s="439" t="s">
        <v>286</v>
      </c>
      <c r="C494" s="452" t="s">
        <v>37</v>
      </c>
      <c r="D494" s="493">
        <f t="shared" ref="D494:AH494" si="684">D278+D283</f>
        <v>0</v>
      </c>
      <c r="E494" s="493">
        <f t="shared" si="684"/>
        <v>4404590.4098591143</v>
      </c>
      <c r="F494" s="493">
        <f t="shared" si="684"/>
        <v>4404590.4098591143</v>
      </c>
      <c r="G494" s="493">
        <f t="shared" si="684"/>
        <v>4404590.4098591143</v>
      </c>
      <c r="H494" s="493">
        <f t="shared" si="684"/>
        <v>4404590.4098591143</v>
      </c>
      <c r="I494" s="493">
        <f t="shared" si="684"/>
        <v>4404590.4098591143</v>
      </c>
      <c r="J494" s="493">
        <f t="shared" si="684"/>
        <v>4404590.4098591143</v>
      </c>
      <c r="K494" s="493">
        <f t="shared" si="684"/>
        <v>4404590.4098591143</v>
      </c>
      <c r="L494" s="493">
        <f t="shared" si="684"/>
        <v>4404590.4098591143</v>
      </c>
      <c r="M494" s="493">
        <f t="shared" si="684"/>
        <v>4404590.4098591143</v>
      </c>
      <c r="N494" s="493">
        <f t="shared" si="684"/>
        <v>4404590.4098591143</v>
      </c>
      <c r="O494" s="493">
        <f t="shared" si="684"/>
        <v>4404590.4098591143</v>
      </c>
      <c r="P494" s="493">
        <f t="shared" si="684"/>
        <v>4404590.4098591143</v>
      </c>
      <c r="Q494" s="493">
        <f t="shared" si="684"/>
        <v>4404590.4098591143</v>
      </c>
      <c r="R494" s="493">
        <f t="shared" si="684"/>
        <v>4404590.4098591143</v>
      </c>
      <c r="S494" s="493">
        <f t="shared" si="684"/>
        <v>4404590.4098591143</v>
      </c>
      <c r="T494" s="493">
        <f t="shared" si="684"/>
        <v>4404590.4098591143</v>
      </c>
      <c r="U494" s="493">
        <f t="shared" si="684"/>
        <v>4404590.4098591143</v>
      </c>
      <c r="V494" s="493">
        <f t="shared" si="684"/>
        <v>4404590.4098591143</v>
      </c>
      <c r="W494" s="493">
        <f t="shared" si="684"/>
        <v>4404590.4098591143</v>
      </c>
      <c r="X494" s="493">
        <f t="shared" si="684"/>
        <v>4404590.4098591143</v>
      </c>
      <c r="Y494" s="493">
        <f t="shared" si="684"/>
        <v>4404590.4098591143</v>
      </c>
      <c r="Z494" s="493">
        <f t="shared" si="684"/>
        <v>4404590.4098591143</v>
      </c>
      <c r="AA494" s="493">
        <f t="shared" si="684"/>
        <v>4404590.4098591143</v>
      </c>
      <c r="AB494" s="493">
        <f t="shared" si="684"/>
        <v>4404590.4098591143</v>
      </c>
      <c r="AC494" s="493">
        <f t="shared" si="684"/>
        <v>4404590.4098591143</v>
      </c>
      <c r="AD494" s="493">
        <f t="shared" si="684"/>
        <v>4404590.4098591143</v>
      </c>
      <c r="AE494" s="493">
        <f t="shared" si="684"/>
        <v>4404590.4098591143</v>
      </c>
      <c r="AF494" s="493">
        <f t="shared" si="684"/>
        <v>4404590.4098591143</v>
      </c>
      <c r="AG494" s="493">
        <f t="shared" si="684"/>
        <v>4404590.4098591143</v>
      </c>
      <c r="AH494" s="493">
        <f t="shared" si="684"/>
        <v>4404590.4098591143</v>
      </c>
      <c r="AI494" s="544">
        <f t="shared" si="672"/>
        <v>44045904.098591141</v>
      </c>
      <c r="AJ494" s="545">
        <f t="shared" si="673"/>
        <v>88091808.197182313</v>
      </c>
      <c r="AK494" s="529">
        <f t="shared" si="674"/>
        <v>132137712.29577352</v>
      </c>
    </row>
    <row r="495" spans="1:37" x14ac:dyDescent="0.2">
      <c r="A495" s="491"/>
      <c r="B495" s="439" t="s">
        <v>287</v>
      </c>
      <c r="C495" s="452" t="s">
        <v>37</v>
      </c>
      <c r="D495" s="493">
        <f t="shared" ref="D495:AH495" si="685">D284</f>
        <v>0</v>
      </c>
      <c r="E495" s="493">
        <f t="shared" si="685"/>
        <v>7224155.211290203</v>
      </c>
      <c r="F495" s="493">
        <f t="shared" si="685"/>
        <v>7224155.211290203</v>
      </c>
      <c r="G495" s="493">
        <f t="shared" si="685"/>
        <v>7224155.211290203</v>
      </c>
      <c r="H495" s="493">
        <f t="shared" si="685"/>
        <v>7224155.211290203</v>
      </c>
      <c r="I495" s="493">
        <f t="shared" si="685"/>
        <v>7224155.211290203</v>
      </c>
      <c r="J495" s="493">
        <f t="shared" si="685"/>
        <v>7224155.211290203</v>
      </c>
      <c r="K495" s="493">
        <f t="shared" si="685"/>
        <v>7224155.211290203</v>
      </c>
      <c r="L495" s="493">
        <f t="shared" si="685"/>
        <v>7224155.211290203</v>
      </c>
      <c r="M495" s="493">
        <f t="shared" si="685"/>
        <v>7224155.211290203</v>
      </c>
      <c r="N495" s="493">
        <f t="shared" si="685"/>
        <v>7224155.211290203</v>
      </c>
      <c r="O495" s="493">
        <f t="shared" si="685"/>
        <v>7224155.211290203</v>
      </c>
      <c r="P495" s="493">
        <f t="shared" si="685"/>
        <v>7224155.211290203</v>
      </c>
      <c r="Q495" s="493">
        <f t="shared" si="685"/>
        <v>7224155.211290203</v>
      </c>
      <c r="R495" s="493">
        <f t="shared" si="685"/>
        <v>7224155.211290203</v>
      </c>
      <c r="S495" s="493">
        <f t="shared" si="685"/>
        <v>7224155.211290203</v>
      </c>
      <c r="T495" s="493">
        <f t="shared" si="685"/>
        <v>7224155.211290203</v>
      </c>
      <c r="U495" s="493">
        <f t="shared" si="685"/>
        <v>7224155.211290203</v>
      </c>
      <c r="V495" s="493">
        <f t="shared" si="685"/>
        <v>7224155.211290203</v>
      </c>
      <c r="W495" s="493">
        <f t="shared" si="685"/>
        <v>7224155.211290203</v>
      </c>
      <c r="X495" s="493">
        <f t="shared" si="685"/>
        <v>7224155.211290203</v>
      </c>
      <c r="Y495" s="493">
        <f t="shared" si="685"/>
        <v>7224155.211290203</v>
      </c>
      <c r="Z495" s="493">
        <f t="shared" si="685"/>
        <v>7224155.211290203</v>
      </c>
      <c r="AA495" s="493">
        <f t="shared" si="685"/>
        <v>7224155.211290203</v>
      </c>
      <c r="AB495" s="493">
        <f t="shared" si="685"/>
        <v>7224155.211290203</v>
      </c>
      <c r="AC495" s="493">
        <f t="shared" si="685"/>
        <v>7224155.211290203</v>
      </c>
      <c r="AD495" s="493">
        <f t="shared" si="685"/>
        <v>7224155.211290203</v>
      </c>
      <c r="AE495" s="493">
        <f t="shared" si="685"/>
        <v>7224155.211290203</v>
      </c>
      <c r="AF495" s="493">
        <f t="shared" si="685"/>
        <v>7224155.211290203</v>
      </c>
      <c r="AG495" s="493">
        <f t="shared" si="685"/>
        <v>7224155.211290203</v>
      </c>
      <c r="AH495" s="493">
        <f t="shared" si="685"/>
        <v>7224155.211290203</v>
      </c>
      <c r="AI495" s="544">
        <f t="shared" si="672"/>
        <v>72241552.11290203</v>
      </c>
      <c r="AJ495" s="545">
        <f t="shared" si="673"/>
        <v>144483104.22580412</v>
      </c>
      <c r="AK495" s="529">
        <f t="shared" si="674"/>
        <v>216724656.33870623</v>
      </c>
    </row>
    <row r="496" spans="1:37" s="1413" customFormat="1" x14ac:dyDescent="0.2">
      <c r="A496" s="1412"/>
      <c r="B496" s="1421" t="s">
        <v>350</v>
      </c>
      <c r="C496" s="1416" t="s">
        <v>37</v>
      </c>
      <c r="D496" s="1407">
        <f>D18</f>
        <v>0</v>
      </c>
      <c r="E496" s="1407">
        <f t="shared" ref="E496:AK496" si="686">E18</f>
        <v>22306823.283875279</v>
      </c>
      <c r="F496" s="1407">
        <f t="shared" si="686"/>
        <v>22879538.111663651</v>
      </c>
      <c r="G496" s="1407">
        <f t="shared" si="686"/>
        <v>23452252.939452026</v>
      </c>
      <c r="H496" s="1407">
        <f t="shared" si="686"/>
        <v>24024967.767240394</v>
      </c>
      <c r="I496" s="1407">
        <f t="shared" si="686"/>
        <v>24597682.595028765</v>
      </c>
      <c r="J496" s="1407">
        <f t="shared" si="686"/>
        <v>25170397.422817137</v>
      </c>
      <c r="K496" s="1407">
        <f t="shared" si="686"/>
        <v>25743112.250605505</v>
      </c>
      <c r="L496" s="1407">
        <f t="shared" si="686"/>
        <v>26315827.078393877</v>
      </c>
      <c r="M496" s="1407">
        <f t="shared" si="686"/>
        <v>26888541.906182244</v>
      </c>
      <c r="N496" s="1407">
        <f t="shared" si="686"/>
        <v>27461256.733970616</v>
      </c>
      <c r="O496" s="1407">
        <f t="shared" si="686"/>
        <v>28033971.561758984</v>
      </c>
      <c r="P496" s="1407">
        <f t="shared" si="686"/>
        <v>28606686.389547359</v>
      </c>
      <c r="Q496" s="1407">
        <f t="shared" si="686"/>
        <v>29179401.217335731</v>
      </c>
      <c r="R496" s="1407">
        <f t="shared" si="686"/>
        <v>29752116.045124099</v>
      </c>
      <c r="S496" s="1407">
        <f t="shared" si="686"/>
        <v>30324830.87291247</v>
      </c>
      <c r="T496" s="1407">
        <f t="shared" si="686"/>
        <v>67048980.012923568</v>
      </c>
      <c r="U496" s="1407">
        <f t="shared" si="686"/>
        <v>67115574.76034081</v>
      </c>
      <c r="V496" s="1407">
        <f t="shared" si="686"/>
        <v>67182169.507758066</v>
      </c>
      <c r="W496" s="1407">
        <f t="shared" si="686"/>
        <v>67248764.255175322</v>
      </c>
      <c r="X496" s="1407">
        <f t="shared" si="686"/>
        <v>67315359.002592579</v>
      </c>
      <c r="Y496" s="1407">
        <f t="shared" si="686"/>
        <v>67381953.750009835</v>
      </c>
      <c r="Z496" s="1407">
        <f t="shared" si="686"/>
        <v>67448548.497427076</v>
      </c>
      <c r="AA496" s="1407">
        <f t="shared" si="686"/>
        <v>67515143.244844332</v>
      </c>
      <c r="AB496" s="1407">
        <f t="shared" si="686"/>
        <v>67581737.992261589</v>
      </c>
      <c r="AC496" s="1407">
        <f t="shared" si="686"/>
        <v>67648332.739678845</v>
      </c>
      <c r="AD496" s="1407">
        <f t="shared" si="686"/>
        <v>67714927.487096086</v>
      </c>
      <c r="AE496" s="1407">
        <f t="shared" si="686"/>
        <v>67781522.234513342</v>
      </c>
      <c r="AF496" s="1407">
        <f t="shared" si="686"/>
        <v>67848116.981930599</v>
      </c>
      <c r="AG496" s="1407">
        <f t="shared" si="686"/>
        <v>67914711.72934784</v>
      </c>
      <c r="AH496" s="1407">
        <f t="shared" si="686"/>
        <v>67981306.476765096</v>
      </c>
      <c r="AI496" s="1422">
        <f t="shared" si="686"/>
        <v>248840400.08922949</v>
      </c>
      <c r="AJ496" s="1423">
        <f t="shared" si="686"/>
        <v>730648253.71469867</v>
      </c>
      <c r="AK496" s="1424">
        <f t="shared" si="686"/>
        <v>1407464554.8485732</v>
      </c>
    </row>
    <row r="497" spans="1:37" x14ac:dyDescent="0.2">
      <c r="A497" s="491"/>
      <c r="B497" s="349" t="s">
        <v>288</v>
      </c>
      <c r="C497" s="452" t="s">
        <v>37</v>
      </c>
      <c r="D497" s="493">
        <f>D19</f>
        <v>0</v>
      </c>
      <c r="E497" s="493">
        <f t="shared" ref="E497:AH497" si="687">E19</f>
        <v>4521195.7538662003</v>
      </c>
      <c r="F497" s="493">
        <f t="shared" si="687"/>
        <v>4637274.8483486827</v>
      </c>
      <c r="G497" s="493">
        <f t="shared" si="687"/>
        <v>4753353.9428311652</v>
      </c>
      <c r="H497" s="493">
        <f t="shared" si="687"/>
        <v>4869433.0373136466</v>
      </c>
      <c r="I497" s="493">
        <f t="shared" si="687"/>
        <v>4985512.131796129</v>
      </c>
      <c r="J497" s="493">
        <f t="shared" si="687"/>
        <v>5101591.2262786115</v>
      </c>
      <c r="K497" s="493">
        <f t="shared" si="687"/>
        <v>5217670.3207610939</v>
      </c>
      <c r="L497" s="493">
        <f t="shared" si="687"/>
        <v>5333749.4152435763</v>
      </c>
      <c r="M497" s="493">
        <f t="shared" si="687"/>
        <v>5449828.5097260578</v>
      </c>
      <c r="N497" s="493">
        <f t="shared" si="687"/>
        <v>5565907.6042085402</v>
      </c>
      <c r="O497" s="493">
        <f t="shared" si="687"/>
        <v>5681986.6986910217</v>
      </c>
      <c r="P497" s="493">
        <f t="shared" si="687"/>
        <v>5798065.793173505</v>
      </c>
      <c r="Q497" s="493">
        <f t="shared" si="687"/>
        <v>5914144.8876559874</v>
      </c>
      <c r="R497" s="493">
        <f t="shared" si="687"/>
        <v>6030223.9821384689</v>
      </c>
      <c r="S497" s="493">
        <f t="shared" si="687"/>
        <v>6146303.0766209513</v>
      </c>
      <c r="T497" s="493">
        <f t="shared" si="687"/>
        <v>13589633.98229002</v>
      </c>
      <c r="U497" s="493">
        <f t="shared" si="687"/>
        <v>13603131.551415889</v>
      </c>
      <c r="V497" s="493">
        <f t="shared" si="687"/>
        <v>13616629.120541759</v>
      </c>
      <c r="W497" s="493">
        <f t="shared" si="687"/>
        <v>13630126.689667627</v>
      </c>
      <c r="X497" s="493">
        <f t="shared" si="687"/>
        <v>13643624.258793499</v>
      </c>
      <c r="Y497" s="493">
        <f t="shared" si="687"/>
        <v>13657121.82791937</v>
      </c>
      <c r="Z497" s="493">
        <f t="shared" si="687"/>
        <v>13670619.397045238</v>
      </c>
      <c r="AA497" s="493">
        <f t="shared" si="687"/>
        <v>13684116.96617111</v>
      </c>
      <c r="AB497" s="493">
        <f t="shared" si="687"/>
        <v>13697614.535296978</v>
      </c>
      <c r="AC497" s="493">
        <f t="shared" si="687"/>
        <v>13711112.104422849</v>
      </c>
      <c r="AD497" s="493">
        <f t="shared" si="687"/>
        <v>13724609.673548719</v>
      </c>
      <c r="AE497" s="493">
        <f t="shared" si="687"/>
        <v>13738107.242674589</v>
      </c>
      <c r="AF497" s="493">
        <f t="shared" si="687"/>
        <v>13751604.811800459</v>
      </c>
      <c r="AG497" s="493">
        <f t="shared" si="687"/>
        <v>13765102.38092633</v>
      </c>
      <c r="AH497" s="493">
        <f t="shared" si="687"/>
        <v>13778599.9500522</v>
      </c>
      <c r="AI497" s="544">
        <f t="shared" si="672"/>
        <v>50435516.790373698</v>
      </c>
      <c r="AJ497" s="545">
        <f t="shared" si="673"/>
        <v>148089386.83136246</v>
      </c>
      <c r="AK497" s="529">
        <f t="shared" si="674"/>
        <v>285267995.72122025</v>
      </c>
    </row>
    <row r="498" spans="1:37" x14ac:dyDescent="0.2">
      <c r="A498" s="491"/>
      <c r="B498" s="349" t="s">
        <v>289</v>
      </c>
      <c r="C498" s="452" t="s">
        <v>37</v>
      </c>
      <c r="D498" s="493">
        <f>D20</f>
        <v>0</v>
      </c>
      <c r="E498" s="493">
        <f t="shared" ref="E498:AH498" si="688">E20</f>
        <v>1690163.3871301156</v>
      </c>
      <c r="F498" s="493">
        <f t="shared" si="688"/>
        <v>1733557.357704767</v>
      </c>
      <c r="G498" s="493">
        <f t="shared" si="688"/>
        <v>1776951.3282794186</v>
      </c>
      <c r="H498" s="493">
        <f t="shared" si="688"/>
        <v>1820345.29885407</v>
      </c>
      <c r="I498" s="493">
        <f t="shared" si="688"/>
        <v>1863739.2694287214</v>
      </c>
      <c r="J498" s="493">
        <f t="shared" si="688"/>
        <v>1907133.240003373</v>
      </c>
      <c r="K498" s="493">
        <f t="shared" si="688"/>
        <v>1950527.2105780242</v>
      </c>
      <c r="L498" s="493">
        <f t="shared" si="688"/>
        <v>1993921.1811526758</v>
      </c>
      <c r="M498" s="493">
        <f t="shared" si="688"/>
        <v>2037315.1517273271</v>
      </c>
      <c r="N498" s="493">
        <f t="shared" si="688"/>
        <v>2080709.1223019785</v>
      </c>
      <c r="O498" s="493">
        <f t="shared" si="688"/>
        <v>2124103.0928766299</v>
      </c>
      <c r="P498" s="493">
        <f t="shared" si="688"/>
        <v>2167497.0634512813</v>
      </c>
      <c r="Q498" s="493">
        <f t="shared" si="688"/>
        <v>2210891.0340259331</v>
      </c>
      <c r="R498" s="493">
        <f t="shared" si="688"/>
        <v>2254285.004600584</v>
      </c>
      <c r="S498" s="493">
        <f t="shared" si="688"/>
        <v>2297678.9751752359</v>
      </c>
      <c r="T498" s="493">
        <f t="shared" si="688"/>
        <v>5080227.23451526</v>
      </c>
      <c r="U498" s="493">
        <f t="shared" si="688"/>
        <v>5085273.0450471956</v>
      </c>
      <c r="V498" s="493">
        <f t="shared" si="688"/>
        <v>5090318.8555791322</v>
      </c>
      <c r="W498" s="493">
        <f t="shared" si="688"/>
        <v>5095364.6661110679</v>
      </c>
      <c r="X498" s="493">
        <f t="shared" si="688"/>
        <v>5100410.4766430045</v>
      </c>
      <c r="Y498" s="493">
        <f t="shared" si="688"/>
        <v>5105456.287174941</v>
      </c>
      <c r="Z498" s="493">
        <f t="shared" si="688"/>
        <v>5110502.0977068767</v>
      </c>
      <c r="AA498" s="493">
        <f t="shared" si="688"/>
        <v>5115547.9082388133</v>
      </c>
      <c r="AB498" s="493">
        <f t="shared" si="688"/>
        <v>5120593.7187707489</v>
      </c>
      <c r="AC498" s="493">
        <f t="shared" si="688"/>
        <v>5125639.5293026855</v>
      </c>
      <c r="AD498" s="493">
        <f t="shared" si="688"/>
        <v>5130685.3398346212</v>
      </c>
      <c r="AE498" s="493">
        <f t="shared" si="688"/>
        <v>5135731.1503665578</v>
      </c>
      <c r="AF498" s="493">
        <f t="shared" si="688"/>
        <v>5140776.9608984943</v>
      </c>
      <c r="AG498" s="493">
        <f t="shared" si="688"/>
        <v>5145822.77143043</v>
      </c>
      <c r="AH498" s="493">
        <f t="shared" si="688"/>
        <v>5150868.5819623666</v>
      </c>
      <c r="AI498" s="544">
        <f t="shared" si="672"/>
        <v>18854362.547160469</v>
      </c>
      <c r="AJ498" s="545">
        <f t="shared" si="673"/>
        <v>55360411.995185785</v>
      </c>
      <c r="AK498" s="529">
        <f t="shared" si="674"/>
        <v>106642036.3408723</v>
      </c>
    </row>
    <row r="499" spans="1:37" x14ac:dyDescent="0.2">
      <c r="A499" s="491"/>
      <c r="B499" s="349" t="s">
        <v>253</v>
      </c>
      <c r="C499" s="452" t="s">
        <v>37</v>
      </c>
      <c r="D499" s="493">
        <f>D21</f>
        <v>0</v>
      </c>
      <c r="E499" s="493">
        <f t="shared" ref="E499:AH499" si="689">E21</f>
        <v>12835248.989062499</v>
      </c>
      <c r="F499" s="493">
        <f t="shared" si="689"/>
        <v>12835248.989062499</v>
      </c>
      <c r="G499" s="493">
        <f t="shared" si="689"/>
        <v>12835248.989062499</v>
      </c>
      <c r="H499" s="493">
        <f t="shared" si="689"/>
        <v>12835248.989062499</v>
      </c>
      <c r="I499" s="493">
        <f t="shared" si="689"/>
        <v>12835248.989062499</v>
      </c>
      <c r="J499" s="493">
        <f t="shared" si="689"/>
        <v>12835248.989062499</v>
      </c>
      <c r="K499" s="493">
        <f t="shared" si="689"/>
        <v>12835248.989062499</v>
      </c>
      <c r="L499" s="493">
        <f t="shared" si="689"/>
        <v>12835248.989062499</v>
      </c>
      <c r="M499" s="493">
        <f t="shared" si="689"/>
        <v>12835248.989062499</v>
      </c>
      <c r="N499" s="493">
        <f t="shared" si="689"/>
        <v>12835248.989062499</v>
      </c>
      <c r="O499" s="493">
        <f t="shared" si="689"/>
        <v>12835248.989062499</v>
      </c>
      <c r="P499" s="493">
        <f t="shared" si="689"/>
        <v>12835248.989062499</v>
      </c>
      <c r="Q499" s="493">
        <f t="shared" si="689"/>
        <v>12835248.989062499</v>
      </c>
      <c r="R499" s="493">
        <f t="shared" si="689"/>
        <v>12835248.989062499</v>
      </c>
      <c r="S499" s="493">
        <f t="shared" si="689"/>
        <v>12835248.989062499</v>
      </c>
      <c r="T499" s="493">
        <f t="shared" si="689"/>
        <v>12835248.989062499</v>
      </c>
      <c r="U499" s="493">
        <f t="shared" si="689"/>
        <v>12835248.989062499</v>
      </c>
      <c r="V499" s="493">
        <f t="shared" si="689"/>
        <v>12835248.989062499</v>
      </c>
      <c r="W499" s="493">
        <f t="shared" si="689"/>
        <v>12835248.989062499</v>
      </c>
      <c r="X499" s="493">
        <f t="shared" si="689"/>
        <v>12835248.989062499</v>
      </c>
      <c r="Y499" s="493">
        <f t="shared" si="689"/>
        <v>12835248.989062499</v>
      </c>
      <c r="Z499" s="493">
        <f t="shared" si="689"/>
        <v>12835248.989062499</v>
      </c>
      <c r="AA499" s="493">
        <f t="shared" si="689"/>
        <v>12835248.989062499</v>
      </c>
      <c r="AB499" s="493">
        <f t="shared" si="689"/>
        <v>12835248.989062499</v>
      </c>
      <c r="AC499" s="493">
        <f t="shared" si="689"/>
        <v>12835248.989062499</v>
      </c>
      <c r="AD499" s="493">
        <f t="shared" si="689"/>
        <v>12835248.989062499</v>
      </c>
      <c r="AE499" s="493">
        <f t="shared" si="689"/>
        <v>12835248.989062499</v>
      </c>
      <c r="AF499" s="493">
        <f t="shared" si="689"/>
        <v>12835248.989062499</v>
      </c>
      <c r="AG499" s="493">
        <f t="shared" si="689"/>
        <v>12835248.989062499</v>
      </c>
      <c r="AH499" s="493">
        <f t="shared" si="689"/>
        <v>12835248.989062499</v>
      </c>
      <c r="AI499" s="544">
        <f t="shared" si="672"/>
        <v>128352489.89062501</v>
      </c>
      <c r="AJ499" s="545">
        <f t="shared" si="673"/>
        <v>256704979.78124991</v>
      </c>
      <c r="AK499" s="529">
        <f t="shared" si="674"/>
        <v>385057469.67187482</v>
      </c>
    </row>
    <row r="500" spans="1:37" x14ac:dyDescent="0.2">
      <c r="A500" s="494"/>
      <c r="B500" s="473" t="s">
        <v>273</v>
      </c>
      <c r="C500" s="453" t="s">
        <v>37</v>
      </c>
      <c r="D500" s="495">
        <f>D22</f>
        <v>0</v>
      </c>
      <c r="E500" s="495">
        <f t="shared" ref="E500:AH500" si="690">E22</f>
        <v>67482677.382815763</v>
      </c>
      <c r="F500" s="495">
        <f t="shared" si="690"/>
        <v>63664578.530893296</v>
      </c>
      <c r="G500" s="495">
        <f t="shared" si="690"/>
        <v>59846479.678970814</v>
      </c>
      <c r="H500" s="495">
        <f t="shared" si="690"/>
        <v>56028380.827048354</v>
      </c>
      <c r="I500" s="495">
        <f t="shared" si="690"/>
        <v>52210281.975125872</v>
      </c>
      <c r="J500" s="495">
        <f t="shared" si="690"/>
        <v>48392183.123203412</v>
      </c>
      <c r="K500" s="495">
        <f t="shared" si="690"/>
        <v>44574084.271280937</v>
      </c>
      <c r="L500" s="495">
        <f t="shared" si="690"/>
        <v>40755985.41935847</v>
      </c>
      <c r="M500" s="495">
        <f t="shared" si="690"/>
        <v>36937886.567436002</v>
      </c>
      <c r="N500" s="495">
        <f t="shared" si="690"/>
        <v>33119787.715513531</v>
      </c>
      <c r="O500" s="495">
        <f t="shared" si="690"/>
        <v>29301688.86359106</v>
      </c>
      <c r="P500" s="495">
        <f t="shared" si="690"/>
        <v>25483590.011668589</v>
      </c>
      <c r="Q500" s="495">
        <f t="shared" si="690"/>
        <v>21665491.159746122</v>
      </c>
      <c r="R500" s="495">
        <f t="shared" si="690"/>
        <v>17847392.307823651</v>
      </c>
      <c r="S500" s="495">
        <f t="shared" si="690"/>
        <v>14029293.455901179</v>
      </c>
      <c r="T500" s="495">
        <f t="shared" si="690"/>
        <v>10211194.60397871</v>
      </c>
      <c r="U500" s="495">
        <f t="shared" si="690"/>
        <v>9767229.6211970262</v>
      </c>
      <c r="V500" s="495">
        <f t="shared" si="690"/>
        <v>9323264.6384153459</v>
      </c>
      <c r="W500" s="495">
        <f t="shared" si="690"/>
        <v>8879299.6556336619</v>
      </c>
      <c r="X500" s="495">
        <f t="shared" si="690"/>
        <v>8435334.6728519816</v>
      </c>
      <c r="Y500" s="495">
        <f t="shared" si="690"/>
        <v>7991369.6900702976</v>
      </c>
      <c r="Z500" s="495">
        <f t="shared" si="690"/>
        <v>7547404.7072886173</v>
      </c>
      <c r="AA500" s="495">
        <f t="shared" si="690"/>
        <v>7103439.7245069342</v>
      </c>
      <c r="AB500" s="495">
        <f t="shared" si="690"/>
        <v>6659474.7417252511</v>
      </c>
      <c r="AC500" s="495">
        <f t="shared" si="690"/>
        <v>6215509.7589435689</v>
      </c>
      <c r="AD500" s="495">
        <f t="shared" si="690"/>
        <v>5771544.7761618868</v>
      </c>
      <c r="AE500" s="495">
        <f t="shared" si="690"/>
        <v>5327579.7933802046</v>
      </c>
      <c r="AF500" s="495">
        <f t="shared" si="690"/>
        <v>4883614.8105985224</v>
      </c>
      <c r="AG500" s="495">
        <f t="shared" si="690"/>
        <v>4439649.8278168403</v>
      </c>
      <c r="AH500" s="495">
        <f t="shared" si="690"/>
        <v>3995684.8450351581</v>
      </c>
      <c r="AI500" s="544">
        <f t="shared" si="672"/>
        <v>503012325.49164641</v>
      </c>
      <c r="AJ500" s="545">
        <f t="shared" si="673"/>
        <v>657956104.48245382</v>
      </c>
      <c r="AK500" s="529">
        <f t="shared" si="674"/>
        <v>717891377.15798116</v>
      </c>
    </row>
    <row r="501" spans="1:37" x14ac:dyDescent="0.2">
      <c r="A501" s="494" t="s">
        <v>292</v>
      </c>
      <c r="B501" s="489"/>
      <c r="C501" s="453"/>
      <c r="D501" s="495">
        <f t="shared" ref="D501:AH501" si="691">D484+D488</f>
        <v>-4820191241.6296968</v>
      </c>
      <c r="E501" s="495">
        <f>E484+E488</f>
        <v>380080070.37779188</v>
      </c>
      <c r="F501" s="495">
        <f t="shared" si="691"/>
        <v>383165981.33686876</v>
      </c>
      <c r="G501" s="495">
        <f t="shared" si="691"/>
        <v>386251892.29594564</v>
      </c>
      <c r="H501" s="495">
        <f t="shared" si="691"/>
        <v>389337803.25502253</v>
      </c>
      <c r="I501" s="495">
        <f t="shared" si="691"/>
        <v>392423714.21409965</v>
      </c>
      <c r="J501" s="495">
        <f t="shared" si="691"/>
        <v>395509625.17317653</v>
      </c>
      <c r="K501" s="495">
        <f t="shared" si="691"/>
        <v>398595536.13225365</v>
      </c>
      <c r="L501" s="495">
        <f t="shared" si="691"/>
        <v>401681447.09133053</v>
      </c>
      <c r="M501" s="495">
        <f t="shared" si="691"/>
        <v>404767358.05040741</v>
      </c>
      <c r="N501" s="495">
        <f t="shared" si="691"/>
        <v>407853269.00948453</v>
      </c>
      <c r="O501" s="495">
        <f t="shared" si="691"/>
        <v>410939179.96856141</v>
      </c>
      <c r="P501" s="495">
        <f t="shared" si="691"/>
        <v>414025090.92763841</v>
      </c>
      <c r="Q501" s="495">
        <f t="shared" si="691"/>
        <v>417111001.88671541</v>
      </c>
      <c r="R501" s="495">
        <f t="shared" si="691"/>
        <v>420196912.84579241</v>
      </c>
      <c r="S501" s="495">
        <f t="shared" si="691"/>
        <v>423282823.80486929</v>
      </c>
      <c r="T501" s="495">
        <f t="shared" si="691"/>
        <v>380150894.35177183</v>
      </c>
      <c r="U501" s="495">
        <f t="shared" si="691"/>
        <v>380509721.20747828</v>
      </c>
      <c r="V501" s="495">
        <f t="shared" si="691"/>
        <v>380868548.06318498</v>
      </c>
      <c r="W501" s="495">
        <f t="shared" si="691"/>
        <v>381227374.91889143</v>
      </c>
      <c r="X501" s="495">
        <f t="shared" si="691"/>
        <v>381586201.77459788</v>
      </c>
      <c r="Y501" s="495">
        <f t="shared" si="691"/>
        <v>381945028.63030457</v>
      </c>
      <c r="Z501" s="495">
        <f t="shared" si="691"/>
        <v>382303855.48601151</v>
      </c>
      <c r="AA501" s="495">
        <f t="shared" si="691"/>
        <v>382662682.34171796</v>
      </c>
      <c r="AB501" s="495">
        <f t="shared" si="691"/>
        <v>383021509.19742465</v>
      </c>
      <c r="AC501" s="495">
        <f t="shared" si="691"/>
        <v>383380336.05313134</v>
      </c>
      <c r="AD501" s="495">
        <f t="shared" si="691"/>
        <v>383739162.9088378</v>
      </c>
      <c r="AE501" s="495">
        <f t="shared" si="691"/>
        <v>384097989.76454449</v>
      </c>
      <c r="AF501" s="495">
        <f t="shared" si="691"/>
        <v>384456816.62025118</v>
      </c>
      <c r="AG501" s="495">
        <f t="shared" si="691"/>
        <v>384815643.47595787</v>
      </c>
      <c r="AH501" s="495">
        <f t="shared" si="691"/>
        <v>385174470.33166432</v>
      </c>
      <c r="AI501" s="549">
        <f t="shared" si="672"/>
        <v>-880524544.69331622</v>
      </c>
      <c r="AJ501" s="550">
        <f t="shared" si="673"/>
        <v>3109373205.0561848</v>
      </c>
      <c r="AK501" s="551">
        <f t="shared" si="674"/>
        <v>6944970699.8660307</v>
      </c>
    </row>
    <row r="502" spans="1:37" x14ac:dyDescent="0.2">
      <c r="A502" s="491" t="s">
        <v>293</v>
      </c>
      <c r="B502" s="439"/>
      <c r="C502" s="452" t="s">
        <v>37</v>
      </c>
      <c r="D502" s="493"/>
      <c r="E502" s="493"/>
      <c r="F502" s="493"/>
      <c r="G502" s="493"/>
      <c r="H502" s="493"/>
      <c r="I502" s="493"/>
      <c r="J502" s="493"/>
      <c r="K502" s="493"/>
      <c r="L502" s="493"/>
      <c r="M502" s="493"/>
      <c r="N502" s="493"/>
      <c r="O502" s="493"/>
      <c r="P502" s="493"/>
      <c r="Q502" s="493"/>
      <c r="R502" s="493"/>
      <c r="S502" s="493"/>
      <c r="T502" s="493"/>
      <c r="U502" s="493"/>
      <c r="V502" s="493"/>
      <c r="W502" s="493"/>
      <c r="X502" s="493"/>
      <c r="Y502" s="493"/>
      <c r="Z502" s="493"/>
      <c r="AA502" s="493"/>
      <c r="AB502" s="493"/>
      <c r="AC502" s="493"/>
      <c r="AD502" s="493"/>
      <c r="AE502" s="493"/>
      <c r="AF502" s="493"/>
      <c r="AG502" s="493"/>
      <c r="AH502" s="493"/>
      <c r="AI502" s="544"/>
      <c r="AJ502" s="545"/>
      <c r="AK502" s="529"/>
    </row>
    <row r="503" spans="1:37" x14ac:dyDescent="0.2">
      <c r="A503" s="491"/>
      <c r="B503" s="439" t="s">
        <v>506</v>
      </c>
      <c r="C503" s="452" t="s">
        <v>507</v>
      </c>
      <c r="D503" s="493">
        <f>-インプット!E95</f>
        <v>0</v>
      </c>
      <c r="E503" s="493">
        <v>0</v>
      </c>
      <c r="F503" s="493">
        <v>0</v>
      </c>
      <c r="G503" s="493">
        <v>0</v>
      </c>
      <c r="H503" s="493">
        <v>0</v>
      </c>
      <c r="I503" s="493">
        <v>0</v>
      </c>
      <c r="J503" s="493">
        <v>0</v>
      </c>
      <c r="K503" s="493">
        <v>0</v>
      </c>
      <c r="L503" s="493">
        <v>0</v>
      </c>
      <c r="M503" s="493">
        <v>0</v>
      </c>
      <c r="N503" s="493">
        <v>0</v>
      </c>
      <c r="O503" s="493">
        <v>0</v>
      </c>
      <c r="P503" s="493">
        <v>0</v>
      </c>
      <c r="Q503" s="493">
        <v>0</v>
      </c>
      <c r="R503" s="493">
        <v>0</v>
      </c>
      <c r="S503" s="493">
        <v>0</v>
      </c>
      <c r="T503" s="493">
        <v>0</v>
      </c>
      <c r="U503" s="493">
        <v>0</v>
      </c>
      <c r="V503" s="493">
        <v>0</v>
      </c>
      <c r="W503" s="493">
        <v>0</v>
      </c>
      <c r="X503" s="493">
        <v>0</v>
      </c>
      <c r="Y503" s="493">
        <v>0</v>
      </c>
      <c r="Z503" s="493">
        <v>0</v>
      </c>
      <c r="AA503" s="493">
        <v>0</v>
      </c>
      <c r="AB503" s="493">
        <v>0</v>
      </c>
      <c r="AC503" s="493">
        <v>0</v>
      </c>
      <c r="AD503" s="493">
        <v>0</v>
      </c>
      <c r="AE503" s="493">
        <v>0</v>
      </c>
      <c r="AF503" s="493">
        <v>0</v>
      </c>
      <c r="AG503" s="493">
        <v>0</v>
      </c>
      <c r="AH503" s="493">
        <v>0</v>
      </c>
      <c r="AI503" s="544">
        <f>SUM(D503:N503)</f>
        <v>0</v>
      </c>
      <c r="AJ503" s="545">
        <f>SUM(D503:X503)</f>
        <v>0</v>
      </c>
      <c r="AK503" s="529">
        <f>SUM(D503:AH503)</f>
        <v>0</v>
      </c>
    </row>
    <row r="504" spans="1:37" x14ac:dyDescent="0.2">
      <c r="A504" s="491"/>
      <c r="B504" s="439" t="s">
        <v>290</v>
      </c>
      <c r="C504" s="452" t="s">
        <v>37</v>
      </c>
      <c r="D504" s="493">
        <f>-計算シート!D188</f>
        <v>0</v>
      </c>
      <c r="E504" s="493">
        <f>-計算シート!E188</f>
        <v>0</v>
      </c>
      <c r="F504" s="493">
        <f>-計算シート!F188</f>
        <v>0</v>
      </c>
      <c r="G504" s="493"/>
      <c r="H504" s="493">
        <f>-計算シート!H188</f>
        <v>0</v>
      </c>
      <c r="I504" s="493">
        <f>-計算シート!I188</f>
        <v>0</v>
      </c>
      <c r="J504" s="493">
        <f>-計算シート!J188</f>
        <v>0</v>
      </c>
      <c r="K504" s="493">
        <f>-計算シート!K188</f>
        <v>0</v>
      </c>
      <c r="L504" s="493">
        <f>-計算シート!L188</f>
        <v>0</v>
      </c>
      <c r="M504" s="493">
        <f>-計算シート!M188</f>
        <v>0</v>
      </c>
      <c r="N504" s="493">
        <f>-計算シート!N188</f>
        <v>0</v>
      </c>
      <c r="O504" s="493">
        <f>-計算シート!O188</f>
        <v>0</v>
      </c>
      <c r="P504" s="493">
        <f>-計算シート!P188</f>
        <v>0</v>
      </c>
      <c r="Q504" s="493">
        <f>-計算シート!Q188</f>
        <v>0</v>
      </c>
      <c r="R504" s="493">
        <f>-計算シート!R188</f>
        <v>0</v>
      </c>
      <c r="S504" s="493">
        <f>-計算シート!S188</f>
        <v>0</v>
      </c>
      <c r="T504" s="493">
        <f>-計算シート!T188</f>
        <v>0</v>
      </c>
      <c r="U504" s="493">
        <f>-計算シート!U188</f>
        <v>0</v>
      </c>
      <c r="V504" s="493">
        <f>-計算シート!V188</f>
        <v>0</v>
      </c>
      <c r="W504" s="493">
        <f>-計算シート!W188</f>
        <v>0</v>
      </c>
      <c r="X504" s="493">
        <f>-計算シート!X188</f>
        <v>0</v>
      </c>
      <c r="Y504" s="493">
        <f>-計算シート!Y188</f>
        <v>0</v>
      </c>
      <c r="Z504" s="493">
        <f>-計算シート!Z188</f>
        <v>0</v>
      </c>
      <c r="AA504" s="493">
        <f>-計算シート!AA188</f>
        <v>0</v>
      </c>
      <c r="AB504" s="493">
        <f>-計算シート!AB188</f>
        <v>0</v>
      </c>
      <c r="AC504" s="493">
        <f>-計算シート!AC188</f>
        <v>0</v>
      </c>
      <c r="AD504" s="493">
        <f>-計算シート!AD188</f>
        <v>0</v>
      </c>
      <c r="AE504" s="493">
        <f>-計算シート!AE188</f>
        <v>0</v>
      </c>
      <c r="AF504" s="493">
        <f>-計算シート!AF188</f>
        <v>0</v>
      </c>
      <c r="AG504" s="493">
        <f>-計算シート!AG188</f>
        <v>0</v>
      </c>
      <c r="AH504" s="493">
        <f>-計算シート!AH188</f>
        <v>0</v>
      </c>
      <c r="AI504" s="544">
        <f t="shared" si="672"/>
        <v>0</v>
      </c>
      <c r="AJ504" s="545">
        <f t="shared" si="673"/>
        <v>0</v>
      </c>
      <c r="AK504" s="529">
        <f t="shared" si="674"/>
        <v>0</v>
      </c>
    </row>
    <row r="505" spans="1:37" x14ac:dyDescent="0.2">
      <c r="A505" s="494"/>
      <c r="B505" s="489" t="s">
        <v>207</v>
      </c>
      <c r="C505" s="453" t="s">
        <v>37</v>
      </c>
      <c r="D505" s="495">
        <f t="shared" ref="D505:AH505" si="692">D39</f>
        <v>0</v>
      </c>
      <c r="E505" s="495">
        <f t="shared" si="692"/>
        <v>0</v>
      </c>
      <c r="F505" s="495">
        <f t="shared" si="692"/>
        <v>0</v>
      </c>
      <c r="G505" s="495">
        <f t="shared" si="692"/>
        <v>0</v>
      </c>
      <c r="H505" s="495">
        <f t="shared" si="692"/>
        <v>0</v>
      </c>
      <c r="I505" s="495">
        <f t="shared" si="692"/>
        <v>0</v>
      </c>
      <c r="J505" s="495">
        <f t="shared" si="692"/>
        <v>0</v>
      </c>
      <c r="K505" s="495">
        <f t="shared" si="692"/>
        <v>0</v>
      </c>
      <c r="L505" s="495">
        <f t="shared" si="692"/>
        <v>0</v>
      </c>
      <c r="M505" s="495">
        <f t="shared" si="692"/>
        <v>0</v>
      </c>
      <c r="N505" s="495">
        <f t="shared" si="692"/>
        <v>0</v>
      </c>
      <c r="O505" s="495">
        <f t="shared" si="692"/>
        <v>0</v>
      </c>
      <c r="P505" s="495">
        <f t="shared" si="692"/>
        <v>0</v>
      </c>
      <c r="Q505" s="495">
        <f t="shared" si="692"/>
        <v>0</v>
      </c>
      <c r="R505" s="495">
        <f t="shared" si="692"/>
        <v>0</v>
      </c>
      <c r="S505" s="495">
        <f t="shared" si="692"/>
        <v>0</v>
      </c>
      <c r="T505" s="495">
        <f t="shared" si="692"/>
        <v>0</v>
      </c>
      <c r="U505" s="495">
        <f t="shared" si="692"/>
        <v>0</v>
      </c>
      <c r="V505" s="495">
        <f t="shared" si="692"/>
        <v>0</v>
      </c>
      <c r="W505" s="495">
        <f t="shared" si="692"/>
        <v>0</v>
      </c>
      <c r="X505" s="495">
        <f t="shared" si="692"/>
        <v>0</v>
      </c>
      <c r="Y505" s="495">
        <f t="shared" si="692"/>
        <v>0</v>
      </c>
      <c r="Z505" s="495">
        <f t="shared" si="692"/>
        <v>0</v>
      </c>
      <c r="AA505" s="495">
        <f t="shared" si="692"/>
        <v>0</v>
      </c>
      <c r="AB505" s="495">
        <f t="shared" si="692"/>
        <v>0</v>
      </c>
      <c r="AC505" s="495">
        <f t="shared" si="692"/>
        <v>0</v>
      </c>
      <c r="AD505" s="495">
        <f t="shared" si="692"/>
        <v>0</v>
      </c>
      <c r="AE505" s="495">
        <f t="shared" si="692"/>
        <v>0</v>
      </c>
      <c r="AF505" s="495">
        <f t="shared" si="692"/>
        <v>0</v>
      </c>
      <c r="AG505" s="495">
        <f t="shared" si="692"/>
        <v>0</v>
      </c>
      <c r="AH505" s="495">
        <f t="shared" si="692"/>
        <v>0</v>
      </c>
      <c r="AI505" s="544">
        <f t="shared" si="672"/>
        <v>0</v>
      </c>
      <c r="AJ505" s="545">
        <f t="shared" si="673"/>
        <v>0</v>
      </c>
      <c r="AK505" s="529">
        <f t="shared" si="674"/>
        <v>0</v>
      </c>
    </row>
    <row r="506" spans="1:37" x14ac:dyDescent="0.2">
      <c r="A506" s="494" t="s">
        <v>294</v>
      </c>
      <c r="B506" s="489"/>
      <c r="C506" s="453"/>
      <c r="D506" s="495">
        <f>-D505-D504-D503</f>
        <v>0</v>
      </c>
      <c r="E506" s="495">
        <f>-E505-E504-E503</f>
        <v>0</v>
      </c>
      <c r="F506" s="495">
        <f t="shared" ref="F506:AH506" si="693">-F505-F504-F503</f>
        <v>0</v>
      </c>
      <c r="G506" s="495">
        <f t="shared" si="693"/>
        <v>0</v>
      </c>
      <c r="H506" s="495">
        <f t="shared" si="693"/>
        <v>0</v>
      </c>
      <c r="I506" s="495">
        <f t="shared" si="693"/>
        <v>0</v>
      </c>
      <c r="J506" s="495">
        <f t="shared" si="693"/>
        <v>0</v>
      </c>
      <c r="K506" s="495">
        <f t="shared" si="693"/>
        <v>0</v>
      </c>
      <c r="L506" s="495">
        <f t="shared" si="693"/>
        <v>0</v>
      </c>
      <c r="M506" s="495">
        <f t="shared" si="693"/>
        <v>0</v>
      </c>
      <c r="N506" s="495">
        <f t="shared" si="693"/>
        <v>0</v>
      </c>
      <c r="O506" s="495">
        <f t="shared" si="693"/>
        <v>0</v>
      </c>
      <c r="P506" s="495">
        <f t="shared" si="693"/>
        <v>0</v>
      </c>
      <c r="Q506" s="495">
        <f t="shared" si="693"/>
        <v>0</v>
      </c>
      <c r="R506" s="495">
        <f t="shared" si="693"/>
        <v>0</v>
      </c>
      <c r="S506" s="495">
        <f t="shared" si="693"/>
        <v>0</v>
      </c>
      <c r="T506" s="495">
        <f t="shared" si="693"/>
        <v>0</v>
      </c>
      <c r="U506" s="495">
        <f t="shared" si="693"/>
        <v>0</v>
      </c>
      <c r="V506" s="495">
        <f t="shared" si="693"/>
        <v>0</v>
      </c>
      <c r="W506" s="495">
        <f t="shared" si="693"/>
        <v>0</v>
      </c>
      <c r="X506" s="495">
        <f t="shared" si="693"/>
        <v>0</v>
      </c>
      <c r="Y506" s="495">
        <f t="shared" si="693"/>
        <v>0</v>
      </c>
      <c r="Z506" s="495">
        <f t="shared" si="693"/>
        <v>0</v>
      </c>
      <c r="AA506" s="495">
        <f t="shared" si="693"/>
        <v>0</v>
      </c>
      <c r="AB506" s="495">
        <f t="shared" si="693"/>
        <v>0</v>
      </c>
      <c r="AC506" s="495">
        <f t="shared" si="693"/>
        <v>0</v>
      </c>
      <c r="AD506" s="495">
        <f t="shared" si="693"/>
        <v>0</v>
      </c>
      <c r="AE506" s="495">
        <f t="shared" si="693"/>
        <v>0</v>
      </c>
      <c r="AF506" s="495">
        <f t="shared" si="693"/>
        <v>0</v>
      </c>
      <c r="AG506" s="495">
        <f t="shared" si="693"/>
        <v>0</v>
      </c>
      <c r="AH506" s="495">
        <f t="shared" si="693"/>
        <v>0</v>
      </c>
      <c r="AI506" s="549">
        <f t="shared" si="672"/>
        <v>0</v>
      </c>
      <c r="AJ506" s="550">
        <f t="shared" si="673"/>
        <v>0</v>
      </c>
      <c r="AK506" s="551">
        <f t="shared" si="674"/>
        <v>0</v>
      </c>
    </row>
    <row r="507" spans="1:37" ht="11.5" thickBot="1" x14ac:dyDescent="0.25">
      <c r="A507" s="492" t="s">
        <v>61</v>
      </c>
      <c r="B507" s="532"/>
      <c r="C507" s="469"/>
      <c r="D507" s="507">
        <f>D506+D501+D509</f>
        <v>-4820191241.6296968</v>
      </c>
      <c r="E507" s="507">
        <f>E506+E501</f>
        <v>380080070.37779188</v>
      </c>
      <c r="F507" s="507">
        <f>F506+F501</f>
        <v>383165981.33686876</v>
      </c>
      <c r="G507" s="507">
        <f t="shared" ref="G507:AH507" si="694">G506+G501</f>
        <v>386251892.29594564</v>
      </c>
      <c r="H507" s="507">
        <f t="shared" si="694"/>
        <v>389337803.25502253</v>
      </c>
      <c r="I507" s="507">
        <f t="shared" si="694"/>
        <v>392423714.21409965</v>
      </c>
      <c r="J507" s="507">
        <f t="shared" si="694"/>
        <v>395509625.17317653</v>
      </c>
      <c r="K507" s="507">
        <f t="shared" si="694"/>
        <v>398595536.13225365</v>
      </c>
      <c r="L507" s="507">
        <f t="shared" si="694"/>
        <v>401681447.09133053</v>
      </c>
      <c r="M507" s="507">
        <f t="shared" si="694"/>
        <v>404767358.05040741</v>
      </c>
      <c r="N507" s="507">
        <f t="shared" si="694"/>
        <v>407853269.00948453</v>
      </c>
      <c r="O507" s="507">
        <f t="shared" si="694"/>
        <v>410939179.96856141</v>
      </c>
      <c r="P507" s="507">
        <f t="shared" si="694"/>
        <v>414025090.92763841</v>
      </c>
      <c r="Q507" s="507">
        <f t="shared" si="694"/>
        <v>417111001.88671541</v>
      </c>
      <c r="R507" s="507">
        <f t="shared" si="694"/>
        <v>420196912.84579241</v>
      </c>
      <c r="S507" s="507">
        <f t="shared" si="694"/>
        <v>423282823.80486929</v>
      </c>
      <c r="T507" s="507">
        <f t="shared" si="694"/>
        <v>380150894.35177183</v>
      </c>
      <c r="U507" s="507">
        <f t="shared" si="694"/>
        <v>380509721.20747828</v>
      </c>
      <c r="V507" s="507">
        <f t="shared" si="694"/>
        <v>380868548.06318498</v>
      </c>
      <c r="W507" s="507">
        <f t="shared" si="694"/>
        <v>381227374.91889143</v>
      </c>
      <c r="X507" s="507">
        <f t="shared" si="694"/>
        <v>381586201.77459788</v>
      </c>
      <c r="Y507" s="507">
        <f t="shared" si="694"/>
        <v>381945028.63030457</v>
      </c>
      <c r="Z507" s="507">
        <f t="shared" si="694"/>
        <v>382303855.48601151</v>
      </c>
      <c r="AA507" s="507">
        <f t="shared" si="694"/>
        <v>382662682.34171796</v>
      </c>
      <c r="AB507" s="507">
        <f t="shared" si="694"/>
        <v>383021509.19742465</v>
      </c>
      <c r="AC507" s="507">
        <f t="shared" si="694"/>
        <v>383380336.05313134</v>
      </c>
      <c r="AD507" s="507">
        <f t="shared" si="694"/>
        <v>383739162.9088378</v>
      </c>
      <c r="AE507" s="507">
        <f t="shared" si="694"/>
        <v>384097989.76454449</v>
      </c>
      <c r="AF507" s="507">
        <f t="shared" si="694"/>
        <v>384456816.62025118</v>
      </c>
      <c r="AG507" s="507">
        <f>AG506+AG501</f>
        <v>384815643.47595787</v>
      </c>
      <c r="AH507" s="507">
        <f t="shared" si="694"/>
        <v>385174470.33166432</v>
      </c>
      <c r="AI507" s="546">
        <f t="shared" si="672"/>
        <v>-880524544.69331622</v>
      </c>
      <c r="AJ507" s="547">
        <f t="shared" si="673"/>
        <v>3109373205.0561848</v>
      </c>
      <c r="AK507" s="548">
        <f t="shared" si="674"/>
        <v>6944970699.8660307</v>
      </c>
    </row>
    <row r="508" spans="1:37" x14ac:dyDescent="0.2">
      <c r="A508" s="465" t="s">
        <v>1095</v>
      </c>
      <c r="B508" s="439"/>
      <c r="C508" s="465"/>
      <c r="D508" s="493"/>
      <c r="E508" s="493"/>
      <c r="F508" s="493"/>
      <c r="G508" s="493"/>
      <c r="H508" s="493"/>
      <c r="I508" s="493"/>
      <c r="J508" s="493"/>
      <c r="K508" s="493"/>
      <c r="L508" s="493"/>
      <c r="M508" s="493"/>
      <c r="N508" s="493"/>
      <c r="O508" s="493"/>
      <c r="P508" s="493"/>
      <c r="Q508" s="493"/>
      <c r="R508" s="493"/>
      <c r="S508" s="493"/>
      <c r="T508" s="493"/>
      <c r="U508" s="493"/>
      <c r="V508" s="493"/>
      <c r="W508" s="493"/>
      <c r="X508" s="493"/>
      <c r="Y508" s="493"/>
      <c r="Z508" s="493"/>
      <c r="AA508" s="493"/>
      <c r="AB508" s="493"/>
      <c r="AC508" s="493"/>
      <c r="AD508" s="493"/>
      <c r="AE508" s="493"/>
      <c r="AF508" s="493"/>
      <c r="AG508" s="493"/>
      <c r="AH508" s="493"/>
      <c r="AI508" s="1425"/>
      <c r="AJ508" s="1425"/>
      <c r="AK508" s="1425"/>
    </row>
    <row r="509" spans="1:37" x14ac:dyDescent="0.2">
      <c r="B509" s="439"/>
      <c r="C509" s="465"/>
      <c r="D509" s="493"/>
      <c r="E509" s="493"/>
      <c r="F509" s="493"/>
      <c r="G509" s="493"/>
      <c r="H509" s="493"/>
      <c r="I509" s="493"/>
      <c r="J509" s="493"/>
      <c r="K509" s="493"/>
      <c r="L509" s="493"/>
      <c r="M509" s="493"/>
      <c r="N509" s="493"/>
      <c r="O509" s="493"/>
      <c r="P509" s="493"/>
      <c r="Q509" s="493"/>
      <c r="R509" s="493"/>
      <c r="S509" s="493"/>
      <c r="T509" s="493"/>
      <c r="U509" s="493"/>
      <c r="V509" s="493"/>
      <c r="W509" s="493"/>
      <c r="X509" s="493"/>
      <c r="Y509" s="493"/>
      <c r="Z509" s="493"/>
      <c r="AA509" s="493"/>
      <c r="AB509" s="493"/>
      <c r="AC509" s="493"/>
      <c r="AD509" s="493"/>
      <c r="AE509" s="493"/>
      <c r="AF509" s="493"/>
      <c r="AG509" s="493"/>
      <c r="AH509" s="493"/>
      <c r="AI509" s="493">
        <f>SUM(E507:N507)</f>
        <v>3939666696.9363813</v>
      </c>
      <c r="AJ509" s="493">
        <f>SUM(E507:X507)</f>
        <v>7929564446.6858816</v>
      </c>
      <c r="AK509" s="514">
        <f>SUM(E507:AH507)</f>
        <v>11765161941.495726</v>
      </c>
    </row>
    <row r="510" spans="1:37" ht="11.5" thickBot="1" x14ac:dyDescent="0.25">
      <c r="A510" s="1411" t="s">
        <v>1093</v>
      </c>
    </row>
    <row r="511" spans="1:37" ht="12" thickBot="1" x14ac:dyDescent="0.3">
      <c r="A511" s="446"/>
      <c r="B511" s="508" t="s">
        <v>265</v>
      </c>
      <c r="C511" s="447"/>
      <c r="D511" s="584">
        <v>0</v>
      </c>
      <c r="E511" s="448">
        <v>1</v>
      </c>
      <c r="F511" s="448">
        <v>2</v>
      </c>
      <c r="G511" s="448">
        <v>3</v>
      </c>
      <c r="H511" s="448">
        <v>4</v>
      </c>
      <c r="I511" s="448">
        <v>5</v>
      </c>
      <c r="J511" s="448">
        <v>6</v>
      </c>
      <c r="K511" s="448">
        <v>7</v>
      </c>
      <c r="L511" s="448">
        <v>8</v>
      </c>
      <c r="M511" s="448">
        <v>9</v>
      </c>
      <c r="N511" s="448">
        <v>10</v>
      </c>
      <c r="O511" s="448">
        <v>11</v>
      </c>
      <c r="P511" s="448">
        <v>12</v>
      </c>
      <c r="Q511" s="448">
        <v>13</v>
      </c>
      <c r="R511" s="448">
        <v>14</v>
      </c>
      <c r="S511" s="448">
        <v>15</v>
      </c>
      <c r="T511" s="448">
        <v>16</v>
      </c>
      <c r="U511" s="448">
        <v>17</v>
      </c>
      <c r="V511" s="448">
        <v>18</v>
      </c>
      <c r="W511" s="448">
        <v>19</v>
      </c>
      <c r="X511" s="449">
        <v>20</v>
      </c>
      <c r="Y511" s="449">
        <v>21</v>
      </c>
      <c r="Z511" s="449">
        <v>22</v>
      </c>
      <c r="AA511" s="449">
        <v>23</v>
      </c>
      <c r="AB511" s="449">
        <v>24</v>
      </c>
      <c r="AC511" s="449">
        <v>25</v>
      </c>
      <c r="AD511" s="449">
        <v>26</v>
      </c>
      <c r="AE511" s="449">
        <v>27</v>
      </c>
      <c r="AF511" s="449">
        <v>28</v>
      </c>
      <c r="AG511" s="449">
        <v>29</v>
      </c>
      <c r="AH511" s="463">
        <v>30</v>
      </c>
      <c r="AI511" s="521" t="s">
        <v>298</v>
      </c>
      <c r="AJ511" s="524" t="s">
        <v>261</v>
      </c>
      <c r="AK511" s="526" t="s">
        <v>262</v>
      </c>
    </row>
    <row r="512" spans="1:37" x14ac:dyDescent="0.2">
      <c r="A512" s="1435" t="s">
        <v>1131</v>
      </c>
      <c r="B512" s="1434"/>
      <c r="C512" s="1436" t="s">
        <v>1100</v>
      </c>
      <c r="D512" s="493">
        <f>D396</f>
        <v>4820191241.6296968</v>
      </c>
      <c r="E512" s="493">
        <f t="shared" ref="E512:AK512" si="695">E396</f>
        <v>0</v>
      </c>
      <c r="F512" s="493">
        <f t="shared" si="695"/>
        <v>0</v>
      </c>
      <c r="G512" s="493">
        <f t="shared" si="695"/>
        <v>0</v>
      </c>
      <c r="H512" s="493">
        <f t="shared" si="695"/>
        <v>0</v>
      </c>
      <c r="I512" s="493">
        <f t="shared" si="695"/>
        <v>0</v>
      </c>
      <c r="J512" s="493">
        <f t="shared" si="695"/>
        <v>0</v>
      </c>
      <c r="K512" s="493">
        <f t="shared" si="695"/>
        <v>0</v>
      </c>
      <c r="L512" s="493">
        <f t="shared" si="695"/>
        <v>0</v>
      </c>
      <c r="M512" s="493">
        <f t="shared" si="695"/>
        <v>0</v>
      </c>
      <c r="N512" s="493">
        <f t="shared" si="695"/>
        <v>0</v>
      </c>
      <c r="O512" s="493">
        <f t="shared" si="695"/>
        <v>0</v>
      </c>
      <c r="P512" s="493">
        <f t="shared" si="695"/>
        <v>0</v>
      </c>
      <c r="Q512" s="493">
        <f t="shared" si="695"/>
        <v>0</v>
      </c>
      <c r="R512" s="493">
        <f t="shared" si="695"/>
        <v>0</v>
      </c>
      <c r="S512" s="493">
        <f t="shared" si="695"/>
        <v>0</v>
      </c>
      <c r="T512" s="493">
        <f t="shared" si="695"/>
        <v>0</v>
      </c>
      <c r="U512" s="493">
        <f t="shared" si="695"/>
        <v>0</v>
      </c>
      <c r="V512" s="493">
        <f t="shared" si="695"/>
        <v>0</v>
      </c>
      <c r="W512" s="493">
        <f t="shared" si="695"/>
        <v>0</v>
      </c>
      <c r="X512" s="493">
        <f t="shared" si="695"/>
        <v>0</v>
      </c>
      <c r="Y512" s="493">
        <f t="shared" si="695"/>
        <v>0</v>
      </c>
      <c r="Z512" s="493">
        <f t="shared" si="695"/>
        <v>0</v>
      </c>
      <c r="AA512" s="493">
        <f t="shared" si="695"/>
        <v>0</v>
      </c>
      <c r="AB512" s="493">
        <f t="shared" si="695"/>
        <v>0</v>
      </c>
      <c r="AC512" s="493">
        <f t="shared" si="695"/>
        <v>0</v>
      </c>
      <c r="AD512" s="493">
        <f t="shared" si="695"/>
        <v>0</v>
      </c>
      <c r="AE512" s="493">
        <f t="shared" si="695"/>
        <v>0</v>
      </c>
      <c r="AF512" s="493">
        <f t="shared" si="695"/>
        <v>0</v>
      </c>
      <c r="AG512" s="493">
        <f t="shared" si="695"/>
        <v>0</v>
      </c>
      <c r="AH512" s="1445">
        <f t="shared" si="695"/>
        <v>0</v>
      </c>
      <c r="AI512" s="493">
        <f t="shared" si="695"/>
        <v>4820191241.6296968</v>
      </c>
      <c r="AJ512" s="493">
        <f t="shared" si="695"/>
        <v>4820191241.6296968</v>
      </c>
      <c r="AK512" s="493">
        <f t="shared" si="695"/>
        <v>4820191241.6296968</v>
      </c>
    </row>
    <row r="513" spans="1:37" x14ac:dyDescent="0.2">
      <c r="A513" s="491" t="s">
        <v>260</v>
      </c>
      <c r="B513" s="465"/>
      <c r="C513" s="452" t="s">
        <v>239</v>
      </c>
      <c r="D513" s="493">
        <f t="shared" ref="D513:AH513" si="696">D8</f>
        <v>0</v>
      </c>
      <c r="E513" s="493">
        <f t="shared" si="696"/>
        <v>1222404665.625</v>
      </c>
      <c r="F513" s="493">
        <f t="shared" si="696"/>
        <v>1222404665.625</v>
      </c>
      <c r="G513" s="493">
        <f t="shared" si="696"/>
        <v>1222404665.625</v>
      </c>
      <c r="H513" s="493">
        <f t="shared" si="696"/>
        <v>1222404665.625</v>
      </c>
      <c r="I513" s="493">
        <f t="shared" si="696"/>
        <v>1222404665.625</v>
      </c>
      <c r="J513" s="493">
        <f t="shared" si="696"/>
        <v>1222404665.625</v>
      </c>
      <c r="K513" s="493">
        <f t="shared" si="696"/>
        <v>1222404665.625</v>
      </c>
      <c r="L513" s="493">
        <f t="shared" si="696"/>
        <v>1222404665.625</v>
      </c>
      <c r="M513" s="493">
        <f t="shared" si="696"/>
        <v>1222404665.625</v>
      </c>
      <c r="N513" s="493">
        <f t="shared" si="696"/>
        <v>1222404665.625</v>
      </c>
      <c r="O513" s="493">
        <f t="shared" si="696"/>
        <v>1222404665.625</v>
      </c>
      <c r="P513" s="493">
        <f t="shared" si="696"/>
        <v>1222404665.625</v>
      </c>
      <c r="Q513" s="493">
        <f t="shared" si="696"/>
        <v>1222404665.625</v>
      </c>
      <c r="R513" s="493">
        <f t="shared" si="696"/>
        <v>1222404665.625</v>
      </c>
      <c r="S513" s="493">
        <f t="shared" si="696"/>
        <v>1222404665.625</v>
      </c>
      <c r="T513" s="493">
        <f t="shared" si="696"/>
        <v>1222404665.625</v>
      </c>
      <c r="U513" s="493">
        <f t="shared" si="696"/>
        <v>1222404665.625</v>
      </c>
      <c r="V513" s="493">
        <f t="shared" si="696"/>
        <v>1222404665.625</v>
      </c>
      <c r="W513" s="493">
        <f t="shared" si="696"/>
        <v>1222404665.625</v>
      </c>
      <c r="X513" s="493">
        <f t="shared" si="696"/>
        <v>1222404665.625</v>
      </c>
      <c r="Y513" s="493">
        <f t="shared" si="696"/>
        <v>1222404665.625</v>
      </c>
      <c r="Z513" s="493">
        <f t="shared" si="696"/>
        <v>1222404665.625</v>
      </c>
      <c r="AA513" s="493">
        <f t="shared" si="696"/>
        <v>1222404665.625</v>
      </c>
      <c r="AB513" s="493">
        <f t="shared" si="696"/>
        <v>1222404665.625</v>
      </c>
      <c r="AC513" s="493">
        <f t="shared" si="696"/>
        <v>1222404665.625</v>
      </c>
      <c r="AD513" s="493">
        <f t="shared" si="696"/>
        <v>1222404665.625</v>
      </c>
      <c r="AE513" s="493">
        <f t="shared" si="696"/>
        <v>1222404665.625</v>
      </c>
      <c r="AF513" s="493">
        <f t="shared" si="696"/>
        <v>1222404665.625</v>
      </c>
      <c r="AG513" s="493">
        <f t="shared" si="696"/>
        <v>1222404665.625</v>
      </c>
      <c r="AH513" s="493">
        <f t="shared" si="696"/>
        <v>1222404665.625</v>
      </c>
      <c r="AI513" s="1433">
        <f>SUM(D513:N513)</f>
        <v>12224046656.25</v>
      </c>
      <c r="AJ513" s="1433">
        <f>SUM(D513:X513)</f>
        <v>24448093312.5</v>
      </c>
      <c r="AK513" s="529">
        <f>SUM(D513:AH513)</f>
        <v>36672139968.75</v>
      </c>
    </row>
    <row r="514" spans="1:37" x14ac:dyDescent="0.2">
      <c r="A514" s="491" t="s">
        <v>242</v>
      </c>
      <c r="B514" s="465"/>
      <c r="C514" s="452" t="s">
        <v>239</v>
      </c>
      <c r="D514" s="493">
        <f t="shared" ref="D514:AH514" si="697">D12</f>
        <v>0</v>
      </c>
      <c r="E514" s="493">
        <f t="shared" si="697"/>
        <v>261197578.125</v>
      </c>
      <c r="F514" s="493">
        <f t="shared" si="697"/>
        <v>261197578.125</v>
      </c>
      <c r="G514" s="493">
        <f t="shared" si="697"/>
        <v>261197578.125</v>
      </c>
      <c r="H514" s="493">
        <f t="shared" si="697"/>
        <v>261197578.125</v>
      </c>
      <c r="I514" s="493">
        <f t="shared" si="697"/>
        <v>261197578.125</v>
      </c>
      <c r="J514" s="493">
        <f t="shared" si="697"/>
        <v>261197578.125</v>
      </c>
      <c r="K514" s="493">
        <f t="shared" si="697"/>
        <v>261197578.125</v>
      </c>
      <c r="L514" s="493">
        <f t="shared" si="697"/>
        <v>261197578.125</v>
      </c>
      <c r="M514" s="493">
        <f t="shared" si="697"/>
        <v>261197578.125</v>
      </c>
      <c r="N514" s="493">
        <f t="shared" si="697"/>
        <v>261197578.125</v>
      </c>
      <c r="O514" s="493">
        <f t="shared" si="697"/>
        <v>261197578.125</v>
      </c>
      <c r="P514" s="493">
        <f t="shared" si="697"/>
        <v>261197578.125</v>
      </c>
      <c r="Q514" s="493">
        <f t="shared" si="697"/>
        <v>261197578.125</v>
      </c>
      <c r="R514" s="493">
        <f t="shared" si="697"/>
        <v>261197578.125</v>
      </c>
      <c r="S514" s="493">
        <f t="shared" si="697"/>
        <v>261197578.125</v>
      </c>
      <c r="T514" s="493">
        <f t="shared" si="697"/>
        <v>261197578.125</v>
      </c>
      <c r="U514" s="493">
        <f t="shared" si="697"/>
        <v>261197578.125</v>
      </c>
      <c r="V514" s="493">
        <f t="shared" si="697"/>
        <v>261197578.125</v>
      </c>
      <c r="W514" s="493">
        <f t="shared" si="697"/>
        <v>261197578.125</v>
      </c>
      <c r="X514" s="493">
        <f t="shared" si="697"/>
        <v>261197578.125</v>
      </c>
      <c r="Y514" s="493">
        <f t="shared" si="697"/>
        <v>261197578.125</v>
      </c>
      <c r="Z514" s="493">
        <f t="shared" si="697"/>
        <v>261197578.125</v>
      </c>
      <c r="AA514" s="493">
        <f t="shared" si="697"/>
        <v>261197578.125</v>
      </c>
      <c r="AB514" s="493">
        <f t="shared" si="697"/>
        <v>261197578.125</v>
      </c>
      <c r="AC514" s="493">
        <f t="shared" si="697"/>
        <v>261197578.125</v>
      </c>
      <c r="AD514" s="493">
        <f t="shared" si="697"/>
        <v>261197578.125</v>
      </c>
      <c r="AE514" s="493">
        <f t="shared" si="697"/>
        <v>261197578.125</v>
      </c>
      <c r="AF514" s="493">
        <f t="shared" si="697"/>
        <v>261197578.125</v>
      </c>
      <c r="AG514" s="493">
        <f t="shared" si="697"/>
        <v>261197578.125</v>
      </c>
      <c r="AH514" s="493">
        <f t="shared" si="697"/>
        <v>261197578.125</v>
      </c>
      <c r="AI514" s="522">
        <f t="shared" ref="AI514:AI518" si="698">SUM(D514:N514)</f>
        <v>2611975781.25</v>
      </c>
      <c r="AJ514" s="522">
        <f t="shared" ref="AJ514:AJ518" si="699">SUM(D514:X514)</f>
        <v>5223951562.5</v>
      </c>
      <c r="AK514" s="525">
        <f t="shared" ref="AK514:AK518" si="700">SUM(D514:AH514)</f>
        <v>7835927343.75</v>
      </c>
    </row>
    <row r="515" spans="1:37" x14ac:dyDescent="0.2">
      <c r="A515" s="491" t="s">
        <v>1139</v>
      </c>
      <c r="B515" s="465"/>
      <c r="C515" s="452" t="s">
        <v>1140</v>
      </c>
      <c r="D515" s="493">
        <f>D16</f>
        <v>0</v>
      </c>
      <c r="E515" s="493">
        <f t="shared" ref="E515:AH515" si="701">E16</f>
        <v>0</v>
      </c>
      <c r="F515" s="493">
        <f t="shared" si="701"/>
        <v>0</v>
      </c>
      <c r="G515" s="493">
        <f t="shared" si="701"/>
        <v>0</v>
      </c>
      <c r="H515" s="493">
        <f t="shared" si="701"/>
        <v>0</v>
      </c>
      <c r="I515" s="493">
        <f t="shared" si="701"/>
        <v>0</v>
      </c>
      <c r="J515" s="493">
        <f t="shared" si="701"/>
        <v>0</v>
      </c>
      <c r="K515" s="493">
        <f t="shared" si="701"/>
        <v>0</v>
      </c>
      <c r="L515" s="493">
        <f t="shared" si="701"/>
        <v>0</v>
      </c>
      <c r="M515" s="493">
        <f t="shared" si="701"/>
        <v>0</v>
      </c>
      <c r="N515" s="493">
        <f t="shared" si="701"/>
        <v>0</v>
      </c>
      <c r="O515" s="493">
        <f t="shared" si="701"/>
        <v>0</v>
      </c>
      <c r="P515" s="493">
        <f t="shared" si="701"/>
        <v>0</v>
      </c>
      <c r="Q515" s="493">
        <f t="shared" si="701"/>
        <v>0</v>
      </c>
      <c r="R515" s="493">
        <f t="shared" si="701"/>
        <v>0</v>
      </c>
      <c r="S515" s="493">
        <f t="shared" si="701"/>
        <v>0</v>
      </c>
      <c r="T515" s="493">
        <f t="shared" si="701"/>
        <v>0</v>
      </c>
      <c r="U515" s="493">
        <f t="shared" si="701"/>
        <v>0</v>
      </c>
      <c r="V515" s="493">
        <f t="shared" si="701"/>
        <v>0</v>
      </c>
      <c r="W515" s="493">
        <f t="shared" si="701"/>
        <v>0</v>
      </c>
      <c r="X515" s="493">
        <f t="shared" si="701"/>
        <v>0</v>
      </c>
      <c r="Y515" s="493">
        <f t="shared" si="701"/>
        <v>0</v>
      </c>
      <c r="Z515" s="493">
        <f t="shared" si="701"/>
        <v>0</v>
      </c>
      <c r="AA515" s="493">
        <f t="shared" si="701"/>
        <v>0</v>
      </c>
      <c r="AB515" s="493">
        <f t="shared" si="701"/>
        <v>0</v>
      </c>
      <c r="AC515" s="493">
        <f t="shared" si="701"/>
        <v>0</v>
      </c>
      <c r="AD515" s="493">
        <f t="shared" si="701"/>
        <v>0</v>
      </c>
      <c r="AE515" s="493">
        <f t="shared" si="701"/>
        <v>0</v>
      </c>
      <c r="AF515" s="493">
        <f t="shared" si="701"/>
        <v>0</v>
      </c>
      <c r="AG515" s="493">
        <f t="shared" si="701"/>
        <v>0</v>
      </c>
      <c r="AH515" s="493">
        <f t="shared" si="701"/>
        <v>0</v>
      </c>
      <c r="AI515" s="1433">
        <f>SUM(D515:N515)</f>
        <v>0</v>
      </c>
      <c r="AJ515" s="1433">
        <f>SUM(D515:X515)</f>
        <v>0</v>
      </c>
      <c r="AK515" s="529">
        <f>SUM(D515:AH515)</f>
        <v>0</v>
      </c>
    </row>
    <row r="516" spans="1:37" x14ac:dyDescent="0.2">
      <c r="A516" s="491" t="s">
        <v>354</v>
      </c>
      <c r="B516" s="465"/>
      <c r="C516" s="452" t="s">
        <v>37</v>
      </c>
      <c r="D516" s="493">
        <f t="shared" ref="D516:AH516" si="702">IF(D414&lt;0,-D414,0)</f>
        <v>0</v>
      </c>
      <c r="E516" s="493">
        <f t="shared" si="702"/>
        <v>0</v>
      </c>
      <c r="F516" s="493">
        <f t="shared" si="702"/>
        <v>0</v>
      </c>
      <c r="G516" s="493">
        <f t="shared" si="702"/>
        <v>0</v>
      </c>
      <c r="H516" s="493">
        <f t="shared" si="702"/>
        <v>0</v>
      </c>
      <c r="I516" s="493">
        <f t="shared" si="702"/>
        <v>0</v>
      </c>
      <c r="J516" s="493">
        <f t="shared" si="702"/>
        <v>0</v>
      </c>
      <c r="K516" s="493">
        <f t="shared" si="702"/>
        <v>0</v>
      </c>
      <c r="L516" s="493">
        <f t="shared" si="702"/>
        <v>0</v>
      </c>
      <c r="M516" s="493">
        <f t="shared" si="702"/>
        <v>0</v>
      </c>
      <c r="N516" s="493">
        <f t="shared" si="702"/>
        <v>0</v>
      </c>
      <c r="O516" s="493">
        <f t="shared" si="702"/>
        <v>0</v>
      </c>
      <c r="P516" s="493">
        <f t="shared" si="702"/>
        <v>0</v>
      </c>
      <c r="Q516" s="493">
        <f t="shared" si="702"/>
        <v>0</v>
      </c>
      <c r="R516" s="493">
        <f t="shared" si="702"/>
        <v>0</v>
      </c>
      <c r="S516" s="493">
        <f t="shared" si="702"/>
        <v>0</v>
      </c>
      <c r="T516" s="493">
        <f t="shared" si="702"/>
        <v>0</v>
      </c>
      <c r="U516" s="493">
        <f t="shared" si="702"/>
        <v>0</v>
      </c>
      <c r="V516" s="493">
        <f t="shared" si="702"/>
        <v>0</v>
      </c>
      <c r="W516" s="493">
        <f t="shared" si="702"/>
        <v>0</v>
      </c>
      <c r="X516" s="493">
        <f t="shared" si="702"/>
        <v>0</v>
      </c>
      <c r="Y516" s="493">
        <f t="shared" si="702"/>
        <v>0</v>
      </c>
      <c r="Z516" s="493">
        <f t="shared" si="702"/>
        <v>0</v>
      </c>
      <c r="AA516" s="493">
        <f t="shared" si="702"/>
        <v>0</v>
      </c>
      <c r="AB516" s="493">
        <f t="shared" si="702"/>
        <v>0</v>
      </c>
      <c r="AC516" s="493">
        <f t="shared" si="702"/>
        <v>0</v>
      </c>
      <c r="AD516" s="493">
        <f t="shared" si="702"/>
        <v>0</v>
      </c>
      <c r="AE516" s="493">
        <f t="shared" si="702"/>
        <v>0</v>
      </c>
      <c r="AF516" s="493">
        <f t="shared" si="702"/>
        <v>0</v>
      </c>
      <c r="AG516" s="493">
        <f t="shared" si="702"/>
        <v>0</v>
      </c>
      <c r="AH516" s="493">
        <f t="shared" si="702"/>
        <v>0</v>
      </c>
      <c r="AI516" s="522">
        <f>SUM(D516:N516)</f>
        <v>0</v>
      </c>
      <c r="AJ516" s="522">
        <f>SUM(D516:X516)</f>
        <v>0</v>
      </c>
      <c r="AK516" s="525">
        <f>SUM(D516:AH516)</f>
        <v>0</v>
      </c>
    </row>
    <row r="517" spans="1:37" s="1413" customFormat="1" x14ac:dyDescent="0.2">
      <c r="A517" s="1410" t="s">
        <v>1091</v>
      </c>
      <c r="B517" s="1419"/>
      <c r="C517" s="1416" t="s">
        <v>37</v>
      </c>
      <c r="D517" s="1407">
        <f>-SUMIF($A$395:$A$479,$A$517,D$395:D$479)+SUM(D396,D414,D432)*0.1</f>
        <v>-4442849656.9618511</v>
      </c>
      <c r="E517" s="1407">
        <f>-SUMIF($A$395:$A$479,$A$517,E$395:E$479)+IF(E414&gt;0,SUM(E396,E414,E432)*0.1,SUM(E396,E432)*0.1)</f>
        <v>-745220235.42212677</v>
      </c>
      <c r="F517" s="1407">
        <f t="shared" ref="F517:AH517" si="703">-SUMIF($A$395:$A$479,$A$517,F$395:F$479)+IF(F414&gt;0,SUM(F396,F414,F432)*0.1,SUM(F396,F432)*0.1)</f>
        <v>-745220235.42212677</v>
      </c>
      <c r="G517" s="1407">
        <f t="shared" si="703"/>
        <v>-745220235.42212677</v>
      </c>
      <c r="H517" s="1407">
        <f t="shared" si="703"/>
        <v>-745220235.42212677</v>
      </c>
      <c r="I517" s="1407">
        <f t="shared" si="703"/>
        <v>-745220235.42212677</v>
      </c>
      <c r="J517" s="1407">
        <f t="shared" si="703"/>
        <v>-745220235.42212677</v>
      </c>
      <c r="K517" s="1407">
        <f t="shared" si="703"/>
        <v>-745220235.42212677</v>
      </c>
      <c r="L517" s="1407">
        <f t="shared" si="703"/>
        <v>-745220235.42212677</v>
      </c>
      <c r="M517" s="1407">
        <f t="shared" si="703"/>
        <v>-745220235.42212677</v>
      </c>
      <c r="N517" s="1407">
        <f t="shared" si="703"/>
        <v>-745220235.42212677</v>
      </c>
      <c r="O517" s="1407">
        <f t="shared" si="703"/>
        <v>-745220235.42212677</v>
      </c>
      <c r="P517" s="1407">
        <f t="shared" si="703"/>
        <v>-745220235.42212677</v>
      </c>
      <c r="Q517" s="1407">
        <f t="shared" si="703"/>
        <v>-745220235.42212677</v>
      </c>
      <c r="R517" s="1407">
        <f t="shared" si="703"/>
        <v>-745220235.42212677</v>
      </c>
      <c r="S517" s="1407">
        <f t="shared" si="703"/>
        <v>-745220235.42212677</v>
      </c>
      <c r="T517" s="1407">
        <f t="shared" si="703"/>
        <v>-745220235.42212677</v>
      </c>
      <c r="U517" s="1407">
        <f t="shared" si="703"/>
        <v>-745220235.42212677</v>
      </c>
      <c r="V517" s="1407">
        <f t="shared" si="703"/>
        <v>-745220235.42212677</v>
      </c>
      <c r="W517" s="1407">
        <f t="shared" si="703"/>
        <v>-745220235.42212677</v>
      </c>
      <c r="X517" s="1407">
        <f t="shared" si="703"/>
        <v>-745220235.42212677</v>
      </c>
      <c r="Y517" s="1407">
        <f t="shared" si="703"/>
        <v>-745220235.42212677</v>
      </c>
      <c r="Z517" s="1407">
        <f t="shared" si="703"/>
        <v>-745220235.42212677</v>
      </c>
      <c r="AA517" s="1407">
        <f t="shared" si="703"/>
        <v>-745220235.42212677</v>
      </c>
      <c r="AB517" s="1407">
        <f t="shared" si="703"/>
        <v>-745220235.42212677</v>
      </c>
      <c r="AC517" s="1407">
        <f t="shared" si="703"/>
        <v>-745220235.42212677</v>
      </c>
      <c r="AD517" s="1407">
        <f t="shared" si="703"/>
        <v>-745220235.42212677</v>
      </c>
      <c r="AE517" s="1407">
        <f t="shared" si="703"/>
        <v>-745220235.42212677</v>
      </c>
      <c r="AF517" s="1407">
        <f t="shared" si="703"/>
        <v>-745220235.42212677</v>
      </c>
      <c r="AG517" s="1407">
        <f t="shared" si="703"/>
        <v>-745220235.42212677</v>
      </c>
      <c r="AH517" s="1407">
        <f t="shared" si="703"/>
        <v>-745220235.42212677</v>
      </c>
      <c r="AI517" s="1417">
        <f t="shared" ref="AI517:AK517" si="704">-SUMIF($A$395:$A$479,$A$517,AI$395:AI$479)</f>
        <v>-13299515647.808645</v>
      </c>
      <c r="AJ517" s="1417">
        <f t="shared" si="704"/>
        <v>-21674162514.49247</v>
      </c>
      <c r="AK517" s="1418">
        <f t="shared" si="704"/>
        <v>-30048809381.176304</v>
      </c>
    </row>
    <row r="518" spans="1:37" x14ac:dyDescent="0.2">
      <c r="A518" s="505" t="s">
        <v>341</v>
      </c>
      <c r="B518" s="506"/>
      <c r="C518" s="452" t="s">
        <v>37</v>
      </c>
      <c r="D518" s="493">
        <f>-D504</f>
        <v>0</v>
      </c>
      <c r="E518" s="493">
        <f>-E504</f>
        <v>0</v>
      </c>
      <c r="F518" s="493">
        <f t="shared" ref="F518:AH518" si="705">-F504</f>
        <v>0</v>
      </c>
      <c r="G518" s="493">
        <f t="shared" si="705"/>
        <v>0</v>
      </c>
      <c r="H518" s="493">
        <f t="shared" si="705"/>
        <v>0</v>
      </c>
      <c r="I518" s="493">
        <f t="shared" si="705"/>
        <v>0</v>
      </c>
      <c r="J518" s="493">
        <f t="shared" si="705"/>
        <v>0</v>
      </c>
      <c r="K518" s="493">
        <f t="shared" si="705"/>
        <v>0</v>
      </c>
      <c r="L518" s="493">
        <f t="shared" si="705"/>
        <v>0</v>
      </c>
      <c r="M518" s="493">
        <f t="shared" si="705"/>
        <v>0</v>
      </c>
      <c r="N518" s="493">
        <f t="shared" si="705"/>
        <v>0</v>
      </c>
      <c r="O518" s="493">
        <f t="shared" si="705"/>
        <v>0</v>
      </c>
      <c r="P518" s="493">
        <f t="shared" si="705"/>
        <v>0</v>
      </c>
      <c r="Q518" s="493">
        <f t="shared" si="705"/>
        <v>0</v>
      </c>
      <c r="R518" s="493">
        <f t="shared" si="705"/>
        <v>0</v>
      </c>
      <c r="S518" s="493">
        <f t="shared" si="705"/>
        <v>0</v>
      </c>
      <c r="T518" s="493">
        <f t="shared" si="705"/>
        <v>0</v>
      </c>
      <c r="U518" s="493">
        <f t="shared" si="705"/>
        <v>0</v>
      </c>
      <c r="V518" s="493">
        <f t="shared" si="705"/>
        <v>0</v>
      </c>
      <c r="W518" s="493">
        <f t="shared" si="705"/>
        <v>0</v>
      </c>
      <c r="X518" s="493">
        <f t="shared" si="705"/>
        <v>0</v>
      </c>
      <c r="Y518" s="493">
        <f t="shared" si="705"/>
        <v>0</v>
      </c>
      <c r="Z518" s="493">
        <f t="shared" si="705"/>
        <v>0</v>
      </c>
      <c r="AA518" s="493">
        <f t="shared" si="705"/>
        <v>0</v>
      </c>
      <c r="AB518" s="493">
        <f t="shared" si="705"/>
        <v>0</v>
      </c>
      <c r="AC518" s="493">
        <f t="shared" si="705"/>
        <v>0</v>
      </c>
      <c r="AD518" s="493">
        <f t="shared" si="705"/>
        <v>0</v>
      </c>
      <c r="AE518" s="493">
        <f t="shared" si="705"/>
        <v>0</v>
      </c>
      <c r="AF518" s="493">
        <f t="shared" si="705"/>
        <v>0</v>
      </c>
      <c r="AG518" s="493">
        <f t="shared" si="705"/>
        <v>0</v>
      </c>
      <c r="AH518" s="493">
        <f t="shared" si="705"/>
        <v>0</v>
      </c>
      <c r="AI518" s="522">
        <f t="shared" si="698"/>
        <v>0</v>
      </c>
      <c r="AJ518" s="522">
        <f t="shared" si="699"/>
        <v>0</v>
      </c>
      <c r="AK518" s="525">
        <f t="shared" si="700"/>
        <v>0</v>
      </c>
    </row>
    <row r="519" spans="1:37" s="1413" customFormat="1" x14ac:dyDescent="0.2">
      <c r="A519" s="1420" t="s">
        <v>1130</v>
      </c>
      <c r="B519" s="1419"/>
      <c r="C519" s="1416" t="s">
        <v>37</v>
      </c>
      <c r="D519" s="1407">
        <f>-D496</f>
        <v>0</v>
      </c>
      <c r="E519" s="1407">
        <f>-E496</f>
        <v>-22306823.283875279</v>
      </c>
      <c r="F519" s="1407">
        <f t="shared" ref="F519:AK519" si="706">-F496</f>
        <v>-22879538.111663651</v>
      </c>
      <c r="G519" s="1407">
        <f t="shared" si="706"/>
        <v>-23452252.939452026</v>
      </c>
      <c r="H519" s="1407">
        <f t="shared" si="706"/>
        <v>-24024967.767240394</v>
      </c>
      <c r="I519" s="1407">
        <f t="shared" si="706"/>
        <v>-24597682.595028765</v>
      </c>
      <c r="J519" s="1407">
        <f t="shared" si="706"/>
        <v>-25170397.422817137</v>
      </c>
      <c r="K519" s="1407">
        <f t="shared" si="706"/>
        <v>-25743112.250605505</v>
      </c>
      <c r="L519" s="1407">
        <f t="shared" si="706"/>
        <v>-26315827.078393877</v>
      </c>
      <c r="M519" s="1407">
        <f t="shared" si="706"/>
        <v>-26888541.906182244</v>
      </c>
      <c r="N519" s="1407">
        <f t="shared" si="706"/>
        <v>-27461256.733970616</v>
      </c>
      <c r="O519" s="1407">
        <f t="shared" si="706"/>
        <v>-28033971.561758984</v>
      </c>
      <c r="P519" s="1407">
        <f t="shared" si="706"/>
        <v>-28606686.389547359</v>
      </c>
      <c r="Q519" s="1407">
        <f t="shared" si="706"/>
        <v>-29179401.217335731</v>
      </c>
      <c r="R519" s="1407">
        <f t="shared" si="706"/>
        <v>-29752116.045124099</v>
      </c>
      <c r="S519" s="1407">
        <f t="shared" si="706"/>
        <v>-30324830.87291247</v>
      </c>
      <c r="T519" s="1407">
        <f t="shared" si="706"/>
        <v>-67048980.012923568</v>
      </c>
      <c r="U519" s="1407">
        <f t="shared" si="706"/>
        <v>-67115574.76034081</v>
      </c>
      <c r="V519" s="1407">
        <f t="shared" si="706"/>
        <v>-67182169.507758066</v>
      </c>
      <c r="W519" s="1407">
        <f t="shared" si="706"/>
        <v>-67248764.255175322</v>
      </c>
      <c r="X519" s="1407">
        <f t="shared" si="706"/>
        <v>-67315359.002592579</v>
      </c>
      <c r="Y519" s="1407">
        <f t="shared" si="706"/>
        <v>-67381953.750009835</v>
      </c>
      <c r="Z519" s="1407">
        <f t="shared" si="706"/>
        <v>-67448548.497427076</v>
      </c>
      <c r="AA519" s="1407">
        <f t="shared" si="706"/>
        <v>-67515143.244844332</v>
      </c>
      <c r="AB519" s="1407">
        <f t="shared" si="706"/>
        <v>-67581737.992261589</v>
      </c>
      <c r="AC519" s="1407">
        <f t="shared" si="706"/>
        <v>-67648332.739678845</v>
      </c>
      <c r="AD519" s="1407">
        <f t="shared" si="706"/>
        <v>-67714927.487096086</v>
      </c>
      <c r="AE519" s="1407">
        <f t="shared" si="706"/>
        <v>-67781522.234513342</v>
      </c>
      <c r="AF519" s="1407">
        <f t="shared" si="706"/>
        <v>-67848116.981930599</v>
      </c>
      <c r="AG519" s="1407">
        <f t="shared" si="706"/>
        <v>-67914711.72934784</v>
      </c>
      <c r="AH519" s="1407">
        <f t="shared" si="706"/>
        <v>-67981306.476765096</v>
      </c>
      <c r="AI519" s="1417">
        <f t="shared" si="706"/>
        <v>-248840400.08922949</v>
      </c>
      <c r="AJ519" s="1417">
        <f t="shared" si="706"/>
        <v>-730648253.71469867</v>
      </c>
      <c r="AK519" s="1418">
        <f t="shared" si="706"/>
        <v>-1407464554.8485732</v>
      </c>
    </row>
    <row r="520" spans="1:37" ht="11.5" thickBot="1" x14ac:dyDescent="0.25">
      <c r="A520" s="1420" t="s">
        <v>1088</v>
      </c>
      <c r="B520" s="506"/>
      <c r="C520" s="1416" t="s">
        <v>37</v>
      </c>
      <c r="D520" s="493">
        <v>0</v>
      </c>
      <c r="E520" s="493">
        <f>-E507*入門編_計算シート!$E$165/(入門編_計算シート!$E$164+入門編_計算シート!$E$165)</f>
        <v>-190040035.18889594</v>
      </c>
      <c r="F520" s="493">
        <f>-F507*入門編_計算シート!$E$165/(入門編_計算シート!$E$164+入門編_計算シート!$E$165)</f>
        <v>-191582990.66843438</v>
      </c>
      <c r="G520" s="493">
        <f>-G507*入門編_計算シート!$E$165/(入門編_計算シート!$E$164+入門編_計算シート!$E$165)</f>
        <v>-193125946.14797282</v>
      </c>
      <c r="H520" s="493">
        <f>-H507*入門編_計算シート!$E$165/(入門編_計算シート!$E$164+入門編_計算シート!$E$165)</f>
        <v>-194668901.62751126</v>
      </c>
      <c r="I520" s="493">
        <f>-I507*入門編_計算シート!$E$165/(入門編_計算シート!$E$164+入門編_計算シート!$E$165)</f>
        <v>-196211857.10704982</v>
      </c>
      <c r="J520" s="493">
        <f>-J507*入門編_計算シート!$E$165/(入門編_計算シート!$E$164+入門編_計算シート!$E$165)</f>
        <v>-197754812.58658826</v>
      </c>
      <c r="K520" s="493">
        <f>-K507*入門編_計算シート!$E$165/(入門編_計算シート!$E$164+入門編_計算シート!$E$165)</f>
        <v>-199297768.06612682</v>
      </c>
      <c r="L520" s="493">
        <f>-L507*入門編_計算シート!$E$165/(入門編_計算シート!$E$164+入門編_計算シート!$E$165)</f>
        <v>-200840723.54566526</v>
      </c>
      <c r="M520" s="493">
        <f>-M507*入門編_計算シート!$E$165/(入門編_計算シート!$E$164+入門編_計算シート!$E$165)</f>
        <v>-202383679.0252037</v>
      </c>
      <c r="N520" s="493">
        <f>-N507*入門編_計算シート!$E$165/(入門編_計算シート!$E$164+入門編_計算シート!$E$165)</f>
        <v>-203926634.50474226</v>
      </c>
      <c r="O520" s="493">
        <f>-O507*入門編_計算シート!$E$165/(入門編_計算シート!$E$164+入門編_計算シート!$E$165)</f>
        <v>-205469589.98428071</v>
      </c>
      <c r="P520" s="493">
        <f>-P507*入門編_計算シート!$E$165/(入門編_計算シート!$E$164+入門編_計算シート!$E$165)</f>
        <v>-207012545.46381921</v>
      </c>
      <c r="Q520" s="493">
        <f>-Q507*入門編_計算シート!$E$165/(入門編_計算シート!$E$164+入門編_計算シート!$E$165)</f>
        <v>-208555500.94335771</v>
      </c>
      <c r="R520" s="493">
        <f>-R507*入門編_計算シート!$E$165/(入門編_計算シート!$E$164+入門編_計算シート!$E$165)</f>
        <v>-210098456.42289621</v>
      </c>
      <c r="S520" s="493">
        <f>-S507*入門編_計算シート!$E$165/(入門編_計算シート!$E$164+入門編_計算シート!$E$165)</f>
        <v>-211641411.90243465</v>
      </c>
      <c r="T520" s="493">
        <f>-T507*入門編_計算シート!$E$165/(入門編_計算シート!$E$164+入門編_計算シート!$E$165)</f>
        <v>-190075447.17588592</v>
      </c>
      <c r="U520" s="493">
        <f>-U507*入門編_計算シート!$E$165/(入門編_計算シート!$E$164+入門編_計算シート!$E$165)</f>
        <v>-190254860.60373914</v>
      </c>
      <c r="V520" s="493">
        <f>-V507*入門編_計算シート!$E$165/(入門編_計算シート!$E$164+入門編_計算シート!$E$165)</f>
        <v>-190434274.03159249</v>
      </c>
      <c r="W520" s="493">
        <f>-W507*入門編_計算シート!$E$165/(入門編_計算シート!$E$164+入門編_計算シート!$E$165)</f>
        <v>-190613687.45944571</v>
      </c>
      <c r="X520" s="493">
        <f>-X507*入門編_計算シート!$E$165/(入門編_計算シート!$E$164+入門編_計算シート!$E$165)</f>
        <v>-190793100.88729894</v>
      </c>
      <c r="Y520" s="493">
        <f>-Y507*入門編_計算シート!$E$165/(入門編_計算シート!$E$164+入門編_計算シート!$E$165)</f>
        <v>-190972514.31515229</v>
      </c>
      <c r="Z520" s="493">
        <f>-Z507*入門編_計算シート!$E$165/(入門編_計算シート!$E$164+入門編_計算シート!$E$165)</f>
        <v>-191151927.74300575</v>
      </c>
      <c r="AA520" s="493">
        <f>-AA507*入門編_計算シート!$E$165/(入門編_計算シート!$E$164+入門編_計算シート!$E$165)</f>
        <v>-191331341.17085898</v>
      </c>
      <c r="AB520" s="493">
        <f>-AB507*入門編_計算シート!$E$165/(入門編_計算シート!$E$164+入門編_計算シート!$E$165)</f>
        <v>-191510754.59871233</v>
      </c>
      <c r="AC520" s="493">
        <f>-AC507*入門編_計算シート!$E$165/(入門編_計算シート!$E$164+入門編_計算シート!$E$165)</f>
        <v>-191690168.02656567</v>
      </c>
      <c r="AD520" s="493">
        <f>-AD507*入門編_計算シート!$E$165/(入門編_計算シート!$E$164+入門編_計算シート!$E$165)</f>
        <v>-191869581.4544189</v>
      </c>
      <c r="AE520" s="493">
        <f>-AE507*入門編_計算シート!$E$165/(入門編_計算シート!$E$164+入門編_計算シート!$E$165)</f>
        <v>-192048994.88227224</v>
      </c>
      <c r="AF520" s="493">
        <f>-AF507*入門編_計算シート!$E$165/(入門編_計算シート!$E$164+入門編_計算シート!$E$165)</f>
        <v>-192228408.31012559</v>
      </c>
      <c r="AG520" s="493">
        <f>-AG507*入門編_計算シート!$E$165/(入門編_計算シート!$E$164+入門編_計算シート!$E$165)</f>
        <v>-192407821.73797894</v>
      </c>
      <c r="AH520" s="493">
        <f>-AH507*入門編_計算シート!$E$165/(入門編_計算シート!$E$164+入門編_計算シート!$E$165)</f>
        <v>-192587235.16583216</v>
      </c>
      <c r="AI520" s="523">
        <f t="shared" ref="AI520" si="707">SUM(D520:N520)</f>
        <v>-1969833348.4681907</v>
      </c>
      <c r="AJ520" s="523">
        <f t="shared" ref="AJ520" si="708">SUM(D520:X520)</f>
        <v>-3964782223.3429408</v>
      </c>
      <c r="AK520" s="527">
        <f t="shared" ref="AK520" si="709">SUM(D520:AH520)</f>
        <v>-5882580970.7478628</v>
      </c>
    </row>
    <row r="521" spans="1:37" ht="11.5" thickBot="1" x14ac:dyDescent="0.25">
      <c r="A521" s="491" t="s">
        <v>222</v>
      </c>
      <c r="B521" s="465"/>
      <c r="C521" s="452" t="s">
        <v>37</v>
      </c>
      <c r="D521" s="493">
        <f>SUMIF($B$395:$B$479,"消費税（市町村）",D$395:D$479)+SUMIF($B$395:$B$479,"消費税（都道府県）",D$395:D$479)</f>
        <v>33138814.786204167</v>
      </c>
      <c r="E521" s="1400">
        <f t="shared" ref="E521:AH521" si="710">SUMIF($B$395:$B$479,"消費税（市町村）",E$395:E$479)+SUMIF($B$395:$B$479,"消費税（都道府県）",E$395:E$479)</f>
        <v>15591889.637088118</v>
      </c>
      <c r="F521" s="493">
        <f t="shared" si="710"/>
        <v>15591889.637088118</v>
      </c>
      <c r="G521" s="493">
        <f t="shared" si="710"/>
        <v>15591889.637088118</v>
      </c>
      <c r="H521" s="493">
        <f t="shared" si="710"/>
        <v>15591889.637088118</v>
      </c>
      <c r="I521" s="493">
        <f t="shared" si="710"/>
        <v>15591889.637088118</v>
      </c>
      <c r="J521" s="493">
        <f t="shared" si="710"/>
        <v>15591889.637088118</v>
      </c>
      <c r="K521" s="493">
        <f t="shared" si="710"/>
        <v>15591889.637088118</v>
      </c>
      <c r="L521" s="493">
        <f t="shared" si="710"/>
        <v>15591889.637088118</v>
      </c>
      <c r="M521" s="493">
        <f t="shared" si="710"/>
        <v>15591889.637088118</v>
      </c>
      <c r="N521" s="493">
        <f t="shared" si="710"/>
        <v>15591889.637088118</v>
      </c>
      <c r="O521" s="493">
        <f t="shared" si="710"/>
        <v>15591889.637088118</v>
      </c>
      <c r="P521" s="493">
        <f t="shared" si="710"/>
        <v>15591889.637088118</v>
      </c>
      <c r="Q521" s="493">
        <f t="shared" si="710"/>
        <v>15591889.637088118</v>
      </c>
      <c r="R521" s="493">
        <f t="shared" si="710"/>
        <v>15591889.637088118</v>
      </c>
      <c r="S521" s="493">
        <f t="shared" si="710"/>
        <v>15591889.637088118</v>
      </c>
      <c r="T521" s="493">
        <f t="shared" si="710"/>
        <v>15591889.637088118</v>
      </c>
      <c r="U521" s="493">
        <f t="shared" si="710"/>
        <v>15591889.637088118</v>
      </c>
      <c r="V521" s="493">
        <f t="shared" si="710"/>
        <v>15591889.637088118</v>
      </c>
      <c r="W521" s="493">
        <f t="shared" si="710"/>
        <v>15591889.637088118</v>
      </c>
      <c r="X521" s="493">
        <f t="shared" si="710"/>
        <v>15591889.637088118</v>
      </c>
      <c r="Y521" s="493">
        <f t="shared" si="710"/>
        <v>15591889.637088118</v>
      </c>
      <c r="Z521" s="493">
        <f t="shared" si="710"/>
        <v>15591889.637088118</v>
      </c>
      <c r="AA521" s="493">
        <f t="shared" si="710"/>
        <v>15591889.637088118</v>
      </c>
      <c r="AB521" s="493">
        <f t="shared" si="710"/>
        <v>15591889.637088118</v>
      </c>
      <c r="AC521" s="493">
        <f t="shared" si="710"/>
        <v>15591889.637088118</v>
      </c>
      <c r="AD521" s="493">
        <f t="shared" si="710"/>
        <v>15591889.637088118</v>
      </c>
      <c r="AE521" s="493">
        <f t="shared" si="710"/>
        <v>15591889.637088118</v>
      </c>
      <c r="AF521" s="493">
        <f t="shared" si="710"/>
        <v>15591889.637088118</v>
      </c>
      <c r="AG521" s="493">
        <f t="shared" si="710"/>
        <v>15591889.637088118</v>
      </c>
      <c r="AH521" s="493">
        <f t="shared" si="710"/>
        <v>15591889.637088118</v>
      </c>
      <c r="AI521" s="522">
        <f t="shared" ref="AI521" si="711">SUM(D521:N521)</f>
        <v>189057711.15708536</v>
      </c>
      <c r="AJ521" s="522">
        <f t="shared" ref="AJ521" si="712">SUM(D521:X521)</f>
        <v>344976607.52796656</v>
      </c>
      <c r="AK521" s="525">
        <f t="shared" ref="AK521" si="713">SUM(D521:AH521)</f>
        <v>500895503.89884776</v>
      </c>
    </row>
    <row r="522" spans="1:37" ht="11.5" thickBot="1" x14ac:dyDescent="0.25">
      <c r="A522" s="509" t="s">
        <v>291</v>
      </c>
      <c r="B522" s="510"/>
      <c r="C522" s="515"/>
      <c r="D522" s="588">
        <f>SUM(D512:D521)</f>
        <v>410480399.45404989</v>
      </c>
      <c r="E522" s="512">
        <f>SUM(E512:E521)</f>
        <v>541627039.49219012</v>
      </c>
      <c r="F522" s="512">
        <f t="shared" ref="F522:AH522" si="714">SUM(F512:F521)</f>
        <v>539511369.18486321</v>
      </c>
      <c r="G522" s="512">
        <f t="shared" si="714"/>
        <v>537395698.87753642</v>
      </c>
      <c r="H522" s="512">
        <f t="shared" si="714"/>
        <v>535280028.57020968</v>
      </c>
      <c r="I522" s="512">
        <f t="shared" si="714"/>
        <v>533164358.26288277</v>
      </c>
      <c r="J522" s="512">
        <f t="shared" si="714"/>
        <v>531048687.95555598</v>
      </c>
      <c r="K522" s="512">
        <f t="shared" si="714"/>
        <v>528933017.64822906</v>
      </c>
      <c r="L522" s="512">
        <f t="shared" si="714"/>
        <v>526817347.34090215</v>
      </c>
      <c r="M522" s="512">
        <f t="shared" si="714"/>
        <v>524701677.03357536</v>
      </c>
      <c r="N522" s="512">
        <f t="shared" si="714"/>
        <v>522586006.72624844</v>
      </c>
      <c r="O522" s="512">
        <f t="shared" si="714"/>
        <v>520470336.41892165</v>
      </c>
      <c r="P522" s="512">
        <f t="shared" si="714"/>
        <v>518354666.1115948</v>
      </c>
      <c r="Q522" s="512">
        <f t="shared" si="714"/>
        <v>516238995.80426794</v>
      </c>
      <c r="R522" s="512">
        <f t="shared" si="714"/>
        <v>514123325.49694109</v>
      </c>
      <c r="S522" s="512">
        <f t="shared" si="714"/>
        <v>512007655.18961418</v>
      </c>
      <c r="T522" s="512">
        <f t="shared" si="714"/>
        <v>496849470.77615184</v>
      </c>
      <c r="U522" s="512">
        <f t="shared" si="714"/>
        <v>496603462.6008814</v>
      </c>
      <c r="V522" s="512">
        <f t="shared" si="714"/>
        <v>496357454.42561084</v>
      </c>
      <c r="W522" s="512">
        <f t="shared" si="714"/>
        <v>496111446.25034028</v>
      </c>
      <c r="X522" s="512">
        <f t="shared" si="714"/>
        <v>495865438.07506984</v>
      </c>
      <c r="Y522" s="512">
        <f t="shared" si="714"/>
        <v>495619429.89979929</v>
      </c>
      <c r="Z522" s="512">
        <f t="shared" si="714"/>
        <v>495373421.72452849</v>
      </c>
      <c r="AA522" s="512">
        <f t="shared" si="714"/>
        <v>495127413.54925805</v>
      </c>
      <c r="AB522" s="512">
        <f t="shared" si="714"/>
        <v>494881405.37398738</v>
      </c>
      <c r="AC522" s="512">
        <f t="shared" si="714"/>
        <v>494635397.19871682</v>
      </c>
      <c r="AD522" s="512">
        <f t="shared" si="714"/>
        <v>494389389.02344638</v>
      </c>
      <c r="AE522" s="512">
        <f t="shared" si="714"/>
        <v>494143380.84817582</v>
      </c>
      <c r="AF522" s="512">
        <f t="shared" si="714"/>
        <v>493897372.67290515</v>
      </c>
      <c r="AG522" s="512">
        <f t="shared" si="714"/>
        <v>493651364.49763459</v>
      </c>
      <c r="AH522" s="512">
        <f t="shared" si="714"/>
        <v>493405356.32236403</v>
      </c>
      <c r="AI522" s="523">
        <f t="shared" ref="AI522:AK522" si="715">SUM(AI513:AI520)</f>
        <v>-682166958.8660655</v>
      </c>
      <c r="AJ522" s="523">
        <f t="shared" si="715"/>
        <v>3302451883.4498906</v>
      </c>
      <c r="AK522" s="527">
        <f t="shared" si="715"/>
        <v>7169212405.7272596</v>
      </c>
    </row>
    <row r="523" spans="1:37" x14ac:dyDescent="0.2">
      <c r="A523" s="516"/>
      <c r="B523" s="516"/>
      <c r="C523" s="516"/>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c r="AJ523" s="517"/>
      <c r="AK523" s="514"/>
    </row>
    <row r="524" spans="1:37" ht="11.5" thickBot="1" x14ac:dyDescent="0.25">
      <c r="A524" s="465" t="s">
        <v>271</v>
      </c>
      <c r="E524" s="514"/>
      <c r="F524" s="514"/>
      <c r="G524" s="514"/>
      <c r="H524" s="514"/>
      <c r="I524" s="514"/>
      <c r="J524" s="514"/>
      <c r="K524" s="514"/>
      <c r="L524" s="514"/>
      <c r="M524" s="514"/>
      <c r="N524" s="514"/>
      <c r="O524" s="514"/>
      <c r="P524" s="514"/>
      <c r="Q524" s="514"/>
      <c r="R524" s="514"/>
      <c r="S524" s="514"/>
      <c r="T524" s="514"/>
      <c r="U524" s="514"/>
      <c r="V524" s="514"/>
      <c r="W524" s="514"/>
      <c r="X524" s="514"/>
      <c r="Y524" s="514"/>
      <c r="Z524" s="514"/>
      <c r="AA524" s="514"/>
      <c r="AB524" s="514"/>
      <c r="AC524" s="514"/>
      <c r="AD524" s="514"/>
      <c r="AE524" s="514"/>
      <c r="AF524" s="514"/>
      <c r="AG524" s="514"/>
      <c r="AH524" s="514"/>
      <c r="AK524" s="514"/>
    </row>
    <row r="525" spans="1:37" ht="12" thickBot="1" x14ac:dyDescent="0.3">
      <c r="A525" s="446"/>
      <c r="B525" s="508" t="s">
        <v>265</v>
      </c>
      <c r="C525" s="447"/>
      <c r="D525" s="584">
        <v>0</v>
      </c>
      <c r="E525" s="448">
        <v>1</v>
      </c>
      <c r="F525" s="448">
        <v>2</v>
      </c>
      <c r="G525" s="448">
        <v>3</v>
      </c>
      <c r="H525" s="448">
        <v>4</v>
      </c>
      <c r="I525" s="448">
        <v>5</v>
      </c>
      <c r="J525" s="448">
        <v>6</v>
      </c>
      <c r="K525" s="448">
        <v>7</v>
      </c>
      <c r="L525" s="448">
        <v>8</v>
      </c>
      <c r="M525" s="448">
        <v>9</v>
      </c>
      <c r="N525" s="448">
        <v>10</v>
      </c>
      <c r="O525" s="448">
        <v>11</v>
      </c>
      <c r="P525" s="448">
        <v>12</v>
      </c>
      <c r="Q525" s="448">
        <v>13</v>
      </c>
      <c r="R525" s="448">
        <v>14</v>
      </c>
      <c r="S525" s="448">
        <v>15</v>
      </c>
      <c r="T525" s="448">
        <v>16</v>
      </c>
      <c r="U525" s="448">
        <v>17</v>
      </c>
      <c r="V525" s="448">
        <v>18</v>
      </c>
      <c r="W525" s="448">
        <v>19</v>
      </c>
      <c r="X525" s="449">
        <v>20</v>
      </c>
      <c r="Y525" s="449">
        <v>21</v>
      </c>
      <c r="Z525" s="449">
        <v>22</v>
      </c>
      <c r="AA525" s="449">
        <v>23</v>
      </c>
      <c r="AB525" s="449">
        <v>24</v>
      </c>
      <c r="AC525" s="449">
        <v>25</v>
      </c>
      <c r="AD525" s="449">
        <v>26</v>
      </c>
      <c r="AE525" s="449">
        <v>27</v>
      </c>
      <c r="AF525" s="449">
        <v>28</v>
      </c>
      <c r="AG525" s="449">
        <v>29</v>
      </c>
      <c r="AH525" s="463">
        <v>30</v>
      </c>
      <c r="AI525" s="521" t="s">
        <v>298</v>
      </c>
      <c r="AJ525" s="524" t="s">
        <v>261</v>
      </c>
      <c r="AK525" s="526" t="s">
        <v>262</v>
      </c>
    </row>
    <row r="526" spans="1:37" x14ac:dyDescent="0.2">
      <c r="A526" s="491" t="s">
        <v>279</v>
      </c>
      <c r="B526" s="465"/>
      <c r="C526" s="452" t="s">
        <v>37</v>
      </c>
      <c r="D526" s="493">
        <f t="shared" ref="D526:AH526" si="716">SUM(D145:D146)</f>
        <v>0</v>
      </c>
      <c r="E526" s="493">
        <f t="shared" si="716"/>
        <v>54813699.268337078</v>
      </c>
      <c r="F526" s="493">
        <f t="shared" si="716"/>
        <v>54813699.268337078</v>
      </c>
      <c r="G526" s="493">
        <f t="shared" si="716"/>
        <v>54813699.268337078</v>
      </c>
      <c r="H526" s="493">
        <f t="shared" si="716"/>
        <v>54813699.268337078</v>
      </c>
      <c r="I526" s="493">
        <f t="shared" si="716"/>
        <v>54813699.268337078</v>
      </c>
      <c r="J526" s="493">
        <f t="shared" si="716"/>
        <v>54813699.268337078</v>
      </c>
      <c r="K526" s="493">
        <f t="shared" si="716"/>
        <v>54813699.268337078</v>
      </c>
      <c r="L526" s="493">
        <f t="shared" si="716"/>
        <v>54813699.268337078</v>
      </c>
      <c r="M526" s="493">
        <f t="shared" si="716"/>
        <v>54813699.268337078</v>
      </c>
      <c r="N526" s="493">
        <f t="shared" si="716"/>
        <v>54813699.268337078</v>
      </c>
      <c r="O526" s="493">
        <f t="shared" si="716"/>
        <v>54813699.268337078</v>
      </c>
      <c r="P526" s="493">
        <f t="shared" si="716"/>
        <v>54813699.268337078</v>
      </c>
      <c r="Q526" s="493">
        <f t="shared" si="716"/>
        <v>54813699.268337078</v>
      </c>
      <c r="R526" s="493">
        <f t="shared" si="716"/>
        <v>54813699.268337078</v>
      </c>
      <c r="S526" s="493">
        <f t="shared" si="716"/>
        <v>54813699.268337078</v>
      </c>
      <c r="T526" s="493">
        <f t="shared" si="716"/>
        <v>54813699.268337078</v>
      </c>
      <c r="U526" s="493">
        <f t="shared" si="716"/>
        <v>54813699.268337078</v>
      </c>
      <c r="V526" s="493">
        <f t="shared" si="716"/>
        <v>54813699.268337078</v>
      </c>
      <c r="W526" s="493">
        <f t="shared" si="716"/>
        <v>54813699.268337078</v>
      </c>
      <c r="X526" s="493">
        <f t="shared" si="716"/>
        <v>54813699.268337078</v>
      </c>
      <c r="Y526" s="493">
        <f t="shared" si="716"/>
        <v>54813699.268337078</v>
      </c>
      <c r="Z526" s="493">
        <f t="shared" si="716"/>
        <v>54813699.268337078</v>
      </c>
      <c r="AA526" s="493">
        <f t="shared" si="716"/>
        <v>54813699.268337078</v>
      </c>
      <c r="AB526" s="493">
        <f t="shared" si="716"/>
        <v>54813699.268337078</v>
      </c>
      <c r="AC526" s="493">
        <f t="shared" si="716"/>
        <v>54813699.268337078</v>
      </c>
      <c r="AD526" s="493">
        <f t="shared" si="716"/>
        <v>54813699.268337078</v>
      </c>
      <c r="AE526" s="493">
        <f t="shared" si="716"/>
        <v>54813699.268337078</v>
      </c>
      <c r="AF526" s="493">
        <f t="shared" si="716"/>
        <v>54813699.268337078</v>
      </c>
      <c r="AG526" s="493">
        <f t="shared" si="716"/>
        <v>54813699.268337078</v>
      </c>
      <c r="AH526" s="493">
        <f t="shared" si="716"/>
        <v>54813699.268337078</v>
      </c>
      <c r="AI526" s="528">
        <f t="shared" ref="AI526:AI532" si="717">SUM(D526:N526)</f>
        <v>548136992.68337083</v>
      </c>
      <c r="AJ526" s="528">
        <f t="shared" ref="AJ526:AJ532" si="718">SUM(D526:X526)</f>
        <v>1096273985.3667421</v>
      </c>
      <c r="AK526" s="529">
        <f t="shared" ref="AK526:AK532" si="719">SUM(D526:AH526)</f>
        <v>1644410978.0501122</v>
      </c>
    </row>
    <row r="527" spans="1:37" s="1413" customFormat="1" x14ac:dyDescent="0.2">
      <c r="A527" s="1412" t="s">
        <v>1094</v>
      </c>
      <c r="B527" s="1411"/>
      <c r="C527" s="1416" t="s">
        <v>239</v>
      </c>
      <c r="D527" s="1407">
        <f t="shared" ref="D527:AH527" si="720">D451+D456</f>
        <v>0</v>
      </c>
      <c r="E527" s="1407">
        <f t="shared" si="720"/>
        <v>44390945.001358032</v>
      </c>
      <c r="F527" s="1407">
        <f t="shared" si="720"/>
        <v>44390945.001358032</v>
      </c>
      <c r="G527" s="1407">
        <f t="shared" si="720"/>
        <v>44390945.001358032</v>
      </c>
      <c r="H527" s="1407">
        <f t="shared" si="720"/>
        <v>44390945.001358032</v>
      </c>
      <c r="I527" s="1407">
        <f t="shared" si="720"/>
        <v>44390945.001358032</v>
      </c>
      <c r="J527" s="1407">
        <f t="shared" si="720"/>
        <v>44390945.001358032</v>
      </c>
      <c r="K527" s="1407">
        <f t="shared" si="720"/>
        <v>44390945.001358032</v>
      </c>
      <c r="L527" s="1407">
        <f t="shared" si="720"/>
        <v>44390945.001358032</v>
      </c>
      <c r="M527" s="1407">
        <f t="shared" si="720"/>
        <v>44390945.001358032</v>
      </c>
      <c r="N527" s="1407">
        <f t="shared" si="720"/>
        <v>44390945.001358032</v>
      </c>
      <c r="O527" s="1407">
        <f t="shared" si="720"/>
        <v>44390945.001358032</v>
      </c>
      <c r="P527" s="1407">
        <f t="shared" si="720"/>
        <v>44390945.001358032</v>
      </c>
      <c r="Q527" s="1407">
        <f t="shared" si="720"/>
        <v>44390945.001358032</v>
      </c>
      <c r="R527" s="1407">
        <f t="shared" si="720"/>
        <v>44390945.001358032</v>
      </c>
      <c r="S527" s="1407">
        <f t="shared" si="720"/>
        <v>44390945.001358032</v>
      </c>
      <c r="T527" s="1407">
        <f t="shared" si="720"/>
        <v>44390945.001358032</v>
      </c>
      <c r="U527" s="1407">
        <f t="shared" si="720"/>
        <v>44390945.001358032</v>
      </c>
      <c r="V527" s="1407">
        <f t="shared" si="720"/>
        <v>44390945.001358032</v>
      </c>
      <c r="W527" s="1407">
        <f t="shared" si="720"/>
        <v>44390945.001358032</v>
      </c>
      <c r="X527" s="1407">
        <f t="shared" si="720"/>
        <v>44390945.001358032</v>
      </c>
      <c r="Y527" s="1407">
        <f t="shared" si="720"/>
        <v>44390945.001358032</v>
      </c>
      <c r="Z527" s="1407">
        <f t="shared" si="720"/>
        <v>44390945.001358032</v>
      </c>
      <c r="AA527" s="1407">
        <f t="shared" si="720"/>
        <v>44390945.001358032</v>
      </c>
      <c r="AB527" s="1407">
        <f t="shared" si="720"/>
        <v>44390945.001358032</v>
      </c>
      <c r="AC527" s="1407">
        <f t="shared" si="720"/>
        <v>44390945.001358032</v>
      </c>
      <c r="AD527" s="1407">
        <f t="shared" si="720"/>
        <v>44390945.001358032</v>
      </c>
      <c r="AE527" s="1407">
        <f t="shared" si="720"/>
        <v>44390945.001358032</v>
      </c>
      <c r="AF527" s="1407">
        <f t="shared" si="720"/>
        <v>44390945.001358032</v>
      </c>
      <c r="AG527" s="1407">
        <f t="shared" si="720"/>
        <v>44390945.001358032</v>
      </c>
      <c r="AH527" s="1407">
        <f t="shared" si="720"/>
        <v>44390945.001358032</v>
      </c>
      <c r="AI527" s="1417">
        <f t="shared" si="717"/>
        <v>443909450.01358032</v>
      </c>
      <c r="AJ527" s="1417">
        <f t="shared" si="718"/>
        <v>887818900.02716064</v>
      </c>
      <c r="AK527" s="1418">
        <f t="shared" si="719"/>
        <v>1331728350.040741</v>
      </c>
    </row>
    <row r="528" spans="1:37" x14ac:dyDescent="0.2">
      <c r="A528" s="491" t="s">
        <v>548</v>
      </c>
      <c r="B528" s="465"/>
      <c r="C528" s="452" t="s">
        <v>239</v>
      </c>
      <c r="D528" s="493">
        <f>D507*入門編_計算シート!$E$164/(入門編_計算シート!$E$164+入門編_計算シート!$E$165)</f>
        <v>-2410095620.8148484</v>
      </c>
      <c r="E528" s="493">
        <f>E507*入門編_計算シート!$E$164/(入門編_計算シート!$E$164+入門編_計算シート!$E$165)</f>
        <v>190040035.18889594</v>
      </c>
      <c r="F528" s="493">
        <f>F507*入門編_計算シート!$E$164/(入門編_計算シート!$E$164+入門編_計算シート!$E$165)</f>
        <v>191582990.66843438</v>
      </c>
      <c r="G528" s="493">
        <f>G507*入門編_計算シート!$E$164/(入門編_計算シート!$E$164+入門編_計算シート!$E$165)</f>
        <v>193125946.14797282</v>
      </c>
      <c r="H528" s="493">
        <f>H507*入門編_計算シート!$E$164/(入門編_計算シート!$E$164+入門編_計算シート!$E$165)</f>
        <v>194668901.62751126</v>
      </c>
      <c r="I528" s="493">
        <f>I507*入門編_計算シート!$E$164/(入門編_計算シート!$E$164+入門編_計算シート!$E$165)</f>
        <v>196211857.10704982</v>
      </c>
      <c r="J528" s="493">
        <f>J507*入門編_計算シート!$E$164/(入門編_計算シート!$E$164+入門編_計算シート!$E$165)</f>
        <v>197754812.58658826</v>
      </c>
      <c r="K528" s="493">
        <f>K507*入門編_計算シート!$E$164/(入門編_計算シート!$E$164+入門編_計算シート!$E$165)</f>
        <v>199297768.06612682</v>
      </c>
      <c r="L528" s="493">
        <f>L507*入門編_計算シート!$E$164/(入門編_計算シート!$E$164+入門編_計算シート!$E$165)</f>
        <v>200840723.54566526</v>
      </c>
      <c r="M528" s="493">
        <f>M507*入門編_計算シート!$E$164/(入門編_計算シート!$E$164+入門編_計算シート!$E$165)</f>
        <v>202383679.0252037</v>
      </c>
      <c r="N528" s="493">
        <f>N507*入門編_計算シート!$E$164/(入門編_計算シート!$E$164+入門編_計算シート!$E$165)</f>
        <v>203926634.50474226</v>
      </c>
      <c r="O528" s="493">
        <f>O507*入門編_計算シート!$E$164/(入門編_計算シート!$E$164+入門編_計算シート!$E$165)</f>
        <v>205469589.98428071</v>
      </c>
      <c r="P528" s="493">
        <f>P507*入門編_計算シート!$E$164/(入門編_計算シート!$E$164+入門編_計算シート!$E$165)</f>
        <v>207012545.46381921</v>
      </c>
      <c r="Q528" s="493">
        <f>Q507*入門編_計算シート!$E$164/(入門編_計算シート!$E$164+入門編_計算シート!$E$165)</f>
        <v>208555500.94335771</v>
      </c>
      <c r="R528" s="493">
        <f>R507*入門編_計算シート!$E$164/(入門編_計算シート!$E$164+入門編_計算シート!$E$165)</f>
        <v>210098456.42289621</v>
      </c>
      <c r="S528" s="493">
        <f>S507*入門編_計算シート!$E$164/(入門編_計算シート!$E$164+入門編_計算シート!$E$165)</f>
        <v>211641411.90243465</v>
      </c>
      <c r="T528" s="493">
        <f>T507*入門編_計算シート!$E$164/(入門編_計算シート!$E$164+入門編_計算シート!$E$165)</f>
        <v>190075447.17588592</v>
      </c>
      <c r="U528" s="493">
        <f>U507*入門編_計算シート!$E$164/(入門編_計算シート!$E$164+入門編_計算シート!$E$165)</f>
        <v>190254860.60373914</v>
      </c>
      <c r="V528" s="493">
        <f>V507*入門編_計算シート!$E$164/(入門編_計算シート!$E$164+入門編_計算シート!$E$165)</f>
        <v>190434274.03159249</v>
      </c>
      <c r="W528" s="493">
        <f>W507*入門編_計算シート!$E$164/(入門編_計算シート!$E$164+入門編_計算シート!$E$165)</f>
        <v>190613687.45944571</v>
      </c>
      <c r="X528" s="493">
        <f>X507*入門編_計算シート!$E$164/(入門編_計算シート!$E$164+入門編_計算シート!$E$165)</f>
        <v>190793100.88729894</v>
      </c>
      <c r="Y528" s="493">
        <f>Y507*入門編_計算シート!$E$164/(入門編_計算シート!$E$164+入門編_計算シート!$E$165)</f>
        <v>190972514.31515229</v>
      </c>
      <c r="Z528" s="493">
        <f>Z507*入門編_計算シート!$E$164/(入門編_計算シート!$E$164+入門編_計算シート!$E$165)</f>
        <v>191151927.74300575</v>
      </c>
      <c r="AA528" s="493">
        <f>AA507*入門編_計算シート!$E$164/(入門編_計算シート!$E$164+入門編_計算シート!$E$165)</f>
        <v>191331341.17085898</v>
      </c>
      <c r="AB528" s="493">
        <f>AB507*入門編_計算シート!$E$164/(入門編_計算シート!$E$164+入門編_計算シート!$E$165)</f>
        <v>191510754.59871233</v>
      </c>
      <c r="AC528" s="493">
        <f>AC507*入門編_計算シート!$E$164/(入門編_計算シート!$E$164+入門編_計算シート!$E$165)</f>
        <v>191690168.02656567</v>
      </c>
      <c r="AD528" s="493">
        <f>AD507*入門編_計算シート!$E$164/(入門編_計算シート!$E$164+入門編_計算シート!$E$165)</f>
        <v>191869581.4544189</v>
      </c>
      <c r="AE528" s="493">
        <f>AE507*入門編_計算シート!$E$164/(入門編_計算シート!$E$164+入門編_計算シート!$E$165)</f>
        <v>192048994.88227224</v>
      </c>
      <c r="AF528" s="493">
        <f>AF507*入門編_計算シート!$E$164/(入門編_計算シート!$E$164+入門編_計算シート!$E$165)</f>
        <v>192228408.31012559</v>
      </c>
      <c r="AG528" s="493">
        <f>AG507*入門編_計算シート!$E$164/(入門編_計算シート!$E$164+入門編_計算シート!$E$165)</f>
        <v>192407821.73797894</v>
      </c>
      <c r="AH528" s="493">
        <f>AH507*入門編_計算シート!$E$164/(入門編_計算シート!$E$164+入門編_計算シート!$E$165)</f>
        <v>192587235.16583216</v>
      </c>
      <c r="AI528" s="522">
        <f t="shared" si="717"/>
        <v>-440262272.34665811</v>
      </c>
      <c r="AJ528" s="522">
        <f t="shared" si="718"/>
        <v>1554686602.5280924</v>
      </c>
      <c r="AK528" s="525">
        <f t="shared" si="719"/>
        <v>3472485349.9330153</v>
      </c>
    </row>
    <row r="529" spans="1:37" x14ac:dyDescent="0.2">
      <c r="A529" s="491" t="s">
        <v>612</v>
      </c>
      <c r="B529" s="465"/>
      <c r="C529" s="452" t="s">
        <v>239</v>
      </c>
      <c r="D529" s="493">
        <f t="shared" ref="D529:AH529" si="721">SUMIF($B$395:$B$412,"従業員の可処分所得（一次）",D$395:D$412)+SUMIF($B$431:$B$479,"従業員の可処分所得（一次）",D$431:D$479)</f>
        <v>168545007.14272016</v>
      </c>
      <c r="E529" s="1400">
        <f t="shared" si="721"/>
        <v>34683356.298007444</v>
      </c>
      <c r="F529" s="493">
        <f t="shared" si="721"/>
        <v>34683356.298007444</v>
      </c>
      <c r="G529" s="493">
        <f t="shared" si="721"/>
        <v>34683356.298007444</v>
      </c>
      <c r="H529" s="493">
        <f t="shared" si="721"/>
        <v>34683356.298007444</v>
      </c>
      <c r="I529" s="493">
        <f t="shared" si="721"/>
        <v>34683356.298007444</v>
      </c>
      <c r="J529" s="493">
        <f t="shared" si="721"/>
        <v>34683356.298007444</v>
      </c>
      <c r="K529" s="493">
        <f t="shared" si="721"/>
        <v>34683356.298007444</v>
      </c>
      <c r="L529" s="493">
        <f t="shared" si="721"/>
        <v>34683356.298007444</v>
      </c>
      <c r="M529" s="493">
        <f t="shared" si="721"/>
        <v>34683356.298007444</v>
      </c>
      <c r="N529" s="493">
        <f t="shared" si="721"/>
        <v>34683356.298007444</v>
      </c>
      <c r="O529" s="493">
        <f t="shared" si="721"/>
        <v>34683356.298007444</v>
      </c>
      <c r="P529" s="493">
        <f t="shared" si="721"/>
        <v>34683356.298007444</v>
      </c>
      <c r="Q529" s="493">
        <f t="shared" si="721"/>
        <v>34683356.298007444</v>
      </c>
      <c r="R529" s="493">
        <f t="shared" si="721"/>
        <v>34683356.298007444</v>
      </c>
      <c r="S529" s="493">
        <f t="shared" si="721"/>
        <v>34683356.298007444</v>
      </c>
      <c r="T529" s="493">
        <f t="shared" si="721"/>
        <v>34683356.298007444</v>
      </c>
      <c r="U529" s="493">
        <f t="shared" si="721"/>
        <v>34683356.298007444</v>
      </c>
      <c r="V529" s="493">
        <f t="shared" si="721"/>
        <v>34683356.298007444</v>
      </c>
      <c r="W529" s="493">
        <f t="shared" si="721"/>
        <v>34683356.298007444</v>
      </c>
      <c r="X529" s="493">
        <f t="shared" si="721"/>
        <v>34683356.298007444</v>
      </c>
      <c r="Y529" s="493">
        <f t="shared" si="721"/>
        <v>34683356.298007444</v>
      </c>
      <c r="Z529" s="493">
        <f t="shared" si="721"/>
        <v>34683356.298007444</v>
      </c>
      <c r="AA529" s="493">
        <f t="shared" si="721"/>
        <v>34683356.298007444</v>
      </c>
      <c r="AB529" s="493">
        <f t="shared" si="721"/>
        <v>34683356.298007444</v>
      </c>
      <c r="AC529" s="493">
        <f t="shared" si="721"/>
        <v>34683356.298007444</v>
      </c>
      <c r="AD529" s="493">
        <f t="shared" si="721"/>
        <v>34683356.298007444</v>
      </c>
      <c r="AE529" s="493">
        <f t="shared" si="721"/>
        <v>34683356.298007444</v>
      </c>
      <c r="AF529" s="493">
        <f t="shared" si="721"/>
        <v>34683356.298007444</v>
      </c>
      <c r="AG529" s="493">
        <f t="shared" si="721"/>
        <v>34683356.298007444</v>
      </c>
      <c r="AH529" s="493">
        <f t="shared" si="721"/>
        <v>34683356.298007444</v>
      </c>
      <c r="AI529" s="522">
        <f t="shared" si="717"/>
        <v>515378570.12279445</v>
      </c>
      <c r="AJ529" s="522">
        <f t="shared" si="718"/>
        <v>862212133.10286927</v>
      </c>
      <c r="AK529" s="525">
        <f t="shared" si="719"/>
        <v>1209045696.0829442</v>
      </c>
    </row>
    <row r="530" spans="1:37" x14ac:dyDescent="0.2">
      <c r="A530" s="491" t="s">
        <v>611</v>
      </c>
      <c r="B530" s="465"/>
      <c r="C530" s="452" t="s">
        <v>239</v>
      </c>
      <c r="D530" s="493">
        <f t="shared" ref="D530:AH530" si="722">SUMIF($B$395:$B$412,"企業の税引後利益（一次）",D$395:D$412)+SUMIF($B$431:$B$479,"企業の税引後利益（一次）",D$431:D$479)</f>
        <v>66533804.045784831</v>
      </c>
      <c r="E530" s="1400">
        <f t="shared" si="722"/>
        <v>9723504.8092160001</v>
      </c>
      <c r="F530" s="493">
        <f t="shared" si="722"/>
        <v>9723504.8092160001</v>
      </c>
      <c r="G530" s="493">
        <f t="shared" si="722"/>
        <v>9723504.8092160001</v>
      </c>
      <c r="H530" s="493">
        <f t="shared" si="722"/>
        <v>9723504.8092160001</v>
      </c>
      <c r="I530" s="493">
        <f t="shared" si="722"/>
        <v>9723504.8092160001</v>
      </c>
      <c r="J530" s="493">
        <f t="shared" si="722"/>
        <v>9723504.8092160001</v>
      </c>
      <c r="K530" s="493">
        <f t="shared" si="722"/>
        <v>9723504.8092160001</v>
      </c>
      <c r="L530" s="493">
        <f t="shared" si="722"/>
        <v>9723504.8092160001</v>
      </c>
      <c r="M530" s="493">
        <f t="shared" si="722"/>
        <v>9723504.8092160001</v>
      </c>
      <c r="N530" s="493">
        <f t="shared" si="722"/>
        <v>9723504.8092160001</v>
      </c>
      <c r="O530" s="493">
        <f t="shared" si="722"/>
        <v>9723504.8092160001</v>
      </c>
      <c r="P530" s="493">
        <f t="shared" si="722"/>
        <v>9723504.8092160001</v>
      </c>
      <c r="Q530" s="493">
        <f t="shared" si="722"/>
        <v>9723504.8092160001</v>
      </c>
      <c r="R530" s="493">
        <f t="shared" si="722"/>
        <v>9723504.8092160001</v>
      </c>
      <c r="S530" s="493">
        <f t="shared" si="722"/>
        <v>9723504.8092160001</v>
      </c>
      <c r="T530" s="493">
        <f t="shared" si="722"/>
        <v>9723504.8092160001</v>
      </c>
      <c r="U530" s="493">
        <f t="shared" si="722"/>
        <v>9723504.8092160001</v>
      </c>
      <c r="V530" s="493">
        <f t="shared" si="722"/>
        <v>9723504.8092160001</v>
      </c>
      <c r="W530" s="493">
        <f t="shared" si="722"/>
        <v>9723504.8092160001</v>
      </c>
      <c r="X530" s="493">
        <f t="shared" si="722"/>
        <v>9723504.8092160001</v>
      </c>
      <c r="Y530" s="493">
        <f t="shared" si="722"/>
        <v>9723504.8092160001</v>
      </c>
      <c r="Z530" s="493">
        <f t="shared" si="722"/>
        <v>9723504.8092160001</v>
      </c>
      <c r="AA530" s="493">
        <f t="shared" si="722"/>
        <v>9723504.8092160001</v>
      </c>
      <c r="AB530" s="493">
        <f t="shared" si="722"/>
        <v>9723504.8092160001</v>
      </c>
      <c r="AC530" s="493">
        <f t="shared" si="722"/>
        <v>9723504.8092160001</v>
      </c>
      <c r="AD530" s="493">
        <f t="shared" si="722"/>
        <v>9723504.8092160001</v>
      </c>
      <c r="AE530" s="493">
        <f t="shared" si="722"/>
        <v>9723504.8092160001</v>
      </c>
      <c r="AF530" s="493">
        <f t="shared" si="722"/>
        <v>9723504.8092160001</v>
      </c>
      <c r="AG530" s="493">
        <f t="shared" si="722"/>
        <v>9723504.8092160001</v>
      </c>
      <c r="AH530" s="493">
        <f t="shared" si="722"/>
        <v>9723504.8092160001</v>
      </c>
      <c r="AI530" s="522">
        <f t="shared" si="717"/>
        <v>163768852.13794476</v>
      </c>
      <c r="AJ530" s="522">
        <f t="shared" si="718"/>
        <v>261003900.23010468</v>
      </c>
      <c r="AK530" s="525">
        <f t="shared" si="719"/>
        <v>358238948.32226491</v>
      </c>
    </row>
    <row r="531" spans="1:37" ht="12.75" customHeight="1" x14ac:dyDescent="0.2">
      <c r="A531" s="491" t="s">
        <v>549</v>
      </c>
      <c r="B531" s="465"/>
      <c r="C531" s="452" t="s">
        <v>37</v>
      </c>
      <c r="D531" s="493">
        <f t="shared" ref="D531:AH531" si="723">D403</f>
        <v>66533804.045784831</v>
      </c>
      <c r="E531" s="1400">
        <f t="shared" si="723"/>
        <v>0</v>
      </c>
      <c r="F531" s="493">
        <f t="shared" si="723"/>
        <v>0</v>
      </c>
      <c r="G531" s="493">
        <f t="shared" si="723"/>
        <v>0</v>
      </c>
      <c r="H531" s="493">
        <f t="shared" si="723"/>
        <v>0</v>
      </c>
      <c r="I531" s="493">
        <f t="shared" si="723"/>
        <v>0</v>
      </c>
      <c r="J531" s="493">
        <f t="shared" si="723"/>
        <v>0</v>
      </c>
      <c r="K531" s="493">
        <f t="shared" si="723"/>
        <v>0</v>
      </c>
      <c r="L531" s="493">
        <f t="shared" si="723"/>
        <v>0</v>
      </c>
      <c r="M531" s="493">
        <f t="shared" si="723"/>
        <v>0</v>
      </c>
      <c r="N531" s="493">
        <f t="shared" si="723"/>
        <v>0</v>
      </c>
      <c r="O531" s="493">
        <f t="shared" si="723"/>
        <v>0</v>
      </c>
      <c r="P531" s="493">
        <f t="shared" si="723"/>
        <v>0</v>
      </c>
      <c r="Q531" s="493">
        <f t="shared" si="723"/>
        <v>0</v>
      </c>
      <c r="R531" s="493">
        <f t="shared" si="723"/>
        <v>0</v>
      </c>
      <c r="S531" s="493">
        <f t="shared" si="723"/>
        <v>0</v>
      </c>
      <c r="T531" s="493">
        <f t="shared" si="723"/>
        <v>0</v>
      </c>
      <c r="U531" s="493">
        <f t="shared" si="723"/>
        <v>0</v>
      </c>
      <c r="V531" s="493">
        <f t="shared" si="723"/>
        <v>0</v>
      </c>
      <c r="W531" s="493">
        <f t="shared" si="723"/>
        <v>0</v>
      </c>
      <c r="X531" s="493">
        <f t="shared" si="723"/>
        <v>0</v>
      </c>
      <c r="Y531" s="493">
        <f t="shared" si="723"/>
        <v>0</v>
      </c>
      <c r="Z531" s="493">
        <f t="shared" si="723"/>
        <v>0</v>
      </c>
      <c r="AA531" s="493">
        <f t="shared" si="723"/>
        <v>0</v>
      </c>
      <c r="AB531" s="493">
        <f t="shared" si="723"/>
        <v>0</v>
      </c>
      <c r="AC531" s="493">
        <f t="shared" si="723"/>
        <v>0</v>
      </c>
      <c r="AD531" s="493">
        <f t="shared" si="723"/>
        <v>0</v>
      </c>
      <c r="AE531" s="493">
        <f t="shared" si="723"/>
        <v>0</v>
      </c>
      <c r="AF531" s="493">
        <f t="shared" si="723"/>
        <v>0</v>
      </c>
      <c r="AG531" s="493">
        <f t="shared" si="723"/>
        <v>0</v>
      </c>
      <c r="AH531" s="493">
        <f t="shared" si="723"/>
        <v>0</v>
      </c>
      <c r="AI531" s="522">
        <f t="shared" si="717"/>
        <v>66533804.045784831</v>
      </c>
      <c r="AJ531" s="522">
        <f t="shared" si="718"/>
        <v>66533804.045784831</v>
      </c>
      <c r="AK531" s="525">
        <f t="shared" si="719"/>
        <v>66533804.045784831</v>
      </c>
    </row>
    <row r="532" spans="1:37" x14ac:dyDescent="0.2">
      <c r="A532" s="491" t="s">
        <v>550</v>
      </c>
      <c r="B532" s="465"/>
      <c r="C532" s="452" t="s">
        <v>37</v>
      </c>
      <c r="D532" s="493">
        <f>D421+D439</f>
        <v>0</v>
      </c>
      <c r="E532" s="1400">
        <f>E439</f>
        <v>9723504.8092160001</v>
      </c>
      <c r="F532" s="493">
        <f t="shared" ref="F532:AH532" si="724">F439</f>
        <v>9723504.8092160001</v>
      </c>
      <c r="G532" s="493">
        <f t="shared" si="724"/>
        <v>9723504.8092160001</v>
      </c>
      <c r="H532" s="493">
        <f t="shared" si="724"/>
        <v>9723504.8092160001</v>
      </c>
      <c r="I532" s="493">
        <f t="shared" si="724"/>
        <v>9723504.8092160001</v>
      </c>
      <c r="J532" s="493">
        <f t="shared" si="724"/>
        <v>9723504.8092160001</v>
      </c>
      <c r="K532" s="493">
        <f t="shared" si="724"/>
        <v>9723504.8092160001</v>
      </c>
      <c r="L532" s="493">
        <f t="shared" si="724"/>
        <v>9723504.8092160001</v>
      </c>
      <c r="M532" s="493">
        <f t="shared" si="724"/>
        <v>9723504.8092160001</v>
      </c>
      <c r="N532" s="493">
        <f t="shared" si="724"/>
        <v>9723504.8092160001</v>
      </c>
      <c r="O532" s="493">
        <f t="shared" si="724"/>
        <v>9723504.8092160001</v>
      </c>
      <c r="P532" s="493">
        <f t="shared" si="724"/>
        <v>9723504.8092160001</v>
      </c>
      <c r="Q532" s="493">
        <f t="shared" si="724"/>
        <v>9723504.8092160001</v>
      </c>
      <c r="R532" s="493">
        <f t="shared" si="724"/>
        <v>9723504.8092160001</v>
      </c>
      <c r="S532" s="493">
        <f t="shared" si="724"/>
        <v>9723504.8092160001</v>
      </c>
      <c r="T532" s="493">
        <f t="shared" si="724"/>
        <v>9723504.8092160001</v>
      </c>
      <c r="U532" s="493">
        <f t="shared" si="724"/>
        <v>9723504.8092160001</v>
      </c>
      <c r="V532" s="493">
        <f t="shared" si="724"/>
        <v>9723504.8092160001</v>
      </c>
      <c r="W532" s="493">
        <f t="shared" si="724"/>
        <v>9723504.8092160001</v>
      </c>
      <c r="X532" s="493">
        <f t="shared" si="724"/>
        <v>9723504.8092160001</v>
      </c>
      <c r="Y532" s="493">
        <f t="shared" si="724"/>
        <v>9723504.8092160001</v>
      </c>
      <c r="Z532" s="493">
        <f t="shared" si="724"/>
        <v>9723504.8092160001</v>
      </c>
      <c r="AA532" s="493">
        <f t="shared" si="724"/>
        <v>9723504.8092160001</v>
      </c>
      <c r="AB532" s="493">
        <f t="shared" si="724"/>
        <v>9723504.8092160001</v>
      </c>
      <c r="AC532" s="493">
        <f t="shared" si="724"/>
        <v>9723504.8092160001</v>
      </c>
      <c r="AD532" s="493">
        <f t="shared" si="724"/>
        <v>9723504.8092160001</v>
      </c>
      <c r="AE532" s="493">
        <f t="shared" si="724"/>
        <v>9723504.8092160001</v>
      </c>
      <c r="AF532" s="493">
        <f t="shared" si="724"/>
        <v>9723504.8092160001</v>
      </c>
      <c r="AG532" s="493">
        <f t="shared" si="724"/>
        <v>9723504.8092160001</v>
      </c>
      <c r="AH532" s="493">
        <f t="shared" si="724"/>
        <v>9723504.8092160001</v>
      </c>
      <c r="AI532" s="522">
        <f t="shared" si="717"/>
        <v>97235048.092159986</v>
      </c>
      <c r="AJ532" s="522">
        <f t="shared" si="718"/>
        <v>194470096.18431991</v>
      </c>
      <c r="AK532" s="525">
        <f t="shared" si="719"/>
        <v>291705144.2764799</v>
      </c>
    </row>
    <row r="533" spans="1:37" x14ac:dyDescent="0.2">
      <c r="A533" s="491" t="s">
        <v>342</v>
      </c>
      <c r="B533" s="465"/>
      <c r="C533" s="452" t="s">
        <v>37</v>
      </c>
      <c r="D533" s="493">
        <f>SUMIF($B$395:$B$479,$A533,D$395:D$479)+SUMIF($B$395:$B$479,"消費税（都道府県）",D$395:D$479)+D497+D499+D493</f>
        <v>40165103.694257423</v>
      </c>
      <c r="E533" s="1400">
        <f>SUMIF($B$395:$B$479,$A533,E$395:E$479)+SUMIF($B$395:$B$479,"消費税（都道府県）",E$395:E$479)+E497+E499+E493</f>
        <v>38005857.709149115</v>
      </c>
      <c r="F533" s="493">
        <f t="shared" ref="F533:AH533" si="725">SUMIF($B$395:$B$479,$A533,F$395:F$479)+SUMIF($B$395:$B$479,"消費税（都道府県）",F$395:F$479)+F497+F499+F493</f>
        <v>38121936.803631596</v>
      </c>
      <c r="G533" s="493">
        <f t="shared" si="725"/>
        <v>38238015.898114085</v>
      </c>
      <c r="H533" s="493">
        <f t="shared" si="725"/>
        <v>38354094.992596567</v>
      </c>
      <c r="I533" s="493">
        <f t="shared" si="725"/>
        <v>38470174.087079048</v>
      </c>
      <c r="J533" s="493">
        <f t="shared" si="725"/>
        <v>38586253.18156153</v>
      </c>
      <c r="K533" s="493">
        <f t="shared" si="725"/>
        <v>38702332.276044019</v>
      </c>
      <c r="L533" s="493">
        <f t="shared" si="725"/>
        <v>38818411.3705265</v>
      </c>
      <c r="M533" s="493">
        <f t="shared" si="725"/>
        <v>38934490.465008982</v>
      </c>
      <c r="N533" s="493">
        <f t="shared" si="725"/>
        <v>39050569.559491463</v>
      </c>
      <c r="O533" s="493">
        <f t="shared" si="725"/>
        <v>39166648.653973944</v>
      </c>
      <c r="P533" s="493">
        <f t="shared" si="725"/>
        <v>39282727.748456426</v>
      </c>
      <c r="Q533" s="493">
        <f t="shared" si="725"/>
        <v>39398806.842938907</v>
      </c>
      <c r="R533" s="493">
        <f t="shared" si="725"/>
        <v>39514885.937421389</v>
      </c>
      <c r="S533" s="493">
        <f t="shared" si="725"/>
        <v>39630965.03190387</v>
      </c>
      <c r="T533" s="493">
        <f t="shared" si="725"/>
        <v>47074295.937572934</v>
      </c>
      <c r="U533" s="493">
        <f t="shared" si="725"/>
        <v>47087793.50669881</v>
      </c>
      <c r="V533" s="493">
        <f t="shared" si="725"/>
        <v>47101291.075824678</v>
      </c>
      <c r="W533" s="493">
        <f t="shared" si="725"/>
        <v>47114788.644950546</v>
      </c>
      <c r="X533" s="493">
        <f t="shared" si="725"/>
        <v>47128286.214076422</v>
      </c>
      <c r="Y533" s="493">
        <f t="shared" si="725"/>
        <v>47141783.783202283</v>
      </c>
      <c r="Z533" s="493">
        <f t="shared" si="725"/>
        <v>47155281.352328159</v>
      </c>
      <c r="AA533" s="493">
        <f t="shared" si="725"/>
        <v>47168778.921454035</v>
      </c>
      <c r="AB533" s="493">
        <f t="shared" si="725"/>
        <v>47182276.490579896</v>
      </c>
      <c r="AC533" s="493">
        <f t="shared" si="725"/>
        <v>47195774.059705772</v>
      </c>
      <c r="AD533" s="493">
        <f t="shared" si="725"/>
        <v>47209271.628831632</v>
      </c>
      <c r="AE533" s="493">
        <f t="shared" si="725"/>
        <v>47222769.197957508</v>
      </c>
      <c r="AF533" s="493">
        <f t="shared" si="725"/>
        <v>47236266.767083384</v>
      </c>
      <c r="AG533" s="493">
        <f t="shared" si="725"/>
        <v>47249764.336209245</v>
      </c>
      <c r="AH533" s="493">
        <f t="shared" si="725"/>
        <v>47263261.905335121</v>
      </c>
      <c r="AI533" s="522">
        <f t="shared" ref="AI533:AI538" si="726">SUM(D533:N533)</f>
        <v>425447240.03746033</v>
      </c>
      <c r="AJ533" s="522">
        <f t="shared" ref="AJ533:AJ538" si="727">SUM(D533:X533)</f>
        <v>857947729.63127828</v>
      </c>
      <c r="AK533" s="525">
        <f t="shared" ref="AK533:AK538" si="728">SUM(D533:AH533)</f>
        <v>1329972958.0739655</v>
      </c>
    </row>
    <row r="534" spans="1:37" x14ac:dyDescent="0.2">
      <c r="A534" s="491" t="s">
        <v>343</v>
      </c>
      <c r="B534" s="465"/>
      <c r="C534" s="452" t="s">
        <v>37</v>
      </c>
      <c r="D534" s="1407">
        <f t="shared" ref="D534" si="729">SUMIF($B$395:$B$479,$A534,D$395:D$479)+SUMIF($B$395:$B$479,"消費税（市町村）",D$395:D$479)+D498+D500+D494</f>
        <v>27522749.443688683</v>
      </c>
      <c r="E534" s="1407">
        <f>SUMIF($B$395:$B$479,$A534,E$395:E$479)+SUMIF($B$395:$B$479,"消費税（市町村）",E$395:E$479)+E498+E500+E494</f>
        <v>86316530.978003442</v>
      </c>
      <c r="F534" s="1407">
        <f t="shared" ref="F534:AH534" si="730">SUMIF($B$395:$B$479,$A534,F$395:F$479)+SUMIF($B$395:$B$479,"消費税（市町村）",F$395:F$479)+F498+F500+F494</f>
        <v>82541826.096655622</v>
      </c>
      <c r="G534" s="1407">
        <f t="shared" si="730"/>
        <v>78767121.215307787</v>
      </c>
      <c r="H534" s="1407">
        <f t="shared" si="730"/>
        <v>74992416.333959982</v>
      </c>
      <c r="I534" s="1407">
        <f t="shared" si="730"/>
        <v>71217711.452612147</v>
      </c>
      <c r="J534" s="1407">
        <f t="shared" si="730"/>
        <v>67443006.571264341</v>
      </c>
      <c r="K534" s="1407">
        <f t="shared" si="730"/>
        <v>63668301.689916514</v>
      </c>
      <c r="L534" s="1407">
        <f t="shared" si="730"/>
        <v>59893596.808568694</v>
      </c>
      <c r="M534" s="1407">
        <f t="shared" si="730"/>
        <v>56118891.927220881</v>
      </c>
      <c r="N534" s="1407">
        <f t="shared" si="730"/>
        <v>52344187.045873061</v>
      </c>
      <c r="O534" s="1407">
        <f t="shared" si="730"/>
        <v>48569482.164525241</v>
      </c>
      <c r="P534" s="1407">
        <f t="shared" si="730"/>
        <v>44794777.28317742</v>
      </c>
      <c r="Q534" s="1407">
        <f t="shared" si="730"/>
        <v>41020072.401829608</v>
      </c>
      <c r="R534" s="1407">
        <f t="shared" si="730"/>
        <v>37245367.520481788</v>
      </c>
      <c r="S534" s="1407">
        <f t="shared" si="730"/>
        <v>33470662.639133967</v>
      </c>
      <c r="T534" s="1407">
        <f t="shared" si="730"/>
        <v>32435112.046551526</v>
      </c>
      <c r="U534" s="1407">
        <f t="shared" si="730"/>
        <v>31996192.874301773</v>
      </c>
      <c r="V534" s="1407">
        <f t="shared" si="730"/>
        <v>31557273.702052027</v>
      </c>
      <c r="W534" s="1407">
        <f t="shared" si="730"/>
        <v>31118354.529802281</v>
      </c>
      <c r="X534" s="1407">
        <f t="shared" si="730"/>
        <v>30679435.357552536</v>
      </c>
      <c r="Y534" s="1407">
        <f t="shared" si="730"/>
        <v>30240516.18530279</v>
      </c>
      <c r="Z534" s="1407">
        <f t="shared" si="730"/>
        <v>29801597.013053045</v>
      </c>
      <c r="AA534" s="1407">
        <f t="shared" si="730"/>
        <v>29362677.840803299</v>
      </c>
      <c r="AB534" s="1407">
        <f t="shared" si="730"/>
        <v>28923758.668553554</v>
      </c>
      <c r="AC534" s="1407">
        <f t="shared" si="730"/>
        <v>28484839.496303808</v>
      </c>
      <c r="AD534" s="1407">
        <f t="shared" si="730"/>
        <v>28045920.324054062</v>
      </c>
      <c r="AE534" s="1407">
        <f t="shared" si="730"/>
        <v>27607001.151804317</v>
      </c>
      <c r="AF534" s="1407">
        <f t="shared" si="730"/>
        <v>27168081.979554571</v>
      </c>
      <c r="AG534" s="1407">
        <f t="shared" si="730"/>
        <v>26729162.807304822</v>
      </c>
      <c r="AH534" s="1407">
        <f t="shared" si="730"/>
        <v>26290243.635055076</v>
      </c>
      <c r="AI534" s="1417">
        <f t="shared" ref="AI534:AK534" si="731">SUMIF($B$395:$B$479,$A534,AI$395:AI$479)+SUMIF($B$395:$B$479,"消費税（市区町村）")+AI498+AI500+AI494</f>
        <v>626297483.9845283</v>
      </c>
      <c r="AJ534" s="1417">
        <f t="shared" si="731"/>
        <v>911224766.31849611</v>
      </c>
      <c r="AK534" s="1418">
        <f t="shared" si="731"/>
        <v>1115919117.2348449</v>
      </c>
    </row>
    <row r="535" spans="1:37" x14ac:dyDescent="0.2">
      <c r="A535" s="491" t="s">
        <v>344</v>
      </c>
      <c r="B535" s="465"/>
      <c r="C535" s="452" t="s">
        <v>37</v>
      </c>
      <c r="D535" s="493">
        <f t="shared" ref="D535:AH535" si="732">SUMIF($B$395:$B$479,"従業員の可処分所得（二次以降）",D$395:D$479)</f>
        <v>49213807.394767463</v>
      </c>
      <c r="E535" s="1400">
        <f t="shared" si="732"/>
        <v>42647717.815576009</v>
      </c>
      <c r="F535" s="493">
        <f t="shared" si="732"/>
        <v>42647717.815576009</v>
      </c>
      <c r="G535" s="493">
        <f t="shared" si="732"/>
        <v>42647717.815576009</v>
      </c>
      <c r="H535" s="493">
        <f t="shared" si="732"/>
        <v>42647717.815576009</v>
      </c>
      <c r="I535" s="493">
        <f t="shared" si="732"/>
        <v>42647717.815576009</v>
      </c>
      <c r="J535" s="493">
        <f t="shared" si="732"/>
        <v>42647717.815576009</v>
      </c>
      <c r="K535" s="493">
        <f t="shared" si="732"/>
        <v>42647717.815576009</v>
      </c>
      <c r="L535" s="493">
        <f t="shared" si="732"/>
        <v>42647717.815576009</v>
      </c>
      <c r="M535" s="493">
        <f t="shared" si="732"/>
        <v>42647717.815576009</v>
      </c>
      <c r="N535" s="493">
        <f t="shared" si="732"/>
        <v>42647717.815576009</v>
      </c>
      <c r="O535" s="493">
        <f t="shared" si="732"/>
        <v>42647717.815576009</v>
      </c>
      <c r="P535" s="493">
        <f t="shared" si="732"/>
        <v>42647717.815576009</v>
      </c>
      <c r="Q535" s="493">
        <f t="shared" si="732"/>
        <v>42647717.815576009</v>
      </c>
      <c r="R535" s="493">
        <f t="shared" si="732"/>
        <v>42647717.815576009</v>
      </c>
      <c r="S535" s="493">
        <f t="shared" si="732"/>
        <v>42647717.815576009</v>
      </c>
      <c r="T535" s="493">
        <f t="shared" si="732"/>
        <v>42647717.815576009</v>
      </c>
      <c r="U535" s="493">
        <f t="shared" si="732"/>
        <v>42647717.815576009</v>
      </c>
      <c r="V535" s="493">
        <f t="shared" si="732"/>
        <v>42647717.815576009</v>
      </c>
      <c r="W535" s="493">
        <f t="shared" si="732"/>
        <v>42647717.815576009</v>
      </c>
      <c r="X535" s="493">
        <f t="shared" si="732"/>
        <v>42647717.815576009</v>
      </c>
      <c r="Y535" s="493">
        <f t="shared" si="732"/>
        <v>42647717.815576009</v>
      </c>
      <c r="Z535" s="493">
        <f t="shared" si="732"/>
        <v>42647717.815576009</v>
      </c>
      <c r="AA535" s="493">
        <f t="shared" si="732"/>
        <v>42647717.815576009</v>
      </c>
      <c r="AB535" s="493">
        <f t="shared" si="732"/>
        <v>42647717.815576009</v>
      </c>
      <c r="AC535" s="493">
        <f t="shared" si="732"/>
        <v>42647717.815576009</v>
      </c>
      <c r="AD535" s="493">
        <f t="shared" si="732"/>
        <v>42647717.815576009</v>
      </c>
      <c r="AE535" s="493">
        <f t="shared" si="732"/>
        <v>42647717.815576009</v>
      </c>
      <c r="AF535" s="493">
        <f t="shared" si="732"/>
        <v>42647717.815576009</v>
      </c>
      <c r="AG535" s="493">
        <f t="shared" si="732"/>
        <v>42647717.815576009</v>
      </c>
      <c r="AH535" s="493">
        <f t="shared" si="732"/>
        <v>42647717.815576009</v>
      </c>
      <c r="AI535" s="522">
        <f t="shared" si="726"/>
        <v>475690985.55052763</v>
      </c>
      <c r="AJ535" s="522">
        <f t="shared" si="727"/>
        <v>902168163.70628726</v>
      </c>
      <c r="AK535" s="525">
        <f t="shared" si="728"/>
        <v>1328645341.8620474</v>
      </c>
    </row>
    <row r="536" spans="1:37" x14ac:dyDescent="0.2">
      <c r="A536" s="491" t="s">
        <v>345</v>
      </c>
      <c r="B536" s="465"/>
      <c r="C536" s="452" t="s">
        <v>37</v>
      </c>
      <c r="D536" s="493">
        <f>SUMIF($B$395:$B$479,"企業の税引後利益（二次以降）",D$395:D$479)</f>
        <v>44689324.133803919</v>
      </c>
      <c r="E536" s="1400">
        <f t="shared" ref="E536:AH536" si="733">SUMIF($B$395:$B$479,"企業の税引後利益（二次以降）",E$395:E$479)</f>
        <v>30281841.353831679</v>
      </c>
      <c r="F536" s="493">
        <f t="shared" si="733"/>
        <v>30281841.353831679</v>
      </c>
      <c r="G536" s="493">
        <f t="shared" si="733"/>
        <v>30281841.353831679</v>
      </c>
      <c r="H536" s="493">
        <f t="shared" si="733"/>
        <v>30281841.353831679</v>
      </c>
      <c r="I536" s="493">
        <f t="shared" si="733"/>
        <v>30281841.353831679</v>
      </c>
      <c r="J536" s="493">
        <f t="shared" si="733"/>
        <v>30281841.353831679</v>
      </c>
      <c r="K536" s="493">
        <f t="shared" si="733"/>
        <v>30281841.353831679</v>
      </c>
      <c r="L536" s="493">
        <f t="shared" si="733"/>
        <v>30281841.353831679</v>
      </c>
      <c r="M536" s="493">
        <f t="shared" si="733"/>
        <v>30281841.353831679</v>
      </c>
      <c r="N536" s="493">
        <f t="shared" si="733"/>
        <v>30281841.353831679</v>
      </c>
      <c r="O536" s="493">
        <f t="shared" si="733"/>
        <v>30281841.353831679</v>
      </c>
      <c r="P536" s="493">
        <f t="shared" si="733"/>
        <v>30281841.353831679</v>
      </c>
      <c r="Q536" s="493">
        <f t="shared" si="733"/>
        <v>30281841.353831679</v>
      </c>
      <c r="R536" s="493">
        <f t="shared" si="733"/>
        <v>30281841.353831679</v>
      </c>
      <c r="S536" s="493">
        <f t="shared" si="733"/>
        <v>30281841.353831679</v>
      </c>
      <c r="T536" s="493">
        <f t="shared" si="733"/>
        <v>30281841.353831679</v>
      </c>
      <c r="U536" s="493">
        <f t="shared" si="733"/>
        <v>30281841.353831679</v>
      </c>
      <c r="V536" s="493">
        <f t="shared" si="733"/>
        <v>30281841.353831679</v>
      </c>
      <c r="W536" s="493">
        <f t="shared" si="733"/>
        <v>30281841.353831679</v>
      </c>
      <c r="X536" s="493">
        <f t="shared" si="733"/>
        <v>30281841.353831679</v>
      </c>
      <c r="Y536" s="493">
        <f t="shared" si="733"/>
        <v>30281841.353831679</v>
      </c>
      <c r="Z536" s="493">
        <f t="shared" si="733"/>
        <v>30281841.353831679</v>
      </c>
      <c r="AA536" s="493">
        <f t="shared" si="733"/>
        <v>30281841.353831679</v>
      </c>
      <c r="AB536" s="493">
        <f t="shared" si="733"/>
        <v>30281841.353831679</v>
      </c>
      <c r="AC536" s="493">
        <f t="shared" si="733"/>
        <v>30281841.353831679</v>
      </c>
      <c r="AD536" s="493">
        <f t="shared" si="733"/>
        <v>30281841.353831679</v>
      </c>
      <c r="AE536" s="493">
        <f t="shared" si="733"/>
        <v>30281841.353831679</v>
      </c>
      <c r="AF536" s="493">
        <f t="shared" si="733"/>
        <v>30281841.353831679</v>
      </c>
      <c r="AG536" s="493">
        <f t="shared" si="733"/>
        <v>30281841.353831679</v>
      </c>
      <c r="AH536" s="493">
        <f t="shared" si="733"/>
        <v>30281841.353831679</v>
      </c>
      <c r="AI536" s="522">
        <f t="shared" si="726"/>
        <v>347507737.67212069</v>
      </c>
      <c r="AJ536" s="522">
        <f t="shared" si="727"/>
        <v>650326151.21043718</v>
      </c>
      <c r="AK536" s="525">
        <f t="shared" si="728"/>
        <v>953144564.74875367</v>
      </c>
    </row>
    <row r="537" spans="1:37" x14ac:dyDescent="0.2">
      <c r="A537" s="491" t="s">
        <v>346</v>
      </c>
      <c r="B537" s="465"/>
      <c r="C537" s="452" t="s">
        <v>37</v>
      </c>
      <c r="D537" s="493">
        <f t="shared" ref="D537:M538" si="734">SUMIF($B$395:$B$479,$A537,D$395:D$479)</f>
        <v>10224762.726983385</v>
      </c>
      <c r="E537" s="1400">
        <f t="shared" si="734"/>
        <v>7745689.9338322887</v>
      </c>
      <c r="F537" s="493">
        <f t="shared" si="734"/>
        <v>7745689.9338322887</v>
      </c>
      <c r="G537" s="493">
        <f t="shared" si="734"/>
        <v>7745689.9338322887</v>
      </c>
      <c r="H537" s="493">
        <f t="shared" si="734"/>
        <v>7745689.9338322887</v>
      </c>
      <c r="I537" s="493">
        <f t="shared" si="734"/>
        <v>7745689.9338322887</v>
      </c>
      <c r="J537" s="493">
        <f t="shared" si="734"/>
        <v>7745689.9338322887</v>
      </c>
      <c r="K537" s="493">
        <f t="shared" si="734"/>
        <v>7745689.9338322887</v>
      </c>
      <c r="L537" s="493">
        <f t="shared" si="734"/>
        <v>7745689.9338322887</v>
      </c>
      <c r="M537" s="493">
        <f t="shared" si="734"/>
        <v>7745689.9338322887</v>
      </c>
      <c r="N537" s="493">
        <f t="shared" ref="N537:W538" si="735">SUMIF($B$395:$B$479,$A537,N$395:N$479)</f>
        <v>7745689.9338322887</v>
      </c>
      <c r="O537" s="493">
        <f t="shared" si="735"/>
        <v>7745689.9338322887</v>
      </c>
      <c r="P537" s="493">
        <f t="shared" si="735"/>
        <v>7745689.9338322887</v>
      </c>
      <c r="Q537" s="493">
        <f t="shared" si="735"/>
        <v>7745689.9338322887</v>
      </c>
      <c r="R537" s="493">
        <f t="shared" si="735"/>
        <v>7745689.9338322887</v>
      </c>
      <c r="S537" s="493">
        <f t="shared" si="735"/>
        <v>7745689.9338322887</v>
      </c>
      <c r="T537" s="493">
        <f t="shared" si="735"/>
        <v>7745689.9338322887</v>
      </c>
      <c r="U537" s="493">
        <f t="shared" si="735"/>
        <v>7745689.9338322887</v>
      </c>
      <c r="V537" s="493">
        <f t="shared" si="735"/>
        <v>7745689.9338322887</v>
      </c>
      <c r="W537" s="493">
        <f t="shared" si="735"/>
        <v>7745689.9338322887</v>
      </c>
      <c r="X537" s="493">
        <f t="shared" ref="X537:AH538" si="736">SUMIF($B$395:$B$479,$A537,X$395:X$479)</f>
        <v>7745689.9338322887</v>
      </c>
      <c r="Y537" s="493">
        <f t="shared" si="736"/>
        <v>7745689.9338322887</v>
      </c>
      <c r="Z537" s="493">
        <f t="shared" si="736"/>
        <v>7745689.9338322887</v>
      </c>
      <c r="AA537" s="493">
        <f t="shared" si="736"/>
        <v>7745689.9338322887</v>
      </c>
      <c r="AB537" s="493">
        <f t="shared" si="736"/>
        <v>7745689.9338322887</v>
      </c>
      <c r="AC537" s="493">
        <f t="shared" si="736"/>
        <v>7745689.9338322887</v>
      </c>
      <c r="AD537" s="493">
        <f t="shared" si="736"/>
        <v>7745689.9338322887</v>
      </c>
      <c r="AE537" s="493">
        <f t="shared" si="736"/>
        <v>7745689.9338322887</v>
      </c>
      <c r="AF537" s="493">
        <f t="shared" si="736"/>
        <v>7745689.9338322887</v>
      </c>
      <c r="AG537" s="493">
        <f t="shared" si="736"/>
        <v>7745689.9338322887</v>
      </c>
      <c r="AH537" s="493">
        <f t="shared" si="736"/>
        <v>7745689.9338322887</v>
      </c>
      <c r="AI537" s="522">
        <f t="shared" si="726"/>
        <v>87681662.065306276</v>
      </c>
      <c r="AJ537" s="522">
        <f t="shared" si="727"/>
        <v>165138561.40362915</v>
      </c>
      <c r="AK537" s="525">
        <f t="shared" si="728"/>
        <v>242595460.74195203</v>
      </c>
    </row>
    <row r="538" spans="1:37" x14ac:dyDescent="0.2">
      <c r="A538" s="491" t="s">
        <v>353</v>
      </c>
      <c r="B538" s="465"/>
      <c r="C538" s="452" t="s">
        <v>37</v>
      </c>
      <c r="D538" s="493">
        <f t="shared" si="734"/>
        <v>3585840.8720449908</v>
      </c>
      <c r="E538" s="1400">
        <f t="shared" si="734"/>
        <v>2977861.1359832203</v>
      </c>
      <c r="F538" s="493">
        <f t="shared" si="734"/>
        <v>2977861.1359832203</v>
      </c>
      <c r="G538" s="493">
        <f t="shared" si="734"/>
        <v>2977861.1359832203</v>
      </c>
      <c r="H538" s="493">
        <f t="shared" si="734"/>
        <v>2977861.1359832203</v>
      </c>
      <c r="I538" s="493">
        <f t="shared" si="734"/>
        <v>2977861.1359832203</v>
      </c>
      <c r="J538" s="493">
        <f t="shared" si="734"/>
        <v>2977861.1359832203</v>
      </c>
      <c r="K538" s="493">
        <f t="shared" si="734"/>
        <v>2977861.1359832203</v>
      </c>
      <c r="L538" s="493">
        <f t="shared" si="734"/>
        <v>2977861.1359832203</v>
      </c>
      <c r="M538" s="493">
        <f t="shared" si="734"/>
        <v>2977861.1359832203</v>
      </c>
      <c r="N538" s="493">
        <f t="shared" si="735"/>
        <v>2977861.1359832203</v>
      </c>
      <c r="O538" s="493">
        <f t="shared" si="735"/>
        <v>2977861.1359832203</v>
      </c>
      <c r="P538" s="493">
        <f t="shared" si="735"/>
        <v>2977861.1359832203</v>
      </c>
      <c r="Q538" s="493">
        <f t="shared" si="735"/>
        <v>2977861.1359832203</v>
      </c>
      <c r="R538" s="493">
        <f t="shared" si="735"/>
        <v>2977861.1359832203</v>
      </c>
      <c r="S538" s="493">
        <f t="shared" si="735"/>
        <v>2977861.1359832203</v>
      </c>
      <c r="T538" s="493">
        <f t="shared" si="735"/>
        <v>2977861.1359832203</v>
      </c>
      <c r="U538" s="493">
        <f t="shared" si="735"/>
        <v>2977861.1359832203</v>
      </c>
      <c r="V538" s="493">
        <f t="shared" si="735"/>
        <v>2977861.1359832203</v>
      </c>
      <c r="W538" s="493">
        <f t="shared" si="735"/>
        <v>2977861.1359832203</v>
      </c>
      <c r="X538" s="493">
        <f t="shared" si="736"/>
        <v>2977861.1359832203</v>
      </c>
      <c r="Y538" s="493">
        <f t="shared" si="736"/>
        <v>2977861.1359832203</v>
      </c>
      <c r="Z538" s="493">
        <f t="shared" si="736"/>
        <v>2977861.1359832203</v>
      </c>
      <c r="AA538" s="493">
        <f t="shared" si="736"/>
        <v>2977861.1359832203</v>
      </c>
      <c r="AB538" s="493">
        <f t="shared" si="736"/>
        <v>2977861.1359832203</v>
      </c>
      <c r="AC538" s="493">
        <f t="shared" si="736"/>
        <v>2977861.1359832203</v>
      </c>
      <c r="AD538" s="493">
        <f t="shared" si="736"/>
        <v>2977861.1359832203</v>
      </c>
      <c r="AE538" s="493">
        <f t="shared" si="736"/>
        <v>2977861.1359832203</v>
      </c>
      <c r="AF538" s="493">
        <f t="shared" si="736"/>
        <v>2977861.1359832203</v>
      </c>
      <c r="AG538" s="493">
        <f t="shared" si="736"/>
        <v>2977861.1359832203</v>
      </c>
      <c r="AH538" s="493">
        <f t="shared" si="736"/>
        <v>2977861.1359832203</v>
      </c>
      <c r="AI538" s="522">
        <f t="shared" si="726"/>
        <v>33364452.2318772</v>
      </c>
      <c r="AJ538" s="522">
        <f t="shared" si="727"/>
        <v>63143063.591709413</v>
      </c>
      <c r="AK538" s="525">
        <f t="shared" si="728"/>
        <v>92921674.951541558</v>
      </c>
    </row>
    <row r="539" spans="1:37" ht="11.5" thickBot="1" x14ac:dyDescent="0.25">
      <c r="A539" s="491" t="s">
        <v>268</v>
      </c>
      <c r="B539" s="465"/>
      <c r="C539" s="452" t="s">
        <v>37</v>
      </c>
      <c r="D539" s="493">
        <f>D467+D468</f>
        <v>0</v>
      </c>
      <c r="E539" s="1400">
        <f t="shared" ref="E539:AH539" si="737">E467+E468</f>
        <v>0</v>
      </c>
      <c r="F539" s="493">
        <f t="shared" si="737"/>
        <v>0</v>
      </c>
      <c r="G539" s="493">
        <f t="shared" si="737"/>
        <v>0</v>
      </c>
      <c r="H539" s="493">
        <f t="shared" si="737"/>
        <v>0</v>
      </c>
      <c r="I539" s="493">
        <f t="shared" si="737"/>
        <v>0</v>
      </c>
      <c r="J539" s="493">
        <f t="shared" si="737"/>
        <v>0</v>
      </c>
      <c r="K539" s="493">
        <f t="shared" si="737"/>
        <v>0</v>
      </c>
      <c r="L539" s="493">
        <f t="shared" si="737"/>
        <v>0</v>
      </c>
      <c r="M539" s="493">
        <f t="shared" si="737"/>
        <v>0</v>
      </c>
      <c r="N539" s="493">
        <f t="shared" si="737"/>
        <v>0</v>
      </c>
      <c r="O539" s="493">
        <f t="shared" si="737"/>
        <v>0</v>
      </c>
      <c r="P539" s="493">
        <f t="shared" si="737"/>
        <v>0</v>
      </c>
      <c r="Q539" s="493">
        <f t="shared" si="737"/>
        <v>0</v>
      </c>
      <c r="R539" s="493">
        <f t="shared" si="737"/>
        <v>0</v>
      </c>
      <c r="S539" s="493">
        <f t="shared" si="737"/>
        <v>0</v>
      </c>
      <c r="T539" s="493">
        <f t="shared" si="737"/>
        <v>0</v>
      </c>
      <c r="U539" s="493">
        <f t="shared" si="737"/>
        <v>0</v>
      </c>
      <c r="V539" s="493">
        <f t="shared" si="737"/>
        <v>0</v>
      </c>
      <c r="W539" s="493">
        <f t="shared" si="737"/>
        <v>0</v>
      </c>
      <c r="X539" s="493">
        <f t="shared" si="737"/>
        <v>0</v>
      </c>
      <c r="Y539" s="493">
        <f t="shared" si="737"/>
        <v>0</v>
      </c>
      <c r="Z539" s="493">
        <f t="shared" si="737"/>
        <v>0</v>
      </c>
      <c r="AA539" s="493">
        <f t="shared" si="737"/>
        <v>0</v>
      </c>
      <c r="AB539" s="493">
        <f t="shared" si="737"/>
        <v>0</v>
      </c>
      <c r="AC539" s="493">
        <f t="shared" si="737"/>
        <v>0</v>
      </c>
      <c r="AD539" s="493">
        <f t="shared" si="737"/>
        <v>0</v>
      </c>
      <c r="AE539" s="493">
        <f t="shared" si="737"/>
        <v>0</v>
      </c>
      <c r="AF539" s="493">
        <f t="shared" si="737"/>
        <v>0</v>
      </c>
      <c r="AG539" s="493">
        <f t="shared" si="737"/>
        <v>0</v>
      </c>
      <c r="AH539" s="493">
        <f t="shared" si="737"/>
        <v>0</v>
      </c>
      <c r="AI539" s="523">
        <f>SUM(D539:N539)</f>
        <v>0</v>
      </c>
      <c r="AJ539" s="523">
        <f>SUM(D539:X539)</f>
        <v>0</v>
      </c>
      <c r="AK539" s="527">
        <f>SUM(D539:AH539)</f>
        <v>0</v>
      </c>
    </row>
    <row r="540" spans="1:37" ht="11.5" thickBot="1" x14ac:dyDescent="0.25">
      <c r="A540" s="509" t="s">
        <v>266</v>
      </c>
      <c r="B540" s="510"/>
      <c r="C540" s="511"/>
      <c r="D540" s="588">
        <f>SUM(D526:D530,D533:D539)</f>
        <v>-1999615221.3607974</v>
      </c>
      <c r="E540" s="512">
        <f>SUM(E526:E530,E533:E539)</f>
        <v>541627039.49219024</v>
      </c>
      <c r="F540" s="512">
        <f t="shared" ref="F540:AK540" si="738">SUM(F526:F530,F533:F539)</f>
        <v>539511369.18486333</v>
      </c>
      <c r="G540" s="512">
        <f t="shared" si="738"/>
        <v>537395698.87753642</v>
      </c>
      <c r="H540" s="512">
        <f t="shared" si="738"/>
        <v>535280028.57020962</v>
      </c>
      <c r="I540" s="512">
        <f t="shared" si="738"/>
        <v>533164358.26288283</v>
      </c>
      <c r="J540" s="512">
        <f t="shared" si="738"/>
        <v>531048687.95555592</v>
      </c>
      <c r="K540" s="512">
        <f t="shared" si="738"/>
        <v>528933017.64822912</v>
      </c>
      <c r="L540" s="512">
        <f t="shared" si="738"/>
        <v>526817347.34090221</v>
      </c>
      <c r="M540" s="512">
        <f t="shared" si="738"/>
        <v>524701677.0335753</v>
      </c>
      <c r="N540" s="512">
        <f t="shared" si="738"/>
        <v>522586006.7262485</v>
      </c>
      <c r="O540" s="512">
        <f t="shared" si="738"/>
        <v>520470336.41892171</v>
      </c>
      <c r="P540" s="512">
        <f t="shared" si="738"/>
        <v>518354666.1115948</v>
      </c>
      <c r="Q540" s="512">
        <f t="shared" si="738"/>
        <v>516238995.804268</v>
      </c>
      <c r="R540" s="512">
        <f t="shared" si="738"/>
        <v>514123325.49694109</v>
      </c>
      <c r="S540" s="512">
        <f t="shared" si="738"/>
        <v>512007655.1896143</v>
      </c>
      <c r="T540" s="512">
        <f t="shared" si="738"/>
        <v>496849470.77615213</v>
      </c>
      <c r="U540" s="512">
        <f t="shared" si="738"/>
        <v>496603462.60088146</v>
      </c>
      <c r="V540" s="512">
        <f t="shared" si="738"/>
        <v>496357454.42561102</v>
      </c>
      <c r="W540" s="512">
        <f t="shared" si="738"/>
        <v>496111446.25034034</v>
      </c>
      <c r="X540" s="512">
        <f t="shared" si="738"/>
        <v>495865438.07506967</v>
      </c>
      <c r="Y540" s="512">
        <f t="shared" si="738"/>
        <v>495619429.89979911</v>
      </c>
      <c r="Z540" s="512">
        <f t="shared" si="738"/>
        <v>495373421.72452879</v>
      </c>
      <c r="AA540" s="512">
        <f t="shared" si="738"/>
        <v>495127413.54925811</v>
      </c>
      <c r="AB540" s="512">
        <f t="shared" si="738"/>
        <v>494881405.37398756</v>
      </c>
      <c r="AC540" s="512">
        <f t="shared" si="738"/>
        <v>494635397.198717</v>
      </c>
      <c r="AD540" s="512">
        <f t="shared" si="738"/>
        <v>494389389.02344632</v>
      </c>
      <c r="AE540" s="512">
        <f t="shared" si="738"/>
        <v>494143380.84817588</v>
      </c>
      <c r="AF540" s="512">
        <f t="shared" si="738"/>
        <v>493897372.67290533</v>
      </c>
      <c r="AG540" s="512">
        <f t="shared" si="738"/>
        <v>493651364.49763477</v>
      </c>
      <c r="AH540" s="512">
        <f t="shared" si="738"/>
        <v>493405356.32236409</v>
      </c>
      <c r="AI540" s="523">
        <f t="shared" si="738"/>
        <v>3226921154.1528525</v>
      </c>
      <c r="AJ540" s="523">
        <f t="shared" si="738"/>
        <v>8211943957.1168051</v>
      </c>
      <c r="AK540" s="527">
        <f t="shared" si="738"/>
        <v>13079108440.042183</v>
      </c>
    </row>
    <row r="541" spans="1:37" ht="11.5" thickBot="1" x14ac:dyDescent="0.25">
      <c r="E541" s="514"/>
    </row>
    <row r="542" spans="1:37" ht="12" thickBot="1" x14ac:dyDescent="0.3">
      <c r="A542" s="446"/>
      <c r="B542" s="508" t="s">
        <v>265</v>
      </c>
      <c r="C542" s="447"/>
      <c r="D542" s="584" t="s">
        <v>558</v>
      </c>
      <c r="E542" s="448" t="s">
        <v>559</v>
      </c>
      <c r="F542" s="448" t="s">
        <v>560</v>
      </c>
      <c r="G542" s="448" t="s">
        <v>561</v>
      </c>
      <c r="H542" s="448" t="s">
        <v>562</v>
      </c>
      <c r="I542" s="448" t="s">
        <v>563</v>
      </c>
      <c r="J542" s="448" t="s">
        <v>564</v>
      </c>
      <c r="K542" s="448" t="s">
        <v>565</v>
      </c>
      <c r="L542" s="448" t="s">
        <v>566</v>
      </c>
      <c r="M542" s="448" t="s">
        <v>567</v>
      </c>
      <c r="N542" s="448" t="s">
        <v>568</v>
      </c>
      <c r="O542" s="448" t="s">
        <v>569</v>
      </c>
      <c r="P542" s="448" t="s">
        <v>570</v>
      </c>
      <c r="Q542" s="448" t="s">
        <v>571</v>
      </c>
      <c r="R542" s="448" t="s">
        <v>572</v>
      </c>
      <c r="S542" s="448" t="s">
        <v>573</v>
      </c>
      <c r="T542" s="448" t="s">
        <v>574</v>
      </c>
      <c r="U542" s="448" t="s">
        <v>575</v>
      </c>
      <c r="V542" s="448" t="s">
        <v>576</v>
      </c>
      <c r="W542" s="448" t="s">
        <v>577</v>
      </c>
      <c r="X542" s="449" t="s">
        <v>578</v>
      </c>
      <c r="Y542" s="449" t="s">
        <v>579</v>
      </c>
      <c r="Z542" s="449" t="s">
        <v>580</v>
      </c>
      <c r="AA542" s="449" t="s">
        <v>581</v>
      </c>
      <c r="AB542" s="449" t="s">
        <v>582</v>
      </c>
      <c r="AC542" s="449" t="s">
        <v>583</v>
      </c>
      <c r="AD542" s="449" t="s">
        <v>584</v>
      </c>
      <c r="AE542" s="449" t="s">
        <v>585</v>
      </c>
      <c r="AF542" s="449" t="s">
        <v>586</v>
      </c>
      <c r="AG542" s="449" t="s">
        <v>587</v>
      </c>
      <c r="AH542" s="463" t="s">
        <v>588</v>
      </c>
      <c r="AI542" s="521" t="s">
        <v>298</v>
      </c>
      <c r="AJ542" s="524" t="s">
        <v>261</v>
      </c>
      <c r="AK542" s="526" t="s">
        <v>262</v>
      </c>
    </row>
    <row r="543" spans="1:37" x14ac:dyDescent="0.2">
      <c r="A543" s="491"/>
      <c r="B543" s="465" t="s">
        <v>1217</v>
      </c>
      <c r="C543" s="941" t="s">
        <v>593</v>
      </c>
      <c r="D543" s="493">
        <f>計算シート!C261</f>
        <v>-4820.1912416296973</v>
      </c>
      <c r="E543" s="493">
        <f>計算シート!D261</f>
        <v>376.81985522397559</v>
      </c>
      <c r="F543" s="493">
        <f>計算シート!E261</f>
        <v>379.49252442032133</v>
      </c>
      <c r="G543" s="493">
        <f>計算シート!F261</f>
        <v>382.16519361666707</v>
      </c>
      <c r="H543" s="493">
        <f>計算シート!G261</f>
        <v>384.83786281301275</v>
      </c>
      <c r="I543" s="493">
        <f>計算シート!H261</f>
        <v>387.51053200935854</v>
      </c>
      <c r="J543" s="493">
        <f>計算シート!I261</f>
        <v>390.18320120570422</v>
      </c>
      <c r="K543" s="493">
        <f>計算シート!J261</f>
        <v>392.85587040204996</v>
      </c>
      <c r="L543" s="493">
        <f>計算シート!K261</f>
        <v>395.5285395983957</v>
      </c>
      <c r="M543" s="493">
        <f>計算シート!L261</f>
        <v>398.20120879474143</v>
      </c>
      <c r="N543" s="493">
        <f>計算シート!M261</f>
        <v>400.87387799108717</v>
      </c>
      <c r="O543" s="493">
        <f>計算シート!N261</f>
        <v>403.54654718743291</v>
      </c>
      <c r="P543" s="493">
        <f>計算シート!O261</f>
        <v>406.21921638377864</v>
      </c>
      <c r="Q543" s="493">
        <f>計算シート!P261</f>
        <v>408.89188558012432</v>
      </c>
      <c r="R543" s="493">
        <f>計算シート!Q261</f>
        <v>411.56455477647006</v>
      </c>
      <c r="S543" s="493">
        <f>計算シート!R261</f>
        <v>414.2372239728158</v>
      </c>
      <c r="T543" s="493">
        <f>計算シート!S261</f>
        <v>344.60702454471607</v>
      </c>
      <c r="U543" s="493">
        <f>計算シート!T261</f>
        <v>344.91780003266331</v>
      </c>
      <c r="V543" s="493">
        <f>計算シート!U261</f>
        <v>345.22857552061043</v>
      </c>
      <c r="W543" s="493">
        <f>計算シート!V261</f>
        <v>345.53935100855762</v>
      </c>
      <c r="X543" s="493">
        <f>計算シート!W261</f>
        <v>345.8501264965048</v>
      </c>
      <c r="Y543" s="493">
        <f>計算シート!X261</f>
        <v>346.16090198445193</v>
      </c>
      <c r="Z543" s="493">
        <f>計算シート!Y261</f>
        <v>346.47167747239916</v>
      </c>
      <c r="AA543" s="493">
        <f>計算シート!Z261</f>
        <v>346.78245296034629</v>
      </c>
      <c r="AB543" s="493">
        <f>計算シート!AA261</f>
        <v>347.09322844829347</v>
      </c>
      <c r="AC543" s="493">
        <f>計算シート!AB261</f>
        <v>347.40400393624066</v>
      </c>
      <c r="AD543" s="493">
        <f>計算シート!AC261</f>
        <v>347.7147794241879</v>
      </c>
      <c r="AE543" s="493">
        <f>計算シート!AD261</f>
        <v>348.02555491213502</v>
      </c>
      <c r="AF543" s="493">
        <f>計算シート!AE261</f>
        <v>348.3363304000822</v>
      </c>
      <c r="AG543" s="493">
        <f>計算シート!AF261</f>
        <v>348.64710588802939</v>
      </c>
      <c r="AH543" s="493">
        <f>計算シート!AG261</f>
        <v>348.95788137597657</v>
      </c>
      <c r="AI543" s="522">
        <f t="shared" ref="AI543:AI550" si="739">SUM(D543:N543)</f>
        <v>-931.7225755543833</v>
      </c>
      <c r="AJ543" s="522">
        <f t="shared" ref="AJ543:AJ550" si="740">SUM(D543:X543)</f>
        <v>2838.8797299492908</v>
      </c>
      <c r="AK543" s="525">
        <f t="shared" ref="AK543:AK550" si="741">SUM(D543:AH543)</f>
        <v>6314.473646751434</v>
      </c>
    </row>
    <row r="544" spans="1:37" x14ac:dyDescent="0.2">
      <c r="A544" s="491"/>
      <c r="B544" s="465" t="s">
        <v>1217</v>
      </c>
      <c r="C544" s="941" t="s">
        <v>1013</v>
      </c>
      <c r="D544" s="493">
        <f>D543*入門編_計算シート!$E$164</f>
        <v>-2410.0956208148486</v>
      </c>
      <c r="E544" s="493">
        <f>E543*入門編_計算シート!$E$164</f>
        <v>188.4099276119878</v>
      </c>
      <c r="F544" s="493">
        <f>F543*入門編_計算シート!$E$164</f>
        <v>189.74626221016067</v>
      </c>
      <c r="G544" s="493">
        <f>G543*入門編_計算シート!$E$164</f>
        <v>191.08259680833353</v>
      </c>
      <c r="H544" s="493">
        <f>H543*入門編_計算シート!$E$164</f>
        <v>192.41893140650637</v>
      </c>
      <c r="I544" s="493">
        <f>I543*入門編_計算シート!$E$164</f>
        <v>193.75526600467927</v>
      </c>
      <c r="J544" s="493">
        <f>J543*入門編_計算シート!$E$164</f>
        <v>195.09160060285211</v>
      </c>
      <c r="K544" s="493">
        <f>K543*入門編_計算シート!$E$164</f>
        <v>196.42793520102498</v>
      </c>
      <c r="L544" s="493">
        <f>L543*入門編_計算シート!$E$164</f>
        <v>197.76426979919785</v>
      </c>
      <c r="M544" s="493">
        <f>M543*入門編_計算シート!$E$164</f>
        <v>199.10060439737072</v>
      </c>
      <c r="N544" s="493">
        <f>N543*入門編_計算シート!$E$164</f>
        <v>200.43693899554358</v>
      </c>
      <c r="O544" s="493">
        <f>O543*入門編_計算シート!$E$164</f>
        <v>201.77327359371645</v>
      </c>
      <c r="P544" s="493">
        <f>P543*入門編_計算シート!$E$164</f>
        <v>203.10960819188932</v>
      </c>
      <c r="Q544" s="493">
        <f>Q543*入門編_計算シート!$E$164</f>
        <v>204.44594279006216</v>
      </c>
      <c r="R544" s="493">
        <f>R543*入門編_計算シート!$E$164</f>
        <v>205.78227738823503</v>
      </c>
      <c r="S544" s="493">
        <f>S543*入門編_計算シート!$E$164</f>
        <v>207.1186119864079</v>
      </c>
      <c r="T544" s="493">
        <f>T543*入門編_計算シート!$E$164</f>
        <v>172.30351227235803</v>
      </c>
      <c r="U544" s="493">
        <f>U543*入門編_計算シート!$E$164</f>
        <v>172.45890001633165</v>
      </c>
      <c r="V544" s="493">
        <f>V543*入門編_計算シート!$E$164</f>
        <v>172.61428776030522</v>
      </c>
      <c r="W544" s="493">
        <f>W543*入門編_計算シート!$E$164</f>
        <v>172.76967550427881</v>
      </c>
      <c r="X544" s="493">
        <f>X543*入門編_計算シート!$E$164</f>
        <v>172.9250632482524</v>
      </c>
      <c r="Y544" s="493">
        <f>Y543*入門編_計算シート!$E$164</f>
        <v>173.08045099222596</v>
      </c>
      <c r="Z544" s="493">
        <f>Z543*入門編_計算シート!$E$164</f>
        <v>173.23583873619958</v>
      </c>
      <c r="AA544" s="493">
        <f>AA543*入門編_計算シート!$E$164</f>
        <v>173.39122648017315</v>
      </c>
      <c r="AB544" s="493">
        <f>AB543*入門編_計算シート!$E$164</f>
        <v>173.54661422414674</v>
      </c>
      <c r="AC544" s="493">
        <f>AC543*入門編_計算シート!$E$164</f>
        <v>173.70200196812033</v>
      </c>
      <c r="AD544" s="493">
        <f>AD543*入門編_計算シート!$E$164</f>
        <v>173.85738971209395</v>
      </c>
      <c r="AE544" s="493">
        <f>AE543*入門編_計算シート!$E$164</f>
        <v>174.01277745606751</v>
      </c>
      <c r="AF544" s="493">
        <f>AF543*入門編_計算シート!$E$164</f>
        <v>174.1681652000411</v>
      </c>
      <c r="AG544" s="493">
        <f>AG543*入門編_計算シート!$E$164</f>
        <v>174.32355294401469</v>
      </c>
      <c r="AH544" s="493">
        <f>AH543*入門編_計算シート!$E$164</f>
        <v>174.47894068798828</v>
      </c>
      <c r="AI544" s="522">
        <f>SUM(D544:N544)</f>
        <v>-465.86128777719165</v>
      </c>
      <c r="AJ544" s="522">
        <f>SUM(D544:X544)</f>
        <v>1419.4398649746454</v>
      </c>
      <c r="AK544" s="525">
        <f>SUM(D544:AH544)</f>
        <v>3157.236823375717</v>
      </c>
    </row>
    <row r="545" spans="1:37" x14ac:dyDescent="0.2">
      <c r="A545" s="491"/>
      <c r="B545" s="465"/>
      <c r="C545" s="452" t="s">
        <v>1019</v>
      </c>
      <c r="D545" s="493">
        <f t="shared" ref="D545:AH545" si="742">D531/1000000</f>
        <v>66.533804045784834</v>
      </c>
      <c r="E545" s="1400">
        <f t="shared" si="742"/>
        <v>0</v>
      </c>
      <c r="F545" s="493">
        <f t="shared" si="742"/>
        <v>0</v>
      </c>
      <c r="G545" s="493">
        <f t="shared" si="742"/>
        <v>0</v>
      </c>
      <c r="H545" s="493">
        <f t="shared" si="742"/>
        <v>0</v>
      </c>
      <c r="I545" s="493">
        <f t="shared" si="742"/>
        <v>0</v>
      </c>
      <c r="J545" s="493">
        <f t="shared" si="742"/>
        <v>0</v>
      </c>
      <c r="K545" s="493">
        <f t="shared" si="742"/>
        <v>0</v>
      </c>
      <c r="L545" s="493">
        <f t="shared" si="742"/>
        <v>0</v>
      </c>
      <c r="M545" s="493">
        <f t="shared" si="742"/>
        <v>0</v>
      </c>
      <c r="N545" s="493">
        <f t="shared" si="742"/>
        <v>0</v>
      </c>
      <c r="O545" s="493">
        <f t="shared" si="742"/>
        <v>0</v>
      </c>
      <c r="P545" s="493">
        <f t="shared" si="742"/>
        <v>0</v>
      </c>
      <c r="Q545" s="493">
        <f t="shared" si="742"/>
        <v>0</v>
      </c>
      <c r="R545" s="493">
        <f t="shared" si="742"/>
        <v>0</v>
      </c>
      <c r="S545" s="493">
        <f t="shared" si="742"/>
        <v>0</v>
      </c>
      <c r="T545" s="493">
        <f t="shared" si="742"/>
        <v>0</v>
      </c>
      <c r="U545" s="493">
        <f t="shared" si="742"/>
        <v>0</v>
      </c>
      <c r="V545" s="493">
        <f t="shared" si="742"/>
        <v>0</v>
      </c>
      <c r="W545" s="493">
        <f t="shared" si="742"/>
        <v>0</v>
      </c>
      <c r="X545" s="493">
        <f t="shared" si="742"/>
        <v>0</v>
      </c>
      <c r="Y545" s="493">
        <f t="shared" si="742"/>
        <v>0</v>
      </c>
      <c r="Z545" s="493">
        <f t="shared" si="742"/>
        <v>0</v>
      </c>
      <c r="AA545" s="493">
        <f t="shared" si="742"/>
        <v>0</v>
      </c>
      <c r="AB545" s="493">
        <f t="shared" si="742"/>
        <v>0</v>
      </c>
      <c r="AC545" s="493">
        <f t="shared" si="742"/>
        <v>0</v>
      </c>
      <c r="AD545" s="493">
        <f t="shared" si="742"/>
        <v>0</v>
      </c>
      <c r="AE545" s="493">
        <f t="shared" si="742"/>
        <v>0</v>
      </c>
      <c r="AF545" s="493">
        <f t="shared" si="742"/>
        <v>0</v>
      </c>
      <c r="AG545" s="493">
        <f t="shared" si="742"/>
        <v>0</v>
      </c>
      <c r="AH545" s="493">
        <f t="shared" si="742"/>
        <v>0</v>
      </c>
      <c r="AI545" s="522">
        <f t="shared" si="739"/>
        <v>66.533804045784834</v>
      </c>
      <c r="AJ545" s="522">
        <f t="shared" si="740"/>
        <v>66.533804045784834</v>
      </c>
      <c r="AK545" s="525">
        <f t="shared" si="741"/>
        <v>66.533804045784834</v>
      </c>
    </row>
    <row r="546" spans="1:37" x14ac:dyDescent="0.2">
      <c r="A546" s="491"/>
      <c r="B546" s="465"/>
      <c r="C546" s="452" t="s">
        <v>1020</v>
      </c>
      <c r="D546" s="493">
        <f t="shared" ref="D546:AH546" si="743">D532/1000000</f>
        <v>0</v>
      </c>
      <c r="E546" s="1400">
        <f t="shared" si="743"/>
        <v>9.723504809216001</v>
      </c>
      <c r="F546" s="493">
        <f t="shared" si="743"/>
        <v>9.723504809216001</v>
      </c>
      <c r="G546" s="493">
        <f t="shared" si="743"/>
        <v>9.723504809216001</v>
      </c>
      <c r="H546" s="493">
        <f t="shared" si="743"/>
        <v>9.723504809216001</v>
      </c>
      <c r="I546" s="493">
        <f t="shared" si="743"/>
        <v>9.723504809216001</v>
      </c>
      <c r="J546" s="493">
        <f t="shared" si="743"/>
        <v>9.723504809216001</v>
      </c>
      <c r="K546" s="493">
        <f t="shared" si="743"/>
        <v>9.723504809216001</v>
      </c>
      <c r="L546" s="493">
        <f t="shared" si="743"/>
        <v>9.723504809216001</v>
      </c>
      <c r="M546" s="493">
        <f t="shared" si="743"/>
        <v>9.723504809216001</v>
      </c>
      <c r="N546" s="493">
        <f t="shared" si="743"/>
        <v>9.723504809216001</v>
      </c>
      <c r="O546" s="493">
        <f t="shared" si="743"/>
        <v>9.723504809216001</v>
      </c>
      <c r="P546" s="493">
        <f t="shared" si="743"/>
        <v>9.723504809216001</v>
      </c>
      <c r="Q546" s="493">
        <f t="shared" si="743"/>
        <v>9.723504809216001</v>
      </c>
      <c r="R546" s="493">
        <f t="shared" si="743"/>
        <v>9.723504809216001</v>
      </c>
      <c r="S546" s="493">
        <f t="shared" si="743"/>
        <v>9.723504809216001</v>
      </c>
      <c r="T546" s="493">
        <f t="shared" si="743"/>
        <v>9.723504809216001</v>
      </c>
      <c r="U546" s="493">
        <f t="shared" si="743"/>
        <v>9.723504809216001</v>
      </c>
      <c r="V546" s="493">
        <f t="shared" si="743"/>
        <v>9.723504809216001</v>
      </c>
      <c r="W546" s="493">
        <f t="shared" si="743"/>
        <v>9.723504809216001</v>
      </c>
      <c r="X546" s="493">
        <f t="shared" si="743"/>
        <v>9.723504809216001</v>
      </c>
      <c r="Y546" s="493">
        <f t="shared" si="743"/>
        <v>9.723504809216001</v>
      </c>
      <c r="Z546" s="493">
        <f t="shared" si="743"/>
        <v>9.723504809216001</v>
      </c>
      <c r="AA546" s="493">
        <f t="shared" si="743"/>
        <v>9.723504809216001</v>
      </c>
      <c r="AB546" s="493">
        <f t="shared" si="743"/>
        <v>9.723504809216001</v>
      </c>
      <c r="AC546" s="493">
        <f t="shared" si="743"/>
        <v>9.723504809216001</v>
      </c>
      <c r="AD546" s="493">
        <f t="shared" si="743"/>
        <v>9.723504809216001</v>
      </c>
      <c r="AE546" s="493">
        <f t="shared" si="743"/>
        <v>9.723504809216001</v>
      </c>
      <c r="AF546" s="493">
        <f t="shared" si="743"/>
        <v>9.723504809216001</v>
      </c>
      <c r="AG546" s="493">
        <f t="shared" si="743"/>
        <v>9.723504809216001</v>
      </c>
      <c r="AH546" s="493">
        <f t="shared" si="743"/>
        <v>9.723504809216001</v>
      </c>
      <c r="AI546" s="522">
        <f t="shared" si="739"/>
        <v>97.23504809216</v>
      </c>
      <c r="AJ546" s="522">
        <f t="shared" si="740"/>
        <v>194.47009618431997</v>
      </c>
      <c r="AK546" s="525">
        <f t="shared" si="741"/>
        <v>291.70514427648004</v>
      </c>
    </row>
    <row r="547" spans="1:37" x14ac:dyDescent="0.2">
      <c r="A547" s="491"/>
      <c r="B547" s="465"/>
      <c r="C547" s="452" t="s">
        <v>1016</v>
      </c>
      <c r="D547" s="493">
        <f t="shared" ref="D547:AH547" si="744">(D529+D527)/1000000</f>
        <v>168.54500714272015</v>
      </c>
      <c r="E547" s="1400">
        <f t="shared" si="744"/>
        <v>79.074301299365473</v>
      </c>
      <c r="F547" s="493">
        <f t="shared" si="744"/>
        <v>79.074301299365473</v>
      </c>
      <c r="G547" s="493">
        <f t="shared" si="744"/>
        <v>79.074301299365473</v>
      </c>
      <c r="H547" s="493">
        <f t="shared" si="744"/>
        <v>79.074301299365473</v>
      </c>
      <c r="I547" s="493">
        <f t="shared" si="744"/>
        <v>79.074301299365473</v>
      </c>
      <c r="J547" s="493">
        <f t="shared" si="744"/>
        <v>79.074301299365473</v>
      </c>
      <c r="K547" s="493">
        <f t="shared" si="744"/>
        <v>79.074301299365473</v>
      </c>
      <c r="L547" s="493">
        <f t="shared" si="744"/>
        <v>79.074301299365473</v>
      </c>
      <c r="M547" s="493">
        <f t="shared" si="744"/>
        <v>79.074301299365473</v>
      </c>
      <c r="N547" s="493">
        <f t="shared" si="744"/>
        <v>79.074301299365473</v>
      </c>
      <c r="O547" s="493">
        <f t="shared" si="744"/>
        <v>79.074301299365473</v>
      </c>
      <c r="P547" s="493">
        <f t="shared" si="744"/>
        <v>79.074301299365473</v>
      </c>
      <c r="Q547" s="493">
        <f t="shared" si="744"/>
        <v>79.074301299365473</v>
      </c>
      <c r="R547" s="493">
        <f t="shared" si="744"/>
        <v>79.074301299365473</v>
      </c>
      <c r="S547" s="493">
        <f t="shared" si="744"/>
        <v>79.074301299365473</v>
      </c>
      <c r="T547" s="493">
        <f t="shared" si="744"/>
        <v>79.074301299365473</v>
      </c>
      <c r="U547" s="493">
        <f t="shared" si="744"/>
        <v>79.074301299365473</v>
      </c>
      <c r="V547" s="493">
        <f t="shared" si="744"/>
        <v>79.074301299365473</v>
      </c>
      <c r="W547" s="493">
        <f t="shared" si="744"/>
        <v>79.074301299365473</v>
      </c>
      <c r="X547" s="493">
        <f t="shared" si="744"/>
        <v>79.074301299365473</v>
      </c>
      <c r="Y547" s="493">
        <f t="shared" si="744"/>
        <v>79.074301299365473</v>
      </c>
      <c r="Z547" s="493">
        <f t="shared" si="744"/>
        <v>79.074301299365473</v>
      </c>
      <c r="AA547" s="493">
        <f t="shared" si="744"/>
        <v>79.074301299365473</v>
      </c>
      <c r="AB547" s="493">
        <f t="shared" si="744"/>
        <v>79.074301299365473</v>
      </c>
      <c r="AC547" s="493">
        <f t="shared" si="744"/>
        <v>79.074301299365473</v>
      </c>
      <c r="AD547" s="493">
        <f t="shared" si="744"/>
        <v>79.074301299365473</v>
      </c>
      <c r="AE547" s="493">
        <f t="shared" si="744"/>
        <v>79.074301299365473</v>
      </c>
      <c r="AF547" s="493">
        <f t="shared" si="744"/>
        <v>79.074301299365473</v>
      </c>
      <c r="AG547" s="493">
        <f t="shared" si="744"/>
        <v>79.074301299365473</v>
      </c>
      <c r="AH547" s="493">
        <f t="shared" si="744"/>
        <v>79.074301299365473</v>
      </c>
      <c r="AI547" s="522">
        <f t="shared" si="739"/>
        <v>959.28802013637505</v>
      </c>
      <c r="AJ547" s="522">
        <f t="shared" si="740"/>
        <v>1750.0310331300302</v>
      </c>
      <c r="AK547" s="525">
        <f t="shared" si="741"/>
        <v>2540.774046123684</v>
      </c>
    </row>
    <row r="548" spans="1:37" x14ac:dyDescent="0.2">
      <c r="A548" s="491"/>
      <c r="B548" s="465"/>
      <c r="C548" s="452" t="s">
        <v>604</v>
      </c>
      <c r="D548" s="493">
        <f>(D534+D533)/1000000</f>
        <v>67.687853137946092</v>
      </c>
      <c r="E548" s="1400">
        <f t="shared" ref="E548:AH548" si="745">(E534+E533)/1000000</f>
        <v>124.32238868715257</v>
      </c>
      <c r="F548" s="493">
        <f t="shared" si="745"/>
        <v>120.66376290028721</v>
      </c>
      <c r="G548" s="493">
        <f t="shared" si="745"/>
        <v>117.00513711342187</v>
      </c>
      <c r="H548" s="493">
        <f t="shared" si="745"/>
        <v>113.34651132655655</v>
      </c>
      <c r="I548" s="493">
        <f t="shared" si="745"/>
        <v>109.68788553969119</v>
      </c>
      <c r="J548" s="493">
        <f t="shared" si="745"/>
        <v>106.02925975282587</v>
      </c>
      <c r="K548" s="493">
        <f t="shared" si="745"/>
        <v>102.37063396596054</v>
      </c>
      <c r="L548" s="493">
        <f t="shared" si="745"/>
        <v>98.712008179095193</v>
      </c>
      <c r="M548" s="493">
        <f t="shared" si="745"/>
        <v>95.05338239222985</v>
      </c>
      <c r="N548" s="493">
        <f t="shared" si="745"/>
        <v>91.394756605364535</v>
      </c>
      <c r="O548" s="493">
        <f t="shared" si="745"/>
        <v>87.736130818499177</v>
      </c>
      <c r="P548" s="493">
        <f t="shared" si="745"/>
        <v>84.077505031633848</v>
      </c>
      <c r="Q548" s="493">
        <f t="shared" si="745"/>
        <v>80.418879244768519</v>
      </c>
      <c r="R548" s="493">
        <f t="shared" si="745"/>
        <v>76.760253457903175</v>
      </c>
      <c r="S548" s="493">
        <f t="shared" si="745"/>
        <v>73.101627671037832</v>
      </c>
      <c r="T548" s="493">
        <f t="shared" si="745"/>
        <v>79.509407984124451</v>
      </c>
      <c r="U548" s="493">
        <f t="shared" si="745"/>
        <v>79.083986381000585</v>
      </c>
      <c r="V548" s="493">
        <f t="shared" si="745"/>
        <v>78.658564777876705</v>
      </c>
      <c r="W548" s="493">
        <f t="shared" si="745"/>
        <v>78.233143174752826</v>
      </c>
      <c r="X548" s="493">
        <f t="shared" si="745"/>
        <v>77.80772157162896</v>
      </c>
      <c r="Y548" s="493">
        <f t="shared" si="745"/>
        <v>77.382299968505066</v>
      </c>
      <c r="Z548" s="493">
        <f t="shared" si="745"/>
        <v>76.956878365381215</v>
      </c>
      <c r="AA548" s="493">
        <f t="shared" si="745"/>
        <v>76.531456762257335</v>
      </c>
      <c r="AB548" s="493">
        <f t="shared" si="745"/>
        <v>76.106035159133455</v>
      </c>
      <c r="AC548" s="493">
        <f t="shared" si="745"/>
        <v>75.680613556009575</v>
      </c>
      <c r="AD548" s="493">
        <f t="shared" si="745"/>
        <v>75.255191952885681</v>
      </c>
      <c r="AE548" s="493">
        <f t="shared" si="745"/>
        <v>74.82977034976183</v>
      </c>
      <c r="AF548" s="493">
        <f t="shared" si="745"/>
        <v>74.40434874663795</v>
      </c>
      <c r="AG548" s="493">
        <f t="shared" si="745"/>
        <v>73.978927143514071</v>
      </c>
      <c r="AH548" s="493">
        <f t="shared" si="745"/>
        <v>73.553505540390191</v>
      </c>
      <c r="AI548" s="522">
        <f t="shared" si="739"/>
        <v>1146.2735796005315</v>
      </c>
      <c r="AJ548" s="522">
        <f t="shared" si="740"/>
        <v>1941.6607997137576</v>
      </c>
      <c r="AK548" s="525">
        <f t="shared" si="741"/>
        <v>2696.339827258234</v>
      </c>
    </row>
    <row r="549" spans="1:37" x14ac:dyDescent="0.2">
      <c r="A549" s="491"/>
      <c r="B549" s="465"/>
      <c r="C549" s="452" t="s">
        <v>1017</v>
      </c>
      <c r="D549" s="493">
        <f>D539/1000000</f>
        <v>0</v>
      </c>
      <c r="E549" s="1400">
        <f t="shared" ref="E549:AH549" si="746">E539/1000000</f>
        <v>0</v>
      </c>
      <c r="F549" s="493">
        <f t="shared" si="746"/>
        <v>0</v>
      </c>
      <c r="G549" s="493">
        <f t="shared" si="746"/>
        <v>0</v>
      </c>
      <c r="H549" s="493">
        <f t="shared" si="746"/>
        <v>0</v>
      </c>
      <c r="I549" s="493">
        <f t="shared" si="746"/>
        <v>0</v>
      </c>
      <c r="J549" s="493">
        <f t="shared" si="746"/>
        <v>0</v>
      </c>
      <c r="K549" s="493">
        <f t="shared" si="746"/>
        <v>0</v>
      </c>
      <c r="L549" s="493">
        <f t="shared" si="746"/>
        <v>0</v>
      </c>
      <c r="M549" s="493">
        <f t="shared" si="746"/>
        <v>0</v>
      </c>
      <c r="N549" s="493">
        <f t="shared" si="746"/>
        <v>0</v>
      </c>
      <c r="O549" s="493">
        <f t="shared" si="746"/>
        <v>0</v>
      </c>
      <c r="P549" s="493">
        <f t="shared" si="746"/>
        <v>0</v>
      </c>
      <c r="Q549" s="493">
        <f t="shared" si="746"/>
        <v>0</v>
      </c>
      <c r="R549" s="493">
        <f t="shared" si="746"/>
        <v>0</v>
      </c>
      <c r="S549" s="493">
        <f t="shared" si="746"/>
        <v>0</v>
      </c>
      <c r="T549" s="493">
        <f t="shared" si="746"/>
        <v>0</v>
      </c>
      <c r="U549" s="493">
        <f t="shared" si="746"/>
        <v>0</v>
      </c>
      <c r="V549" s="493">
        <f t="shared" si="746"/>
        <v>0</v>
      </c>
      <c r="W549" s="493">
        <f t="shared" si="746"/>
        <v>0</v>
      </c>
      <c r="X549" s="493">
        <f t="shared" si="746"/>
        <v>0</v>
      </c>
      <c r="Y549" s="493">
        <f t="shared" si="746"/>
        <v>0</v>
      </c>
      <c r="Z549" s="493">
        <f t="shared" si="746"/>
        <v>0</v>
      </c>
      <c r="AA549" s="493">
        <f t="shared" si="746"/>
        <v>0</v>
      </c>
      <c r="AB549" s="493">
        <f t="shared" si="746"/>
        <v>0</v>
      </c>
      <c r="AC549" s="493">
        <f t="shared" si="746"/>
        <v>0</v>
      </c>
      <c r="AD549" s="493">
        <f t="shared" si="746"/>
        <v>0</v>
      </c>
      <c r="AE549" s="493">
        <f t="shared" si="746"/>
        <v>0</v>
      </c>
      <c r="AF549" s="493">
        <f t="shared" si="746"/>
        <v>0</v>
      </c>
      <c r="AG549" s="493">
        <f t="shared" si="746"/>
        <v>0</v>
      </c>
      <c r="AH549" s="493">
        <f t="shared" si="746"/>
        <v>0</v>
      </c>
      <c r="AI549" s="522">
        <f>SUM(D549:N549)</f>
        <v>0</v>
      </c>
      <c r="AJ549" s="522">
        <f>SUM(D549:X549)</f>
        <v>0</v>
      </c>
      <c r="AK549" s="525">
        <f>SUM(D549:AH549)</f>
        <v>0</v>
      </c>
    </row>
    <row r="550" spans="1:37" x14ac:dyDescent="0.2">
      <c r="A550" s="491"/>
      <c r="B550" s="465"/>
      <c r="C550" s="452" t="s">
        <v>1021</v>
      </c>
      <c r="D550" s="493">
        <v>0</v>
      </c>
      <c r="E550" s="1400">
        <f>入門編_計算シート!$C$216/10</f>
        <v>0</v>
      </c>
      <c r="F550" s="493">
        <f>入門編_計算シート!$C$216/10</f>
        <v>0</v>
      </c>
      <c r="G550" s="493">
        <f>入門編_計算シート!$C$216/10</f>
        <v>0</v>
      </c>
      <c r="H550" s="493">
        <f>入門編_計算シート!$C$216/10</f>
        <v>0</v>
      </c>
      <c r="I550" s="493">
        <f>入門編_計算シート!$C$216/10</f>
        <v>0</v>
      </c>
      <c r="J550" s="493">
        <f>入門編_計算シート!$C$216/10</f>
        <v>0</v>
      </c>
      <c r="K550" s="493">
        <f>入門編_計算シート!$C$216/10</f>
        <v>0</v>
      </c>
      <c r="L550" s="493">
        <f>入門編_計算シート!$C$216/10</f>
        <v>0</v>
      </c>
      <c r="M550" s="493">
        <f>入門編_計算シート!$C$216/10</f>
        <v>0</v>
      </c>
      <c r="N550" s="493">
        <f>入門編_計算シート!$C$216/10</f>
        <v>0</v>
      </c>
      <c r="O550" s="493">
        <f>入門編_計算シート!$C$216/10</f>
        <v>0</v>
      </c>
      <c r="P550" s="493">
        <f>入門編_計算シート!$C$216/10</f>
        <v>0</v>
      </c>
      <c r="Q550" s="493">
        <f>入門編_計算シート!$C$216/10</f>
        <v>0</v>
      </c>
      <c r="R550" s="493">
        <f>入門編_計算シート!$C$216/10</f>
        <v>0</v>
      </c>
      <c r="S550" s="493">
        <f>入門編_計算シート!$C$216/10</f>
        <v>0</v>
      </c>
      <c r="T550" s="493">
        <f>入門編_計算シート!$C$216/10</f>
        <v>0</v>
      </c>
      <c r="U550" s="493">
        <f>入門編_計算シート!$C$216/10</f>
        <v>0</v>
      </c>
      <c r="V550" s="493">
        <f>入門編_計算シート!$C$216/10</f>
        <v>0</v>
      </c>
      <c r="W550" s="493">
        <f>入門編_計算シート!$C$216/10</f>
        <v>0</v>
      </c>
      <c r="X550" s="493">
        <f>入門編_計算シート!$C$216/10</f>
        <v>0</v>
      </c>
      <c r="Y550" s="493">
        <f>入門編_計算シート!$C$216/10</f>
        <v>0</v>
      </c>
      <c r="Z550" s="493">
        <f>入門編_計算シート!$C$216/10</f>
        <v>0</v>
      </c>
      <c r="AA550" s="493">
        <f>入門編_計算シート!$C$216/10</f>
        <v>0</v>
      </c>
      <c r="AB550" s="493">
        <f>入門編_計算シート!$C$216/10</f>
        <v>0</v>
      </c>
      <c r="AC550" s="493">
        <f>入門編_計算シート!$C$216/10</f>
        <v>0</v>
      </c>
      <c r="AD550" s="493">
        <f>入門編_計算シート!$C$216/10</f>
        <v>0</v>
      </c>
      <c r="AE550" s="493">
        <f>入門編_計算シート!$C$216/10</f>
        <v>0</v>
      </c>
      <c r="AF550" s="493">
        <f>入門編_計算シート!$C$216/10</f>
        <v>0</v>
      </c>
      <c r="AG550" s="493">
        <f>入門編_計算シート!$C$216/10</f>
        <v>0</v>
      </c>
      <c r="AH550" s="493">
        <f>入門編_計算シート!$C$216/10</f>
        <v>0</v>
      </c>
      <c r="AI550" s="522">
        <f t="shared" si="739"/>
        <v>0</v>
      </c>
      <c r="AJ550" s="522">
        <f t="shared" si="740"/>
        <v>0</v>
      </c>
      <c r="AK550" s="525">
        <f t="shared" si="741"/>
        <v>0</v>
      </c>
    </row>
    <row r="551" spans="1:37" ht="11.5" thickBot="1" x14ac:dyDescent="0.25">
      <c r="A551" s="491"/>
      <c r="B551" s="465"/>
      <c r="C551" s="452" t="s">
        <v>1018</v>
      </c>
      <c r="D551" s="493">
        <v>0</v>
      </c>
      <c r="E551" s="1400">
        <f>入門編_計算シート!$C$220/10</f>
        <v>0</v>
      </c>
      <c r="F551" s="493">
        <f>入門編_計算シート!$C$220/10</f>
        <v>0</v>
      </c>
      <c r="G551" s="493">
        <f>入門編_計算シート!$C$220/10</f>
        <v>0</v>
      </c>
      <c r="H551" s="493">
        <f>入門編_計算シート!$C$220/10</f>
        <v>0</v>
      </c>
      <c r="I551" s="493">
        <f>入門編_計算シート!$C$220/10</f>
        <v>0</v>
      </c>
      <c r="J551" s="493">
        <f>入門編_計算シート!$C$220/10</f>
        <v>0</v>
      </c>
      <c r="K551" s="493">
        <f>入門編_計算シート!$C$220/10</f>
        <v>0</v>
      </c>
      <c r="L551" s="493">
        <f>入門編_計算シート!$C$220/10</f>
        <v>0</v>
      </c>
      <c r="M551" s="493">
        <f>入門編_計算シート!$C$220/10</f>
        <v>0</v>
      </c>
      <c r="N551" s="493">
        <f>入門編_計算シート!$C$220/10</f>
        <v>0</v>
      </c>
      <c r="O551" s="493">
        <f>入門編_計算シート!$C$220/10</f>
        <v>0</v>
      </c>
      <c r="P551" s="493">
        <f>入門編_計算シート!$C$220/10</f>
        <v>0</v>
      </c>
      <c r="Q551" s="493">
        <f>入門編_計算シート!$C$220/10</f>
        <v>0</v>
      </c>
      <c r="R551" s="493">
        <f>入門編_計算シート!$C$220/10</f>
        <v>0</v>
      </c>
      <c r="S551" s="493">
        <f>入門編_計算シート!$C$220/10</f>
        <v>0</v>
      </c>
      <c r="T551" s="493">
        <f>入門編_計算シート!$C$220/10</f>
        <v>0</v>
      </c>
      <c r="U551" s="493">
        <f>入門編_計算シート!$C$220/10</f>
        <v>0</v>
      </c>
      <c r="V551" s="493">
        <f>入門編_計算シート!$C$220/10</f>
        <v>0</v>
      </c>
      <c r="W551" s="493">
        <f>入門編_計算シート!$C$220/10</f>
        <v>0</v>
      </c>
      <c r="X551" s="493">
        <f>入門編_計算シート!$C$220/10</f>
        <v>0</v>
      </c>
      <c r="Y551" s="493">
        <f>入門編_計算シート!$C$220/10</f>
        <v>0</v>
      </c>
      <c r="Z551" s="493">
        <f>入門編_計算シート!$C$220/10</f>
        <v>0</v>
      </c>
      <c r="AA551" s="493">
        <f>入門編_計算シート!$C$220/10</f>
        <v>0</v>
      </c>
      <c r="AB551" s="493">
        <f>入門編_計算シート!$C$220/10</f>
        <v>0</v>
      </c>
      <c r="AC551" s="493">
        <f>入門編_計算シート!$C$220/10</f>
        <v>0</v>
      </c>
      <c r="AD551" s="493">
        <f>入門編_計算シート!$C$220/10</f>
        <v>0</v>
      </c>
      <c r="AE551" s="493">
        <f>入門編_計算シート!$C$220/10</f>
        <v>0</v>
      </c>
      <c r="AF551" s="493">
        <f>入門編_計算シート!$C$220/10</f>
        <v>0</v>
      </c>
      <c r="AG551" s="493">
        <f>入門編_計算シート!$C$220/10</f>
        <v>0</v>
      </c>
      <c r="AH551" s="493">
        <f>入門編_計算シート!$C$220/10</f>
        <v>0</v>
      </c>
      <c r="AI551" s="523">
        <f>SUM(D551:N551)</f>
        <v>0</v>
      </c>
      <c r="AJ551" s="523">
        <f>SUM(D551:X551)</f>
        <v>0</v>
      </c>
      <c r="AK551" s="527">
        <f>SUM(D551:AH551)</f>
        <v>0</v>
      </c>
    </row>
    <row r="552" spans="1:37" ht="11.5" thickBot="1" x14ac:dyDescent="0.25">
      <c r="A552" s="509" t="s">
        <v>69</v>
      </c>
      <c r="B552" s="510"/>
      <c r="C552" s="942" t="s">
        <v>594</v>
      </c>
      <c r="D552" s="588">
        <f>SUM(D543,D545:D551)</f>
        <v>-4517.4245773032462</v>
      </c>
      <c r="E552" s="1402">
        <f>SUM(E543,E545:E551)</f>
        <v>589.94005001970959</v>
      </c>
      <c r="F552" s="512">
        <f t="shared" ref="F552:AH552" si="747">SUM(F543,F545:F551)</f>
        <v>588.95409342919004</v>
      </c>
      <c r="G552" s="512">
        <f t="shared" si="747"/>
        <v>587.96813683867038</v>
      </c>
      <c r="H552" s="512">
        <f t="shared" si="747"/>
        <v>586.98218024815083</v>
      </c>
      <c r="I552" s="512">
        <f t="shared" si="747"/>
        <v>585.99622365763116</v>
      </c>
      <c r="J552" s="512">
        <f t="shared" si="747"/>
        <v>585.01026706711161</v>
      </c>
      <c r="K552" s="512">
        <f t="shared" si="747"/>
        <v>584.02431047659195</v>
      </c>
      <c r="L552" s="512">
        <f t="shared" si="747"/>
        <v>583.0383538860724</v>
      </c>
      <c r="M552" s="512">
        <f t="shared" si="747"/>
        <v>582.05239729555274</v>
      </c>
      <c r="N552" s="512">
        <f t="shared" si="747"/>
        <v>581.06644070503319</v>
      </c>
      <c r="O552" s="512">
        <f t="shared" si="747"/>
        <v>580.08048411451352</v>
      </c>
      <c r="P552" s="512">
        <f t="shared" si="747"/>
        <v>579.09452752399397</v>
      </c>
      <c r="Q552" s="512">
        <f t="shared" si="747"/>
        <v>578.10857093347431</v>
      </c>
      <c r="R552" s="512">
        <f t="shared" si="747"/>
        <v>577.12261434295476</v>
      </c>
      <c r="S552" s="512">
        <f t="shared" si="747"/>
        <v>576.1366577524351</v>
      </c>
      <c r="T552" s="512">
        <f t="shared" si="747"/>
        <v>512.91423863742205</v>
      </c>
      <c r="U552" s="512">
        <f t="shared" si="747"/>
        <v>512.79959252224535</v>
      </c>
      <c r="V552" s="512">
        <f t="shared" si="747"/>
        <v>512.68494640706865</v>
      </c>
      <c r="W552" s="512">
        <f t="shared" si="747"/>
        <v>512.57030029189195</v>
      </c>
      <c r="X552" s="512">
        <f t="shared" si="747"/>
        <v>512.45565417671526</v>
      </c>
      <c r="Y552" s="512">
        <f t="shared" si="747"/>
        <v>512.34100806153845</v>
      </c>
      <c r="Z552" s="512">
        <f t="shared" si="747"/>
        <v>512.22636194636186</v>
      </c>
      <c r="AA552" s="512">
        <f t="shared" si="747"/>
        <v>512.11171583118517</v>
      </c>
      <c r="AB552" s="512">
        <f t="shared" si="747"/>
        <v>511.99706971600841</v>
      </c>
      <c r="AC552" s="512">
        <f t="shared" si="747"/>
        <v>511.88242360083171</v>
      </c>
      <c r="AD552" s="512">
        <f t="shared" si="747"/>
        <v>511.76777748565507</v>
      </c>
      <c r="AE552" s="512">
        <f t="shared" si="747"/>
        <v>511.65313137047832</v>
      </c>
      <c r="AF552" s="512">
        <f t="shared" si="747"/>
        <v>511.53848525530162</v>
      </c>
      <c r="AG552" s="512">
        <f t="shared" si="747"/>
        <v>511.42383914012493</v>
      </c>
      <c r="AH552" s="512">
        <f t="shared" si="747"/>
        <v>511.30919302494823</v>
      </c>
      <c r="AI552" s="523">
        <f>SUM(AI543:AI547,AI551:AI551)</f>
        <v>-274.52699105725515</v>
      </c>
      <c r="AJ552" s="523">
        <f>SUM(AJ543:AJ547,AJ551:AJ551)</f>
        <v>6269.3545282840714</v>
      </c>
      <c r="AK552" s="527">
        <f>SUM(AK543:AK547,AK551:AK551)</f>
        <v>12370.723464573101</v>
      </c>
    </row>
    <row r="553" spans="1:37" x14ac:dyDescent="0.2">
      <c r="C553" s="405" t="s">
        <v>986</v>
      </c>
      <c r="D553" s="501">
        <f>D552</f>
        <v>-4517.4245773032462</v>
      </c>
      <c r="E553" s="514">
        <f>D553+E552</f>
        <v>-3927.4845272835364</v>
      </c>
      <c r="F553" s="514">
        <f t="shared" ref="F553:AH553" si="748">E553+F552</f>
        <v>-3338.5304338543465</v>
      </c>
      <c r="G553" s="514">
        <f t="shared" si="748"/>
        <v>-2750.562297015676</v>
      </c>
      <c r="H553" s="514">
        <f t="shared" si="748"/>
        <v>-2163.5801167675254</v>
      </c>
      <c r="I553" s="514">
        <f t="shared" si="748"/>
        <v>-1577.5838931098942</v>
      </c>
      <c r="J553" s="514">
        <f t="shared" si="748"/>
        <v>-992.57362604278262</v>
      </c>
      <c r="K553" s="514">
        <f t="shared" si="748"/>
        <v>-408.54931556619067</v>
      </c>
      <c r="L553" s="514">
        <f t="shared" si="748"/>
        <v>174.48903831988173</v>
      </c>
      <c r="M553" s="514">
        <f t="shared" si="748"/>
        <v>756.54143561543447</v>
      </c>
      <c r="N553" s="514">
        <f t="shared" si="748"/>
        <v>1337.6078763204678</v>
      </c>
      <c r="O553" s="514">
        <f t="shared" si="748"/>
        <v>1917.6883604349814</v>
      </c>
      <c r="P553" s="514">
        <f t="shared" si="748"/>
        <v>2496.7828879589752</v>
      </c>
      <c r="Q553" s="514">
        <f t="shared" si="748"/>
        <v>3074.8914588924495</v>
      </c>
      <c r="R553" s="514">
        <f t="shared" si="748"/>
        <v>3652.0140732354043</v>
      </c>
      <c r="S553" s="514">
        <f t="shared" si="748"/>
        <v>4228.1507309878398</v>
      </c>
      <c r="T553" s="514">
        <f t="shared" si="748"/>
        <v>4741.0649696252622</v>
      </c>
      <c r="U553" s="514">
        <f t="shared" si="748"/>
        <v>5253.864562147508</v>
      </c>
      <c r="V553" s="514">
        <f t="shared" si="748"/>
        <v>5766.5495085545763</v>
      </c>
      <c r="W553" s="514">
        <f t="shared" si="748"/>
        <v>6279.119808846468</v>
      </c>
      <c r="X553" s="514">
        <f t="shared" si="748"/>
        <v>6791.5754630231831</v>
      </c>
      <c r="Y553" s="514">
        <f t="shared" si="748"/>
        <v>7303.9164710847217</v>
      </c>
      <c r="Z553" s="514">
        <f t="shared" si="748"/>
        <v>7816.1428330310837</v>
      </c>
      <c r="AA553" s="514">
        <f t="shared" si="748"/>
        <v>8328.2545488622691</v>
      </c>
      <c r="AB553" s="514">
        <f t="shared" si="748"/>
        <v>8840.251618578277</v>
      </c>
      <c r="AC553" s="514">
        <f t="shared" si="748"/>
        <v>9352.1340421791083</v>
      </c>
      <c r="AD553" s="514">
        <f t="shared" si="748"/>
        <v>9863.901819664763</v>
      </c>
      <c r="AE553" s="514">
        <f t="shared" si="748"/>
        <v>10375.554951035241</v>
      </c>
      <c r="AF553" s="514">
        <f t="shared" si="748"/>
        <v>10887.093436290543</v>
      </c>
      <c r="AG553" s="514">
        <f t="shared" si="748"/>
        <v>11398.517275430668</v>
      </c>
      <c r="AH553" s="514">
        <f t="shared" si="748"/>
        <v>11909.826468455616</v>
      </c>
    </row>
    <row r="554" spans="1:37" x14ac:dyDescent="0.2">
      <c r="C554" s="940">
        <f>IRR(D552:X552)</f>
        <v>0.11291100507000862</v>
      </c>
    </row>
    <row r="555" spans="1:37" x14ac:dyDescent="0.2">
      <c r="C555" s="514">
        <f>MIN(D555:AH555)</f>
        <v>8</v>
      </c>
      <c r="D555" s="501">
        <f t="shared" ref="D555:AH555" si="749">IF(D553&gt;0,D525,9999)</f>
        <v>9999</v>
      </c>
      <c r="E555" s="501">
        <f t="shared" si="749"/>
        <v>9999</v>
      </c>
      <c r="F555" s="501">
        <f t="shared" si="749"/>
        <v>9999</v>
      </c>
      <c r="G555" s="501">
        <f t="shared" si="749"/>
        <v>9999</v>
      </c>
      <c r="H555" s="501">
        <f t="shared" si="749"/>
        <v>9999</v>
      </c>
      <c r="I555" s="501">
        <f t="shared" si="749"/>
        <v>9999</v>
      </c>
      <c r="J555" s="501">
        <f t="shared" si="749"/>
        <v>9999</v>
      </c>
      <c r="K555" s="501">
        <f t="shared" si="749"/>
        <v>9999</v>
      </c>
      <c r="L555" s="501">
        <f t="shared" si="749"/>
        <v>8</v>
      </c>
      <c r="M555" s="501">
        <f t="shared" si="749"/>
        <v>9</v>
      </c>
      <c r="N555" s="501">
        <f t="shared" si="749"/>
        <v>10</v>
      </c>
      <c r="O555" s="501">
        <f t="shared" si="749"/>
        <v>11</v>
      </c>
      <c r="P555" s="501">
        <f t="shared" si="749"/>
        <v>12</v>
      </c>
      <c r="Q555" s="501">
        <f t="shared" si="749"/>
        <v>13</v>
      </c>
      <c r="R555" s="501">
        <f t="shared" si="749"/>
        <v>14</v>
      </c>
      <c r="S555" s="501">
        <f t="shared" si="749"/>
        <v>15</v>
      </c>
      <c r="T555" s="501">
        <f t="shared" si="749"/>
        <v>16</v>
      </c>
      <c r="U555" s="501">
        <f t="shared" si="749"/>
        <v>17</v>
      </c>
      <c r="V555" s="501">
        <f t="shared" si="749"/>
        <v>18</v>
      </c>
      <c r="W555" s="501">
        <f t="shared" si="749"/>
        <v>19</v>
      </c>
      <c r="X555" s="501">
        <f t="shared" si="749"/>
        <v>20</v>
      </c>
      <c r="Y555" s="501">
        <f t="shared" si="749"/>
        <v>21</v>
      </c>
      <c r="Z555" s="501">
        <f t="shared" si="749"/>
        <v>22</v>
      </c>
      <c r="AA555" s="501">
        <f t="shared" si="749"/>
        <v>23</v>
      </c>
      <c r="AB555" s="501">
        <f t="shared" si="749"/>
        <v>24</v>
      </c>
      <c r="AC555" s="501">
        <f t="shared" si="749"/>
        <v>25</v>
      </c>
      <c r="AD555" s="501">
        <f t="shared" si="749"/>
        <v>26</v>
      </c>
      <c r="AE555" s="501">
        <f t="shared" si="749"/>
        <v>27</v>
      </c>
      <c r="AF555" s="501">
        <f t="shared" si="749"/>
        <v>28</v>
      </c>
      <c r="AG555" s="501">
        <f t="shared" si="749"/>
        <v>29</v>
      </c>
      <c r="AH555" s="501">
        <f t="shared" si="749"/>
        <v>30</v>
      </c>
    </row>
    <row r="556" spans="1:37" ht="11.5" thickBot="1" x14ac:dyDescent="0.25"/>
    <row r="557" spans="1:37" ht="12" thickBot="1" x14ac:dyDescent="0.3">
      <c r="A557" s="446"/>
      <c r="B557" s="508" t="s">
        <v>265</v>
      </c>
      <c r="C557" s="447"/>
      <c r="D557" s="584" t="s">
        <v>558</v>
      </c>
      <c r="E557" s="448" t="s">
        <v>559</v>
      </c>
      <c r="F557" s="448" t="s">
        <v>560</v>
      </c>
      <c r="G557" s="448" t="s">
        <v>561</v>
      </c>
      <c r="H557" s="448" t="s">
        <v>562</v>
      </c>
      <c r="I557" s="448" t="s">
        <v>563</v>
      </c>
      <c r="J557" s="448" t="s">
        <v>564</v>
      </c>
      <c r="K557" s="448" t="s">
        <v>565</v>
      </c>
      <c r="L557" s="448" t="s">
        <v>566</v>
      </c>
      <c r="M557" s="448" t="s">
        <v>567</v>
      </c>
      <c r="N557" s="448" t="s">
        <v>568</v>
      </c>
      <c r="O557" s="448" t="s">
        <v>569</v>
      </c>
      <c r="P557" s="448" t="s">
        <v>570</v>
      </c>
      <c r="Q557" s="448" t="s">
        <v>571</v>
      </c>
      <c r="R557" s="448" t="s">
        <v>572</v>
      </c>
      <c r="S557" s="448" t="s">
        <v>573</v>
      </c>
      <c r="T557" s="448" t="s">
        <v>574</v>
      </c>
      <c r="U557" s="448" t="s">
        <v>575</v>
      </c>
      <c r="V557" s="448" t="s">
        <v>576</v>
      </c>
      <c r="W557" s="448" t="s">
        <v>577</v>
      </c>
      <c r="X557" s="449" t="s">
        <v>578</v>
      </c>
      <c r="Y557" s="449" t="s">
        <v>579</v>
      </c>
      <c r="Z557" s="449" t="s">
        <v>580</v>
      </c>
      <c r="AA557" s="449" t="s">
        <v>581</v>
      </c>
      <c r="AB557" s="449" t="s">
        <v>582</v>
      </c>
      <c r="AC557" s="449" t="s">
        <v>583</v>
      </c>
      <c r="AD557" s="449" t="s">
        <v>584</v>
      </c>
      <c r="AE557" s="449" t="s">
        <v>585</v>
      </c>
      <c r="AF557" s="449" t="s">
        <v>586</v>
      </c>
      <c r="AG557" s="449" t="s">
        <v>587</v>
      </c>
      <c r="AH557" s="463" t="s">
        <v>588</v>
      </c>
      <c r="AI557" s="521" t="s">
        <v>298</v>
      </c>
      <c r="AJ557" s="524" t="s">
        <v>261</v>
      </c>
      <c r="AK557" s="526" t="s">
        <v>262</v>
      </c>
    </row>
    <row r="558" spans="1:37" x14ac:dyDescent="0.2">
      <c r="A558" s="491"/>
      <c r="B558" s="465"/>
      <c r="C558" s="941" t="s">
        <v>1013</v>
      </c>
      <c r="D558" s="493">
        <f t="shared" ref="D558:D565" si="750">D544</f>
        <v>-2410.0956208148486</v>
      </c>
      <c r="E558" s="493">
        <f t="shared" ref="E558:AH558" si="751">D558+E544</f>
        <v>-2221.6856932028609</v>
      </c>
      <c r="F558" s="493">
        <f t="shared" si="751"/>
        <v>-2031.9394309927002</v>
      </c>
      <c r="G558" s="493">
        <f t="shared" si="751"/>
        <v>-1840.8568341843666</v>
      </c>
      <c r="H558" s="493">
        <f t="shared" si="751"/>
        <v>-1648.4379027778602</v>
      </c>
      <c r="I558" s="493">
        <f t="shared" si="751"/>
        <v>-1454.682636773181</v>
      </c>
      <c r="J558" s="493">
        <f t="shared" si="751"/>
        <v>-1259.5910361703288</v>
      </c>
      <c r="K558" s="493">
        <f t="shared" si="751"/>
        <v>-1063.1631009693037</v>
      </c>
      <c r="L558" s="493">
        <f t="shared" si="751"/>
        <v>-865.39883117010595</v>
      </c>
      <c r="M558" s="493">
        <f t="shared" si="751"/>
        <v>-666.29822677273523</v>
      </c>
      <c r="N558" s="493">
        <f t="shared" si="751"/>
        <v>-465.86128777719165</v>
      </c>
      <c r="O558" s="493">
        <f t="shared" si="751"/>
        <v>-264.0880141834752</v>
      </c>
      <c r="P558" s="493">
        <f t="shared" si="751"/>
        <v>-60.978405991585873</v>
      </c>
      <c r="Q558" s="493">
        <f t="shared" si="751"/>
        <v>143.46753679847629</v>
      </c>
      <c r="R558" s="493">
        <f t="shared" si="751"/>
        <v>349.24981418671132</v>
      </c>
      <c r="S558" s="493">
        <f t="shared" si="751"/>
        <v>556.36842617311925</v>
      </c>
      <c r="T558" s="493">
        <f t="shared" si="751"/>
        <v>728.67193844547728</v>
      </c>
      <c r="U558" s="493">
        <f t="shared" si="751"/>
        <v>901.13083846180893</v>
      </c>
      <c r="V558" s="493">
        <f t="shared" si="751"/>
        <v>1073.7451262221141</v>
      </c>
      <c r="W558" s="493">
        <f t="shared" si="751"/>
        <v>1246.514801726393</v>
      </c>
      <c r="X558" s="493">
        <f t="shared" si="751"/>
        <v>1419.4398649746454</v>
      </c>
      <c r="Y558" s="493">
        <f t="shared" si="751"/>
        <v>1592.5203159668713</v>
      </c>
      <c r="Z558" s="493">
        <f t="shared" si="751"/>
        <v>1765.7561547030709</v>
      </c>
      <c r="AA558" s="493">
        <f t="shared" si="751"/>
        <v>1939.1473811832441</v>
      </c>
      <c r="AB558" s="493">
        <f t="shared" si="751"/>
        <v>2112.693995407391</v>
      </c>
      <c r="AC558" s="493">
        <f t="shared" si="751"/>
        <v>2286.3959973755113</v>
      </c>
      <c r="AD558" s="493">
        <f t="shared" si="751"/>
        <v>2460.2533870876055</v>
      </c>
      <c r="AE558" s="493">
        <f t="shared" si="751"/>
        <v>2634.2661645436729</v>
      </c>
      <c r="AF558" s="493">
        <f t="shared" si="751"/>
        <v>2808.434329743714</v>
      </c>
      <c r="AG558" s="493">
        <f t="shared" si="751"/>
        <v>2982.7578826877289</v>
      </c>
      <c r="AH558" s="493">
        <f t="shared" si="751"/>
        <v>3157.236823375717</v>
      </c>
      <c r="AI558" s="522">
        <f t="shared" ref="AI558:AI564" si="752">SUM(D558:N558)</f>
        <v>-15928.010601605481</v>
      </c>
      <c r="AJ558" s="522">
        <f t="shared" ref="AJ558:AJ565" si="753">SUM(D558:X558)</f>
        <v>-9834.4886747917953</v>
      </c>
      <c r="AK558" s="525">
        <f t="shared" ref="AK558:AK565" si="754">SUM(D558:AH558)</f>
        <v>13904.973757282731</v>
      </c>
    </row>
    <row r="559" spans="1:37" x14ac:dyDescent="0.2">
      <c r="A559" s="491"/>
      <c r="B559" s="465"/>
      <c r="C559" s="452" t="s">
        <v>1019</v>
      </c>
      <c r="D559" s="493">
        <f t="shared" si="750"/>
        <v>66.533804045784834</v>
      </c>
      <c r="E559" s="493">
        <f t="shared" ref="E559:AH559" si="755">D559+E545</f>
        <v>66.533804045784834</v>
      </c>
      <c r="F559" s="493">
        <f t="shared" si="755"/>
        <v>66.533804045784834</v>
      </c>
      <c r="G559" s="493">
        <f t="shared" si="755"/>
        <v>66.533804045784834</v>
      </c>
      <c r="H559" s="493">
        <f t="shared" si="755"/>
        <v>66.533804045784834</v>
      </c>
      <c r="I559" s="493">
        <f t="shared" si="755"/>
        <v>66.533804045784834</v>
      </c>
      <c r="J559" s="493">
        <f t="shared" si="755"/>
        <v>66.533804045784834</v>
      </c>
      <c r="K559" s="493">
        <f t="shared" si="755"/>
        <v>66.533804045784834</v>
      </c>
      <c r="L559" s="493">
        <f t="shared" si="755"/>
        <v>66.533804045784834</v>
      </c>
      <c r="M559" s="493">
        <f t="shared" si="755"/>
        <v>66.533804045784834</v>
      </c>
      <c r="N559" s="493">
        <f t="shared" si="755"/>
        <v>66.533804045784834</v>
      </c>
      <c r="O559" s="493">
        <f t="shared" si="755"/>
        <v>66.533804045784834</v>
      </c>
      <c r="P559" s="493">
        <f t="shared" si="755"/>
        <v>66.533804045784834</v>
      </c>
      <c r="Q559" s="493">
        <f t="shared" si="755"/>
        <v>66.533804045784834</v>
      </c>
      <c r="R559" s="493">
        <f t="shared" si="755"/>
        <v>66.533804045784834</v>
      </c>
      <c r="S559" s="493">
        <f t="shared" si="755"/>
        <v>66.533804045784834</v>
      </c>
      <c r="T559" s="493">
        <f t="shared" si="755"/>
        <v>66.533804045784834</v>
      </c>
      <c r="U559" s="493">
        <f t="shared" si="755"/>
        <v>66.533804045784834</v>
      </c>
      <c r="V559" s="493">
        <f t="shared" si="755"/>
        <v>66.533804045784834</v>
      </c>
      <c r="W559" s="493">
        <f t="shared" si="755"/>
        <v>66.533804045784834</v>
      </c>
      <c r="X559" s="493">
        <f t="shared" si="755"/>
        <v>66.533804045784834</v>
      </c>
      <c r="Y559" s="493">
        <f t="shared" si="755"/>
        <v>66.533804045784834</v>
      </c>
      <c r="Z559" s="493">
        <f t="shared" si="755"/>
        <v>66.533804045784834</v>
      </c>
      <c r="AA559" s="493">
        <f t="shared" si="755"/>
        <v>66.533804045784834</v>
      </c>
      <c r="AB559" s="493">
        <f t="shared" si="755"/>
        <v>66.533804045784834</v>
      </c>
      <c r="AC559" s="493">
        <f t="shared" si="755"/>
        <v>66.533804045784834</v>
      </c>
      <c r="AD559" s="493">
        <f t="shared" si="755"/>
        <v>66.533804045784834</v>
      </c>
      <c r="AE559" s="493">
        <f t="shared" si="755"/>
        <v>66.533804045784834</v>
      </c>
      <c r="AF559" s="493">
        <f t="shared" si="755"/>
        <v>66.533804045784834</v>
      </c>
      <c r="AG559" s="493">
        <f t="shared" si="755"/>
        <v>66.533804045784834</v>
      </c>
      <c r="AH559" s="493">
        <f t="shared" si="755"/>
        <v>66.533804045784834</v>
      </c>
      <c r="AI559" s="522">
        <f t="shared" si="752"/>
        <v>731.87184450363304</v>
      </c>
      <c r="AJ559" s="522">
        <f t="shared" si="753"/>
        <v>1397.2098849614811</v>
      </c>
      <c r="AK559" s="525">
        <f t="shared" si="754"/>
        <v>2062.5479254193292</v>
      </c>
    </row>
    <row r="560" spans="1:37" x14ac:dyDescent="0.2">
      <c r="A560" s="491"/>
      <c r="B560" s="465"/>
      <c r="C560" s="452" t="s">
        <v>1020</v>
      </c>
      <c r="D560" s="493">
        <f t="shared" si="750"/>
        <v>0</v>
      </c>
      <c r="E560" s="493">
        <f t="shared" ref="E560:AH560" si="756">D560+E546</f>
        <v>9.723504809216001</v>
      </c>
      <c r="F560" s="493">
        <f t="shared" si="756"/>
        <v>19.447009618432002</v>
      </c>
      <c r="G560" s="493">
        <f t="shared" si="756"/>
        <v>29.170514427648001</v>
      </c>
      <c r="H560" s="493">
        <f t="shared" si="756"/>
        <v>38.894019236864004</v>
      </c>
      <c r="I560" s="493">
        <f t="shared" si="756"/>
        <v>48.617524046080007</v>
      </c>
      <c r="J560" s="493">
        <f t="shared" si="756"/>
        <v>58.34102885529601</v>
      </c>
      <c r="K560" s="493">
        <f t="shared" si="756"/>
        <v>68.064533664512012</v>
      </c>
      <c r="L560" s="493">
        <f t="shared" si="756"/>
        <v>77.788038473728008</v>
      </c>
      <c r="M560" s="493">
        <f t="shared" si="756"/>
        <v>87.511543282944004</v>
      </c>
      <c r="N560" s="493">
        <f t="shared" si="756"/>
        <v>97.23504809216</v>
      </c>
      <c r="O560" s="493">
        <f t="shared" si="756"/>
        <v>106.958552901376</v>
      </c>
      <c r="P560" s="493">
        <f t="shared" si="756"/>
        <v>116.68205771059199</v>
      </c>
      <c r="Q560" s="493">
        <f t="shared" si="756"/>
        <v>126.40556251980799</v>
      </c>
      <c r="R560" s="493">
        <f t="shared" si="756"/>
        <v>136.129067329024</v>
      </c>
      <c r="S560" s="493">
        <f t="shared" si="756"/>
        <v>145.85257213823999</v>
      </c>
      <c r="T560" s="493">
        <f t="shared" si="756"/>
        <v>155.57607694745599</v>
      </c>
      <c r="U560" s="493">
        <f t="shared" si="756"/>
        <v>165.29958175667198</v>
      </c>
      <c r="V560" s="493">
        <f t="shared" si="756"/>
        <v>175.02308656588798</v>
      </c>
      <c r="W560" s="493">
        <f t="shared" si="756"/>
        <v>184.74659137510397</v>
      </c>
      <c r="X560" s="493">
        <f t="shared" si="756"/>
        <v>194.47009618431997</v>
      </c>
      <c r="Y560" s="493">
        <f t="shared" si="756"/>
        <v>204.19360099353597</v>
      </c>
      <c r="Z560" s="493">
        <f t="shared" si="756"/>
        <v>213.91710580275196</v>
      </c>
      <c r="AA560" s="493">
        <f t="shared" si="756"/>
        <v>223.64061061196796</v>
      </c>
      <c r="AB560" s="493">
        <f t="shared" si="756"/>
        <v>233.36411542118395</v>
      </c>
      <c r="AC560" s="493">
        <f t="shared" si="756"/>
        <v>243.08762023039995</v>
      </c>
      <c r="AD560" s="493">
        <f t="shared" si="756"/>
        <v>252.81112503961594</v>
      </c>
      <c r="AE560" s="493">
        <f t="shared" si="756"/>
        <v>262.53462984883197</v>
      </c>
      <c r="AF560" s="493">
        <f t="shared" si="756"/>
        <v>272.25813465804799</v>
      </c>
      <c r="AG560" s="493">
        <f t="shared" si="756"/>
        <v>281.98163946726402</v>
      </c>
      <c r="AH560" s="493">
        <f t="shared" si="756"/>
        <v>291.70514427648004</v>
      </c>
      <c r="AI560" s="522">
        <f t="shared" si="752"/>
        <v>534.79276450688008</v>
      </c>
      <c r="AJ560" s="522">
        <f t="shared" si="753"/>
        <v>2041.9360099353598</v>
      </c>
      <c r="AK560" s="525">
        <f t="shared" si="754"/>
        <v>4521.4297362854395</v>
      </c>
    </row>
    <row r="561" spans="1:37" x14ac:dyDescent="0.2">
      <c r="A561" s="491"/>
      <c r="B561" s="465"/>
      <c r="C561" s="452" t="s">
        <v>1016</v>
      </c>
      <c r="D561" s="493">
        <f t="shared" si="750"/>
        <v>168.54500714272015</v>
      </c>
      <c r="E561" s="493">
        <f t="shared" ref="E561:AH561" si="757">D561+E547</f>
        <v>247.61930844208564</v>
      </c>
      <c r="F561" s="493">
        <f t="shared" si="757"/>
        <v>326.6936097414511</v>
      </c>
      <c r="G561" s="493">
        <f t="shared" si="757"/>
        <v>405.76791104081656</v>
      </c>
      <c r="H561" s="493">
        <f t="shared" si="757"/>
        <v>484.84221234018202</v>
      </c>
      <c r="I561" s="493">
        <f t="shared" si="757"/>
        <v>563.91651363954747</v>
      </c>
      <c r="J561" s="493">
        <f t="shared" si="757"/>
        <v>642.99081493891299</v>
      </c>
      <c r="K561" s="493">
        <f t="shared" si="757"/>
        <v>722.06511623827851</v>
      </c>
      <c r="L561" s="493">
        <f t="shared" si="757"/>
        <v>801.13941753764402</v>
      </c>
      <c r="M561" s="493">
        <f t="shared" si="757"/>
        <v>880.21371883700954</v>
      </c>
      <c r="N561" s="493">
        <f t="shared" si="757"/>
        <v>959.28802013637505</v>
      </c>
      <c r="O561" s="493">
        <f t="shared" si="757"/>
        <v>1038.3623214357406</v>
      </c>
      <c r="P561" s="493">
        <f t="shared" si="757"/>
        <v>1117.4366227351061</v>
      </c>
      <c r="Q561" s="493">
        <f t="shared" si="757"/>
        <v>1196.5109240344716</v>
      </c>
      <c r="R561" s="493">
        <f t="shared" si="757"/>
        <v>1275.5852253338371</v>
      </c>
      <c r="S561" s="493">
        <f t="shared" si="757"/>
        <v>1354.6595266332026</v>
      </c>
      <c r="T561" s="493">
        <f t="shared" si="757"/>
        <v>1433.7338279325681</v>
      </c>
      <c r="U561" s="493">
        <f t="shared" si="757"/>
        <v>1512.8081292319337</v>
      </c>
      <c r="V561" s="493">
        <f t="shared" si="757"/>
        <v>1591.8824305312992</v>
      </c>
      <c r="W561" s="493">
        <f t="shared" si="757"/>
        <v>1670.9567318306647</v>
      </c>
      <c r="X561" s="493">
        <f t="shared" si="757"/>
        <v>1750.0310331300302</v>
      </c>
      <c r="Y561" s="493">
        <f t="shared" si="757"/>
        <v>1829.1053344293957</v>
      </c>
      <c r="Z561" s="493">
        <f t="shared" si="757"/>
        <v>1908.1796357287612</v>
      </c>
      <c r="AA561" s="493">
        <f t="shared" si="757"/>
        <v>1987.2539370281268</v>
      </c>
      <c r="AB561" s="493">
        <f t="shared" si="757"/>
        <v>2066.3282383274923</v>
      </c>
      <c r="AC561" s="493">
        <f t="shared" si="757"/>
        <v>2145.4025396268576</v>
      </c>
      <c r="AD561" s="493">
        <f t="shared" si="757"/>
        <v>2224.4768409262228</v>
      </c>
      <c r="AE561" s="493">
        <f t="shared" si="757"/>
        <v>2303.5511422255881</v>
      </c>
      <c r="AF561" s="493">
        <f t="shared" si="757"/>
        <v>2382.6254435249534</v>
      </c>
      <c r="AG561" s="493">
        <f t="shared" si="757"/>
        <v>2461.6997448243187</v>
      </c>
      <c r="AH561" s="493">
        <f t="shared" si="757"/>
        <v>2540.774046123684</v>
      </c>
      <c r="AI561" s="522">
        <f t="shared" si="752"/>
        <v>6203.0816500350238</v>
      </c>
      <c r="AJ561" s="522">
        <f t="shared" si="753"/>
        <v>20145.048422863878</v>
      </c>
      <c r="AK561" s="525">
        <f t="shared" si="754"/>
        <v>41994.445325629276</v>
      </c>
    </row>
    <row r="562" spans="1:37" x14ac:dyDescent="0.2">
      <c r="A562" s="491"/>
      <c r="B562" s="465"/>
      <c r="C562" s="452" t="s">
        <v>604</v>
      </c>
      <c r="D562" s="493">
        <f t="shared" si="750"/>
        <v>67.687853137946092</v>
      </c>
      <c r="E562" s="493">
        <f t="shared" ref="E562:AH562" si="758">D562+E548</f>
        <v>192.01024182509866</v>
      </c>
      <c r="F562" s="493">
        <f t="shared" si="758"/>
        <v>312.67400472538588</v>
      </c>
      <c r="G562" s="493">
        <f t="shared" si="758"/>
        <v>429.67914183880777</v>
      </c>
      <c r="H562" s="493">
        <f t="shared" si="758"/>
        <v>543.02565316536436</v>
      </c>
      <c r="I562" s="493">
        <f t="shared" si="758"/>
        <v>652.7135387050555</v>
      </c>
      <c r="J562" s="493">
        <f t="shared" si="758"/>
        <v>758.74279845788135</v>
      </c>
      <c r="K562" s="493">
        <f t="shared" si="758"/>
        <v>861.11343242384191</v>
      </c>
      <c r="L562" s="493">
        <f t="shared" si="758"/>
        <v>959.82544060293708</v>
      </c>
      <c r="M562" s="493">
        <f t="shared" si="758"/>
        <v>1054.878822995167</v>
      </c>
      <c r="N562" s="493">
        <f t="shared" si="758"/>
        <v>1146.2735796005315</v>
      </c>
      <c r="O562" s="493">
        <f t="shared" si="758"/>
        <v>1234.0097104190306</v>
      </c>
      <c r="P562" s="493">
        <f t="shared" si="758"/>
        <v>1318.0872154506644</v>
      </c>
      <c r="Q562" s="493">
        <f t="shared" si="758"/>
        <v>1398.5060946954329</v>
      </c>
      <c r="R562" s="493">
        <f t="shared" si="758"/>
        <v>1475.2663481533361</v>
      </c>
      <c r="S562" s="493">
        <f t="shared" si="758"/>
        <v>1548.3679758243741</v>
      </c>
      <c r="T562" s="493">
        <f t="shared" si="758"/>
        <v>1627.8773838084985</v>
      </c>
      <c r="U562" s="493">
        <f t="shared" si="758"/>
        <v>1706.9613701894991</v>
      </c>
      <c r="V562" s="493">
        <f t="shared" si="758"/>
        <v>1785.6199349673759</v>
      </c>
      <c r="W562" s="493">
        <f t="shared" si="758"/>
        <v>1863.8530781421287</v>
      </c>
      <c r="X562" s="493">
        <f t="shared" si="758"/>
        <v>1941.6607997137576</v>
      </c>
      <c r="Y562" s="493">
        <f t="shared" si="758"/>
        <v>2019.0430996822627</v>
      </c>
      <c r="Z562" s="493">
        <f t="shared" si="758"/>
        <v>2095.9999780476437</v>
      </c>
      <c r="AA562" s="493">
        <f t="shared" si="758"/>
        <v>2172.5314348099009</v>
      </c>
      <c r="AB562" s="493">
        <f t="shared" si="758"/>
        <v>2248.6374699690346</v>
      </c>
      <c r="AC562" s="493">
        <f t="shared" si="758"/>
        <v>2324.3180835250441</v>
      </c>
      <c r="AD562" s="493">
        <f t="shared" si="758"/>
        <v>2399.5732754779297</v>
      </c>
      <c r="AE562" s="493">
        <f t="shared" si="758"/>
        <v>2474.4030458276916</v>
      </c>
      <c r="AF562" s="493">
        <f t="shared" si="758"/>
        <v>2548.8073945743295</v>
      </c>
      <c r="AG562" s="493">
        <f t="shared" si="758"/>
        <v>2622.7863217178437</v>
      </c>
      <c r="AH562" s="493">
        <f t="shared" si="758"/>
        <v>2696.339827258234</v>
      </c>
      <c r="AI562" s="522">
        <f t="shared" si="752"/>
        <v>6978.6245074780172</v>
      </c>
      <c r="AJ562" s="522">
        <f t="shared" si="753"/>
        <v>22878.834418842118</v>
      </c>
      <c r="AK562" s="525">
        <f t="shared" si="754"/>
        <v>46481.274349732033</v>
      </c>
    </row>
    <row r="563" spans="1:37" x14ac:dyDescent="0.2">
      <c r="A563" s="491"/>
      <c r="B563" s="465"/>
      <c r="C563" s="452" t="s">
        <v>1017</v>
      </c>
      <c r="D563" s="493">
        <f t="shared" si="750"/>
        <v>0</v>
      </c>
      <c r="E563" s="493">
        <f t="shared" ref="E563:AH563" si="759">D563+E549</f>
        <v>0</v>
      </c>
      <c r="F563" s="493">
        <f t="shared" si="759"/>
        <v>0</v>
      </c>
      <c r="G563" s="493">
        <f t="shared" si="759"/>
        <v>0</v>
      </c>
      <c r="H563" s="493">
        <f t="shared" si="759"/>
        <v>0</v>
      </c>
      <c r="I563" s="493">
        <f t="shared" si="759"/>
        <v>0</v>
      </c>
      <c r="J563" s="493">
        <f t="shared" si="759"/>
        <v>0</v>
      </c>
      <c r="K563" s="493">
        <f t="shared" si="759"/>
        <v>0</v>
      </c>
      <c r="L563" s="493">
        <f t="shared" si="759"/>
        <v>0</v>
      </c>
      <c r="M563" s="493">
        <f t="shared" si="759"/>
        <v>0</v>
      </c>
      <c r="N563" s="493">
        <f t="shared" si="759"/>
        <v>0</v>
      </c>
      <c r="O563" s="493">
        <f t="shared" si="759"/>
        <v>0</v>
      </c>
      <c r="P563" s="493">
        <f t="shared" si="759"/>
        <v>0</v>
      </c>
      <c r="Q563" s="493">
        <f t="shared" si="759"/>
        <v>0</v>
      </c>
      <c r="R563" s="493">
        <f t="shared" si="759"/>
        <v>0</v>
      </c>
      <c r="S563" s="493">
        <f t="shared" si="759"/>
        <v>0</v>
      </c>
      <c r="T563" s="493">
        <f t="shared" si="759"/>
        <v>0</v>
      </c>
      <c r="U563" s="493">
        <f t="shared" si="759"/>
        <v>0</v>
      </c>
      <c r="V563" s="493">
        <f t="shared" si="759"/>
        <v>0</v>
      </c>
      <c r="W563" s="493">
        <f t="shared" si="759"/>
        <v>0</v>
      </c>
      <c r="X563" s="493">
        <f t="shared" si="759"/>
        <v>0</v>
      </c>
      <c r="Y563" s="493">
        <f t="shared" si="759"/>
        <v>0</v>
      </c>
      <c r="Z563" s="493">
        <f t="shared" si="759"/>
        <v>0</v>
      </c>
      <c r="AA563" s="493">
        <f t="shared" si="759"/>
        <v>0</v>
      </c>
      <c r="AB563" s="493">
        <f t="shared" si="759"/>
        <v>0</v>
      </c>
      <c r="AC563" s="493">
        <f t="shared" si="759"/>
        <v>0</v>
      </c>
      <c r="AD563" s="493">
        <f t="shared" si="759"/>
        <v>0</v>
      </c>
      <c r="AE563" s="493">
        <f t="shared" si="759"/>
        <v>0</v>
      </c>
      <c r="AF563" s="493">
        <f t="shared" si="759"/>
        <v>0</v>
      </c>
      <c r="AG563" s="493">
        <f t="shared" si="759"/>
        <v>0</v>
      </c>
      <c r="AH563" s="493">
        <f t="shared" si="759"/>
        <v>0</v>
      </c>
      <c r="AI563" s="522">
        <f t="shared" si="752"/>
        <v>0</v>
      </c>
      <c r="AJ563" s="522">
        <f t="shared" si="753"/>
        <v>0</v>
      </c>
      <c r="AK563" s="525">
        <f t="shared" si="754"/>
        <v>0</v>
      </c>
    </row>
    <row r="564" spans="1:37" x14ac:dyDescent="0.2">
      <c r="A564" s="491"/>
      <c r="B564" s="465"/>
      <c r="C564" s="452" t="s">
        <v>1021</v>
      </c>
      <c r="D564" s="493">
        <f t="shared" si="750"/>
        <v>0</v>
      </c>
      <c r="E564" s="493">
        <f t="shared" ref="E564:AH564" si="760">D564+E550</f>
        <v>0</v>
      </c>
      <c r="F564" s="493">
        <f t="shared" si="760"/>
        <v>0</v>
      </c>
      <c r="G564" s="493">
        <f t="shared" si="760"/>
        <v>0</v>
      </c>
      <c r="H564" s="493">
        <f t="shared" si="760"/>
        <v>0</v>
      </c>
      <c r="I564" s="493">
        <f t="shared" si="760"/>
        <v>0</v>
      </c>
      <c r="J564" s="493">
        <f t="shared" si="760"/>
        <v>0</v>
      </c>
      <c r="K564" s="493">
        <f t="shared" si="760"/>
        <v>0</v>
      </c>
      <c r="L564" s="493">
        <f t="shared" si="760"/>
        <v>0</v>
      </c>
      <c r="M564" s="493">
        <f t="shared" si="760"/>
        <v>0</v>
      </c>
      <c r="N564" s="493">
        <f t="shared" si="760"/>
        <v>0</v>
      </c>
      <c r="O564" s="493">
        <f t="shared" si="760"/>
        <v>0</v>
      </c>
      <c r="P564" s="493">
        <f t="shared" si="760"/>
        <v>0</v>
      </c>
      <c r="Q564" s="493">
        <f t="shared" si="760"/>
        <v>0</v>
      </c>
      <c r="R564" s="493">
        <f t="shared" si="760"/>
        <v>0</v>
      </c>
      <c r="S564" s="493">
        <f t="shared" si="760"/>
        <v>0</v>
      </c>
      <c r="T564" s="493">
        <f t="shared" si="760"/>
        <v>0</v>
      </c>
      <c r="U564" s="493">
        <f t="shared" si="760"/>
        <v>0</v>
      </c>
      <c r="V564" s="493">
        <f t="shared" si="760"/>
        <v>0</v>
      </c>
      <c r="W564" s="493">
        <f t="shared" si="760"/>
        <v>0</v>
      </c>
      <c r="X564" s="493">
        <f t="shared" si="760"/>
        <v>0</v>
      </c>
      <c r="Y564" s="493">
        <f t="shared" si="760"/>
        <v>0</v>
      </c>
      <c r="Z564" s="493">
        <f t="shared" si="760"/>
        <v>0</v>
      </c>
      <c r="AA564" s="493">
        <f t="shared" si="760"/>
        <v>0</v>
      </c>
      <c r="AB564" s="493">
        <f t="shared" si="760"/>
        <v>0</v>
      </c>
      <c r="AC564" s="493">
        <f t="shared" si="760"/>
        <v>0</v>
      </c>
      <c r="AD564" s="493">
        <f t="shared" si="760"/>
        <v>0</v>
      </c>
      <c r="AE564" s="493">
        <f t="shared" si="760"/>
        <v>0</v>
      </c>
      <c r="AF564" s="493">
        <f t="shared" si="760"/>
        <v>0</v>
      </c>
      <c r="AG564" s="493">
        <f t="shared" si="760"/>
        <v>0</v>
      </c>
      <c r="AH564" s="493">
        <f t="shared" si="760"/>
        <v>0</v>
      </c>
      <c r="AI564" s="522">
        <f t="shared" si="752"/>
        <v>0</v>
      </c>
      <c r="AJ564" s="522">
        <f t="shared" si="753"/>
        <v>0</v>
      </c>
      <c r="AK564" s="525">
        <f t="shared" si="754"/>
        <v>0</v>
      </c>
    </row>
    <row r="565" spans="1:37" ht="11.5" thickBot="1" x14ac:dyDescent="0.25">
      <c r="A565" s="491"/>
      <c r="B565" s="465"/>
      <c r="C565" s="452" t="s">
        <v>1018</v>
      </c>
      <c r="D565" s="493">
        <f t="shared" si="750"/>
        <v>0</v>
      </c>
      <c r="E565" s="493">
        <f t="shared" ref="E565:AH565" si="761">D565+E551</f>
        <v>0</v>
      </c>
      <c r="F565" s="493">
        <f t="shared" si="761"/>
        <v>0</v>
      </c>
      <c r="G565" s="493">
        <f t="shared" si="761"/>
        <v>0</v>
      </c>
      <c r="H565" s="493">
        <f t="shared" si="761"/>
        <v>0</v>
      </c>
      <c r="I565" s="493">
        <f t="shared" si="761"/>
        <v>0</v>
      </c>
      <c r="J565" s="493">
        <f t="shared" si="761"/>
        <v>0</v>
      </c>
      <c r="K565" s="493">
        <f t="shared" si="761"/>
        <v>0</v>
      </c>
      <c r="L565" s="493">
        <f t="shared" si="761"/>
        <v>0</v>
      </c>
      <c r="M565" s="493">
        <f t="shared" si="761"/>
        <v>0</v>
      </c>
      <c r="N565" s="493">
        <f t="shared" si="761"/>
        <v>0</v>
      </c>
      <c r="O565" s="493">
        <f t="shared" si="761"/>
        <v>0</v>
      </c>
      <c r="P565" s="493">
        <f t="shared" si="761"/>
        <v>0</v>
      </c>
      <c r="Q565" s="493">
        <f t="shared" si="761"/>
        <v>0</v>
      </c>
      <c r="R565" s="493">
        <f t="shared" si="761"/>
        <v>0</v>
      </c>
      <c r="S565" s="493">
        <f t="shared" si="761"/>
        <v>0</v>
      </c>
      <c r="T565" s="493">
        <f t="shared" si="761"/>
        <v>0</v>
      </c>
      <c r="U565" s="493">
        <f t="shared" si="761"/>
        <v>0</v>
      </c>
      <c r="V565" s="493">
        <f t="shared" si="761"/>
        <v>0</v>
      </c>
      <c r="W565" s="493">
        <f t="shared" si="761"/>
        <v>0</v>
      </c>
      <c r="X565" s="493">
        <f t="shared" si="761"/>
        <v>0</v>
      </c>
      <c r="Y565" s="493">
        <f t="shared" si="761"/>
        <v>0</v>
      </c>
      <c r="Z565" s="493">
        <f t="shared" si="761"/>
        <v>0</v>
      </c>
      <c r="AA565" s="493">
        <f t="shared" si="761"/>
        <v>0</v>
      </c>
      <c r="AB565" s="493">
        <f t="shared" si="761"/>
        <v>0</v>
      </c>
      <c r="AC565" s="493">
        <f t="shared" si="761"/>
        <v>0</v>
      </c>
      <c r="AD565" s="493">
        <f t="shared" si="761"/>
        <v>0</v>
      </c>
      <c r="AE565" s="493">
        <f t="shared" si="761"/>
        <v>0</v>
      </c>
      <c r="AF565" s="493">
        <f t="shared" si="761"/>
        <v>0</v>
      </c>
      <c r="AG565" s="493">
        <f t="shared" si="761"/>
        <v>0</v>
      </c>
      <c r="AH565" s="493">
        <f t="shared" si="761"/>
        <v>0</v>
      </c>
      <c r="AI565" s="523">
        <f>SUM(D565:N565)</f>
        <v>0</v>
      </c>
      <c r="AJ565" s="523">
        <f t="shared" si="753"/>
        <v>0</v>
      </c>
      <c r="AK565" s="527">
        <f t="shared" si="754"/>
        <v>0</v>
      </c>
    </row>
    <row r="566" spans="1:37" ht="11.5" thickBot="1" x14ac:dyDescent="0.25">
      <c r="A566" s="509" t="s">
        <v>69</v>
      </c>
      <c r="B566" s="510"/>
      <c r="C566" s="942" t="s">
        <v>594</v>
      </c>
      <c r="D566" s="588">
        <f t="shared" ref="D566:AH566" si="762">SUM(D558:D565)</f>
        <v>-2107.3289564883971</v>
      </c>
      <c r="E566" s="588">
        <f t="shared" si="762"/>
        <v>-1705.7988340806755</v>
      </c>
      <c r="F566" s="512">
        <f t="shared" si="762"/>
        <v>-1306.5910028616463</v>
      </c>
      <c r="G566" s="512">
        <f t="shared" si="762"/>
        <v>-909.70546283130966</v>
      </c>
      <c r="H566" s="512">
        <f t="shared" si="762"/>
        <v>-515.14221398966504</v>
      </c>
      <c r="I566" s="512">
        <f t="shared" si="762"/>
        <v>-122.90125633671323</v>
      </c>
      <c r="J566" s="512">
        <f t="shared" si="762"/>
        <v>267.01741012754621</v>
      </c>
      <c r="K566" s="512">
        <f t="shared" si="762"/>
        <v>654.61378540311352</v>
      </c>
      <c r="L566" s="512">
        <f t="shared" si="762"/>
        <v>1039.8878694899879</v>
      </c>
      <c r="M566" s="512">
        <f t="shared" si="762"/>
        <v>1422.8396623881699</v>
      </c>
      <c r="N566" s="512">
        <f t="shared" si="762"/>
        <v>1803.4691640976598</v>
      </c>
      <c r="O566" s="512">
        <f t="shared" si="762"/>
        <v>2181.7763746184569</v>
      </c>
      <c r="P566" s="512">
        <f t="shared" si="762"/>
        <v>2557.7612939505616</v>
      </c>
      <c r="Q566" s="512">
        <f t="shared" si="762"/>
        <v>2931.4239220939735</v>
      </c>
      <c r="R566" s="512">
        <f t="shared" si="762"/>
        <v>3302.7642590486935</v>
      </c>
      <c r="S566" s="512">
        <f t="shared" si="762"/>
        <v>3671.7823048147211</v>
      </c>
      <c r="T566" s="512">
        <f t="shared" si="762"/>
        <v>4012.3930311797844</v>
      </c>
      <c r="U566" s="512">
        <f t="shared" si="762"/>
        <v>4352.7337236856984</v>
      </c>
      <c r="V566" s="512">
        <f t="shared" si="762"/>
        <v>4692.8043823324624</v>
      </c>
      <c r="W566" s="512">
        <f t="shared" si="762"/>
        <v>5032.6050071200752</v>
      </c>
      <c r="X566" s="512">
        <f t="shared" si="762"/>
        <v>5372.1355980485387</v>
      </c>
      <c r="Y566" s="512">
        <f t="shared" si="762"/>
        <v>5711.39615511785</v>
      </c>
      <c r="Z566" s="512">
        <f t="shared" si="762"/>
        <v>6050.3866783280127</v>
      </c>
      <c r="AA566" s="512">
        <f t="shared" si="762"/>
        <v>6389.1071676790243</v>
      </c>
      <c r="AB566" s="512">
        <f t="shared" si="762"/>
        <v>6727.5576231708874</v>
      </c>
      <c r="AC566" s="512">
        <f t="shared" si="762"/>
        <v>7065.7380448035983</v>
      </c>
      <c r="AD566" s="512">
        <f t="shared" si="762"/>
        <v>7403.648432577158</v>
      </c>
      <c r="AE566" s="512">
        <f t="shared" si="762"/>
        <v>7741.2887864915701</v>
      </c>
      <c r="AF566" s="512">
        <f t="shared" si="762"/>
        <v>8078.6591065468292</v>
      </c>
      <c r="AG566" s="512">
        <f t="shared" si="762"/>
        <v>8415.7593927429407</v>
      </c>
      <c r="AH566" s="512">
        <f t="shared" si="762"/>
        <v>8752.5896450799009</v>
      </c>
      <c r="AI566" s="523">
        <f>SUM(AI558:AI561,AI565:AI565)</f>
        <v>-8458.2643425599454</v>
      </c>
      <c r="AJ566" s="523">
        <f>SUM(AJ558:AJ561,AJ565:AJ565)</f>
        <v>13749.705642968924</v>
      </c>
      <c r="AK566" s="527">
        <f>SUM(AK558:AK561,AK565:AK565)</f>
        <v>62483.396744616774</v>
      </c>
    </row>
  </sheetData>
  <sheetProtection password="B437" sheet="1" objects="1" scenarios="1"/>
  <mergeCells count="1">
    <mergeCell ref="B1:C1"/>
  </mergeCells>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X78"/>
  <sheetViews>
    <sheetView workbookViewId="0"/>
  </sheetViews>
  <sheetFormatPr defaultColWidth="9" defaultRowHeight="11.5" x14ac:dyDescent="0.2"/>
  <cols>
    <col min="1" max="1" width="19.453125" style="408" customWidth="1"/>
    <col min="2" max="2" width="30.08984375" style="408" customWidth="1"/>
    <col min="3" max="3" width="9.6328125" style="408" hidden="1" customWidth="1"/>
    <col min="4" max="4" width="11.6328125" style="419" customWidth="1"/>
    <col min="5" max="5" width="10" style="408" customWidth="1"/>
    <col min="6" max="6" width="8.08984375" style="408" customWidth="1"/>
    <col min="7" max="7" width="27" style="408" customWidth="1"/>
    <col min="8" max="17" width="16.08984375" style="430" customWidth="1"/>
    <col min="18" max="18" width="17.90625" style="408" customWidth="1"/>
    <col min="19" max="19" width="32.90625" style="408" customWidth="1"/>
    <col min="20" max="20" width="14.90625" style="408" customWidth="1"/>
    <col min="21" max="16384" width="9" style="408"/>
  </cols>
  <sheetData>
    <row r="1" spans="1:20" x14ac:dyDescent="0.2">
      <c r="A1" s="411" t="s">
        <v>306</v>
      </c>
      <c r="H1" s="404"/>
      <c r="I1" s="404"/>
      <c r="J1" s="404"/>
      <c r="K1" s="404"/>
      <c r="L1" s="404"/>
      <c r="M1" s="404"/>
      <c r="N1" s="404"/>
      <c r="O1" s="404"/>
      <c r="P1" s="404"/>
      <c r="Q1" s="404"/>
    </row>
    <row r="2" spans="1:20" x14ac:dyDescent="0.2">
      <c r="A2" s="411" t="s">
        <v>211</v>
      </c>
      <c r="H2" s="440" t="s">
        <v>234</v>
      </c>
      <c r="I2" s="440" t="s">
        <v>234</v>
      </c>
      <c r="J2" s="440" t="s">
        <v>234</v>
      </c>
      <c r="K2" s="440" t="s">
        <v>234</v>
      </c>
      <c r="L2" s="440" t="s">
        <v>234</v>
      </c>
      <c r="M2" s="440" t="s">
        <v>234</v>
      </c>
      <c r="N2" s="440" t="s">
        <v>234</v>
      </c>
      <c r="O2" s="440" t="s">
        <v>234</v>
      </c>
      <c r="P2" s="440" t="s">
        <v>234</v>
      </c>
      <c r="Q2" s="440" t="s">
        <v>234</v>
      </c>
    </row>
    <row r="3" spans="1:20" x14ac:dyDescent="0.2">
      <c r="A3" s="411"/>
      <c r="H3" s="1493" t="s">
        <v>327</v>
      </c>
      <c r="I3" s="1493"/>
      <c r="J3" s="1493"/>
      <c r="K3" s="1493"/>
      <c r="L3" s="1494" t="s">
        <v>328</v>
      </c>
      <c r="M3" s="1494"/>
      <c r="N3" s="1494"/>
      <c r="O3" s="1494"/>
      <c r="P3" s="1493" t="s">
        <v>352</v>
      </c>
      <c r="Q3" s="1493"/>
    </row>
    <row r="4" spans="1:20" ht="22" x14ac:dyDescent="0.2">
      <c r="A4" s="409" t="s">
        <v>200</v>
      </c>
      <c r="B4" s="409" t="s">
        <v>201</v>
      </c>
      <c r="C4" s="409"/>
      <c r="D4" s="455" t="s">
        <v>235</v>
      </c>
      <c r="E4" s="409"/>
      <c r="F4" s="409" t="s">
        <v>227</v>
      </c>
      <c r="G4" s="409" t="s">
        <v>212</v>
      </c>
      <c r="H4" s="431" t="s">
        <v>232</v>
      </c>
      <c r="I4" s="431" t="s">
        <v>224</v>
      </c>
      <c r="J4" s="431" t="s">
        <v>225</v>
      </c>
      <c r="K4" s="431" t="s">
        <v>226</v>
      </c>
      <c r="L4" s="431" t="s">
        <v>223</v>
      </c>
      <c r="M4" s="431" t="s">
        <v>224</v>
      </c>
      <c r="N4" s="431" t="s">
        <v>225</v>
      </c>
      <c r="O4" s="431" t="s">
        <v>226</v>
      </c>
      <c r="P4" s="431" t="s">
        <v>1122</v>
      </c>
      <c r="Q4" s="431" t="s">
        <v>1123</v>
      </c>
      <c r="R4" s="411"/>
      <c r="T4" s="411"/>
    </row>
    <row r="5" spans="1:20" x14ac:dyDescent="0.2">
      <c r="A5" s="412" t="s">
        <v>202</v>
      </c>
      <c r="B5" s="413"/>
      <c r="C5" s="410"/>
      <c r="D5" s="456"/>
      <c r="E5" s="410"/>
      <c r="F5" s="410"/>
      <c r="G5" s="410"/>
      <c r="H5" s="432"/>
      <c r="I5" s="432"/>
      <c r="J5" s="432"/>
      <c r="K5" s="432"/>
      <c r="L5" s="432"/>
      <c r="M5" s="432"/>
      <c r="N5" s="432"/>
      <c r="O5" s="432"/>
      <c r="P5" s="1430"/>
      <c r="Q5" s="1430"/>
      <c r="S5" s="406"/>
    </row>
    <row r="6" spans="1:20" x14ac:dyDescent="0.2">
      <c r="A6" s="412"/>
      <c r="B6" s="413"/>
      <c r="C6" s="410"/>
      <c r="D6" s="456"/>
      <c r="E6" s="410"/>
      <c r="F6" s="410"/>
      <c r="G6" s="410"/>
      <c r="H6" s="432"/>
      <c r="I6" s="432"/>
      <c r="J6" s="432"/>
      <c r="K6" s="432"/>
      <c r="L6" s="432"/>
      <c r="M6" s="432"/>
      <c r="N6" s="432"/>
      <c r="O6" s="432"/>
      <c r="P6" s="432"/>
      <c r="Q6" s="432"/>
      <c r="S6" s="441"/>
    </row>
    <row r="7" spans="1:20" x14ac:dyDescent="0.2">
      <c r="A7" s="412"/>
      <c r="B7" s="413"/>
      <c r="C7" s="410"/>
      <c r="D7" s="456"/>
      <c r="E7" s="410"/>
      <c r="F7" s="410"/>
      <c r="G7" s="410"/>
      <c r="H7" s="432"/>
      <c r="I7" s="432"/>
      <c r="J7" s="432"/>
      <c r="K7" s="432"/>
      <c r="L7" s="432"/>
      <c r="M7" s="432"/>
      <c r="N7" s="432"/>
      <c r="O7" s="432"/>
      <c r="P7" s="432"/>
      <c r="Q7" s="432"/>
      <c r="R7" s="581"/>
      <c r="S7" s="406"/>
    </row>
    <row r="8" spans="1:20" x14ac:dyDescent="0.2">
      <c r="A8" s="412"/>
      <c r="B8" s="422" t="s">
        <v>304</v>
      </c>
      <c r="C8" s="423"/>
      <c r="D8" s="457"/>
      <c r="E8" s="423"/>
      <c r="F8" s="424" t="s">
        <v>305</v>
      </c>
      <c r="G8" s="424" t="s">
        <v>326</v>
      </c>
      <c r="H8" s="433"/>
      <c r="I8" s="433"/>
      <c r="J8" s="433"/>
      <c r="K8" s="433"/>
      <c r="L8" s="433"/>
      <c r="M8" s="433"/>
      <c r="N8" s="433"/>
      <c r="O8" s="433"/>
      <c r="P8" s="433"/>
      <c r="Q8" s="433"/>
      <c r="R8" s="581"/>
      <c r="S8" s="406"/>
    </row>
    <row r="9" spans="1:20" x14ac:dyDescent="0.2">
      <c r="A9" s="415" t="s">
        <v>491</v>
      </c>
      <c r="B9" s="425" t="str">
        <f>インプット!B73</f>
        <v>設備費用</v>
      </c>
      <c r="C9" s="426"/>
      <c r="D9" s="458">
        <f>インプット!E73</f>
        <v>3615143431.2222729</v>
      </c>
      <c r="E9" s="426" t="s">
        <v>237</v>
      </c>
      <c r="F9" s="553">
        <f>インプット!$F$73</f>
        <v>0.25</v>
      </c>
      <c r="G9" s="554" t="str">
        <f>インプット!$G$73</f>
        <v>はん用機械器具製造業</v>
      </c>
      <c r="H9" s="434">
        <f>IFERROR(VLOOKUP($G9,波及効果シート!$A$4:$Z$45,2,FALSE),0)</f>
        <v>0.12035066439076711</v>
      </c>
      <c r="I9" s="434">
        <f>IFERROR(VLOOKUP($G9,波及効果シート!$A$4:$Z$45,3,FALSE),0)</f>
        <v>5.17034457439845E-2</v>
      </c>
      <c r="J9" s="434">
        <f>IFERROR(VLOOKUP($G9,波及効果シート!$A$4:$Z$45,4,FALSE),0)</f>
        <v>1.7402412098426419E-2</v>
      </c>
      <c r="K9" s="434">
        <f>IFERROR(VLOOKUP($G9,波及効果シート!$A$4:$Z$45,5,FALSE),0)</f>
        <v>7.8856553473945334E-3</v>
      </c>
      <c r="L9" s="434">
        <f>IFERROR(VLOOKUP($G9,波及効果シート!$A$4:$Z$45,6,FALSE),0)</f>
        <v>0</v>
      </c>
      <c r="M9" s="434">
        <f>IFERROR(VLOOKUP($G9,波及効果シート!$A$4:$Z$45,7,FALSE),0)</f>
        <v>0</v>
      </c>
      <c r="N9" s="434">
        <f>IFERROR(VLOOKUP($G9,波及効果シート!$A$4:$Z$45,8,FALSE),0)</f>
        <v>0</v>
      </c>
      <c r="O9" s="434">
        <f>IFERROR(VLOOKUP($G9,波及効果シート!$A$4:$Z$45,9,FALSE),0)</f>
        <v>0</v>
      </c>
      <c r="P9" s="434">
        <v>0.2</v>
      </c>
      <c r="Q9" s="434">
        <v>0.15</v>
      </c>
      <c r="R9" s="582"/>
      <c r="S9" s="406"/>
    </row>
    <row r="10" spans="1:20" x14ac:dyDescent="0.2">
      <c r="A10" s="415"/>
      <c r="B10" s="410"/>
      <c r="C10" s="414"/>
      <c r="D10" s="558"/>
      <c r="E10" s="414"/>
      <c r="F10" s="555">
        <f>インプット!$H$73</f>
        <v>0</v>
      </c>
      <c r="G10" s="554">
        <f>インプット!$I$73</f>
        <v>0</v>
      </c>
      <c r="H10" s="434">
        <f>IFERROR(VLOOKUP($G10,波及効果シート!$A$4:$Z$45,2,FALSE),0)</f>
        <v>0</v>
      </c>
      <c r="I10" s="434">
        <f>IFERROR(VLOOKUP($G10,波及効果シート!$A$4:$Z$45,3,FALSE),0)</f>
        <v>0</v>
      </c>
      <c r="J10" s="434">
        <f>IFERROR(VLOOKUP($G10,波及効果シート!$A$4:$Z$45,4,FALSE),0)</f>
        <v>0</v>
      </c>
      <c r="K10" s="434">
        <f>IFERROR(VLOOKUP($G10,波及効果シート!$A$4:$Z$45,5,FALSE),0)</f>
        <v>0</v>
      </c>
      <c r="L10" s="434">
        <f>IFERROR(VLOOKUP($G10,波及効果シート!$A$4:$Z$45,6,FALSE),0)</f>
        <v>0</v>
      </c>
      <c r="M10" s="434">
        <f>IFERROR(VLOOKUP($G10,波及効果シート!$A$4:$Z$45,7,FALSE),0)</f>
        <v>0</v>
      </c>
      <c r="N10" s="434">
        <f>IFERROR(VLOOKUP($G10,波及効果シート!$A$4:$Z$45,8,FALSE),0)</f>
        <v>0</v>
      </c>
      <c r="O10" s="434">
        <f>IFERROR(VLOOKUP($G10,波及効果シート!$A$4:$Z$45,9,FALSE),0)</f>
        <v>0</v>
      </c>
      <c r="P10" s="434">
        <v>0.2</v>
      </c>
      <c r="Q10" s="434">
        <v>0.15</v>
      </c>
      <c r="R10" s="582"/>
      <c r="S10" s="407"/>
    </row>
    <row r="11" spans="1:20" x14ac:dyDescent="0.2">
      <c r="A11" s="415"/>
      <c r="B11" s="410"/>
      <c r="C11" s="414"/>
      <c r="D11" s="459"/>
      <c r="E11" s="414"/>
      <c r="F11" s="555">
        <f>インプット!$J$73</f>
        <v>0</v>
      </c>
      <c r="G11" s="554">
        <f>インプット!$K$73</f>
        <v>0</v>
      </c>
      <c r="H11" s="434">
        <f>IFERROR(VLOOKUP($G11,波及効果シート!$A$4:$Z$45,2,FALSE),0)</f>
        <v>0</v>
      </c>
      <c r="I11" s="434">
        <f>IFERROR(VLOOKUP($G11,波及効果シート!$A$4:$Z$45,3,FALSE),0)</f>
        <v>0</v>
      </c>
      <c r="J11" s="434">
        <f>IFERROR(VLOOKUP($G11,波及効果シート!$A$4:$Z$45,4,FALSE),0)</f>
        <v>0</v>
      </c>
      <c r="K11" s="434">
        <f>IFERROR(VLOOKUP($G11,波及効果シート!$A$4:$Z$45,5,FALSE),0)</f>
        <v>0</v>
      </c>
      <c r="L11" s="434">
        <f>IFERROR(VLOOKUP($G11,波及効果シート!$A$4:$Z$45,6,FALSE),0)</f>
        <v>0</v>
      </c>
      <c r="M11" s="434">
        <f>IFERROR(VLOOKUP($G11,波及効果シート!$A$4:$Z$45,7,FALSE),0)</f>
        <v>0</v>
      </c>
      <c r="N11" s="434">
        <f>IFERROR(VLOOKUP($G11,波及効果シート!$A$4:$Z$45,8,FALSE),0)</f>
        <v>0</v>
      </c>
      <c r="O11" s="434">
        <f>IFERROR(VLOOKUP($G11,波及効果シート!$A$4:$Z$45,9,FALSE),0)</f>
        <v>0</v>
      </c>
      <c r="P11" s="434">
        <v>0.2</v>
      </c>
      <c r="Q11" s="434">
        <v>0.15</v>
      </c>
      <c r="R11" s="582"/>
      <c r="S11" s="407"/>
    </row>
    <row r="12" spans="1:20" x14ac:dyDescent="0.2">
      <c r="A12" s="415"/>
      <c r="B12" s="424"/>
      <c r="C12" s="424"/>
      <c r="D12" s="460"/>
      <c r="E12" s="427"/>
      <c r="F12" s="593">
        <f>1-SUM(F9:F11)</f>
        <v>0.75</v>
      </c>
      <c r="G12" s="594" t="s">
        <v>236</v>
      </c>
      <c r="H12" s="436"/>
      <c r="I12" s="436"/>
      <c r="J12" s="436"/>
      <c r="K12" s="436"/>
      <c r="L12" s="436"/>
      <c r="M12" s="436"/>
      <c r="N12" s="436"/>
      <c r="O12" s="436"/>
      <c r="P12" s="436"/>
      <c r="Q12" s="436"/>
      <c r="R12" s="582"/>
      <c r="S12" s="407"/>
    </row>
    <row r="13" spans="1:20" x14ac:dyDescent="0.2">
      <c r="A13" s="415"/>
      <c r="B13" s="425" t="str">
        <f>インプット!B76</f>
        <v>工事費</v>
      </c>
      <c r="C13" s="426"/>
      <c r="D13" s="458">
        <f>インプット!E76</f>
        <v>1205047810.4074242</v>
      </c>
      <c r="E13" s="426" t="s">
        <v>237</v>
      </c>
      <c r="F13" s="553">
        <f>インプット!$F$76</f>
        <v>0.5</v>
      </c>
      <c r="G13" s="554" t="str">
        <f>インプット!$G$76</f>
        <v>建設業</v>
      </c>
      <c r="H13" s="434">
        <f>IFERROR(VLOOKUP($G13,波及効果シート!$A$4:$Z$45,2,FALSE),0)</f>
        <v>9.92056550331082E-2</v>
      </c>
      <c r="I13" s="434">
        <f>IFERROR(VLOOKUP($G13,波及効果シート!$A$4:$Z$45,3,FALSE),0)</f>
        <v>3.2870000362654708E-2</v>
      </c>
      <c r="J13" s="434">
        <f>IFERROR(VLOOKUP($G13,波及効果シート!$A$4:$Z$45,4,FALSE),0)</f>
        <v>1.3057809469373637E-2</v>
      </c>
      <c r="K13" s="434">
        <f>IFERROR(VLOOKUP($G13,波及効果シート!$A$4:$Z$45,5,FALSE),0)</f>
        <v>6.3506165233209585E-3</v>
      </c>
      <c r="L13" s="434">
        <f>IFERROR(VLOOKUP($G13,波及効果シート!$A$4:$Z$45,6,FALSE),0)</f>
        <v>8.1679427106096936E-2</v>
      </c>
      <c r="M13" s="434">
        <f>IFERROR(VLOOKUP($G13,波及効果シート!$A$4:$Z$45,7,FALSE),0)</f>
        <v>7.4170209261148812E-2</v>
      </c>
      <c r="N13" s="434">
        <f>IFERROR(VLOOKUP($G13,波及効果シート!$A$4:$Z$45,8,FALSE),0)</f>
        <v>1.6969887233812597E-2</v>
      </c>
      <c r="O13" s="434">
        <f>IFERROR(VLOOKUP($G13,波及効果シート!$A$4:$Z$45,9,FALSE),0)</f>
        <v>5.9513669766058912E-3</v>
      </c>
      <c r="P13" s="434">
        <v>0.2</v>
      </c>
      <c r="Q13" s="434">
        <v>0.15</v>
      </c>
      <c r="R13" s="582"/>
      <c r="S13" s="407"/>
    </row>
    <row r="14" spans="1:20" x14ac:dyDescent="0.2">
      <c r="A14" s="415"/>
      <c r="B14" s="410"/>
      <c r="C14" s="410"/>
      <c r="D14" s="558"/>
      <c r="E14" s="414"/>
      <c r="F14" s="555">
        <f>インプット!$H$76</f>
        <v>0</v>
      </c>
      <c r="G14" s="554">
        <f>インプット!$I$76</f>
        <v>0</v>
      </c>
      <c r="H14" s="434">
        <f>IFERROR(VLOOKUP($G14,波及効果シート!$A$4:$Z$45,2,FALSE),0)</f>
        <v>0</v>
      </c>
      <c r="I14" s="434">
        <f>IFERROR(VLOOKUP($G14,波及効果シート!$A$4:$Z$45,3,FALSE),0)</f>
        <v>0</v>
      </c>
      <c r="J14" s="434">
        <f>IFERROR(VLOOKUP($G14,波及効果シート!$A$4:$Z$45,4,FALSE),0)</f>
        <v>0</v>
      </c>
      <c r="K14" s="434">
        <f>IFERROR(VLOOKUP($G14,波及効果シート!$A$4:$Z$45,5,FALSE),0)</f>
        <v>0</v>
      </c>
      <c r="L14" s="434">
        <f>IFERROR(VLOOKUP($G14,波及効果シート!$A$4:$Z$45,6,FALSE),0)</f>
        <v>0</v>
      </c>
      <c r="M14" s="434">
        <f>IFERROR(VLOOKUP($G14,波及効果シート!$A$4:$Z$45,7,FALSE),0)</f>
        <v>0</v>
      </c>
      <c r="N14" s="434">
        <f>IFERROR(VLOOKUP($G14,波及効果シート!$A$4:$Z$45,8,FALSE),0)</f>
        <v>0</v>
      </c>
      <c r="O14" s="434">
        <f>IFERROR(VLOOKUP($G14,波及効果シート!$A$4:$Z$45,9,FALSE),0)</f>
        <v>0</v>
      </c>
      <c r="P14" s="434">
        <v>0.2</v>
      </c>
      <c r="Q14" s="434">
        <v>0.15</v>
      </c>
      <c r="R14" s="582"/>
      <c r="S14" s="407"/>
    </row>
    <row r="15" spans="1:20" x14ac:dyDescent="0.2">
      <c r="A15" s="415"/>
      <c r="B15" s="425"/>
      <c r="C15" s="410"/>
      <c r="D15" s="456"/>
      <c r="E15" s="410"/>
      <c r="F15" s="555">
        <f>インプット!$J$76</f>
        <v>0</v>
      </c>
      <c r="G15" s="554">
        <f>インプット!$K$76</f>
        <v>0</v>
      </c>
      <c r="H15" s="434">
        <f>IFERROR(VLOOKUP($G15,波及効果シート!$A$4:$Z$45,2,FALSE),0)</f>
        <v>0</v>
      </c>
      <c r="I15" s="434">
        <f>IFERROR(VLOOKUP($G15,波及効果シート!$A$4:$Z$45,3,FALSE),0)</f>
        <v>0</v>
      </c>
      <c r="J15" s="434">
        <f>IFERROR(VLOOKUP($G15,波及効果シート!$A$4:$Z$45,4,FALSE),0)</f>
        <v>0</v>
      </c>
      <c r="K15" s="434">
        <f>IFERROR(VLOOKUP($G15,波及効果シート!$A$4:$Z$45,5,FALSE),0)</f>
        <v>0</v>
      </c>
      <c r="L15" s="434">
        <f>IFERROR(VLOOKUP($G15,波及効果シート!$A$4:$Z$45,6,FALSE),0)</f>
        <v>0</v>
      </c>
      <c r="M15" s="434">
        <f>IFERROR(VLOOKUP($G15,波及効果シート!$A$4:$Z$45,7,FALSE),0)</f>
        <v>0</v>
      </c>
      <c r="N15" s="434">
        <f>IFERROR(VLOOKUP($G15,波及効果シート!$A$4:$Z$45,8,FALSE),0)</f>
        <v>0</v>
      </c>
      <c r="O15" s="434">
        <f>IFERROR(VLOOKUP($G15,波及効果シート!$A$4:$Z$45,9,FALSE),0)</f>
        <v>0</v>
      </c>
      <c r="P15" s="434">
        <v>0.2</v>
      </c>
      <c r="Q15" s="434">
        <v>0.15</v>
      </c>
      <c r="R15" s="582"/>
      <c r="S15" s="411"/>
    </row>
    <row r="16" spans="1:20" x14ac:dyDescent="0.2">
      <c r="A16" s="415"/>
      <c r="B16" s="428"/>
      <c r="C16" s="424"/>
      <c r="D16" s="461"/>
      <c r="E16" s="424"/>
      <c r="F16" s="593">
        <f>1-SUM(F13:F15)</f>
        <v>0.5</v>
      </c>
      <c r="G16" s="594" t="s">
        <v>236</v>
      </c>
      <c r="H16" s="436"/>
      <c r="I16" s="436"/>
      <c r="J16" s="436"/>
      <c r="K16" s="436"/>
      <c r="L16" s="436"/>
      <c r="M16" s="436"/>
      <c r="N16" s="436"/>
      <c r="O16" s="436"/>
      <c r="P16" s="436"/>
      <c r="Q16" s="436"/>
      <c r="R16" s="582"/>
      <c r="S16" s="407"/>
    </row>
    <row r="17" spans="1:18" x14ac:dyDescent="0.2">
      <c r="A17" s="417" t="s">
        <v>284</v>
      </c>
      <c r="B17" s="429" t="s">
        <v>205</v>
      </c>
      <c r="C17" s="429"/>
      <c r="D17" s="458">
        <f>計算シート!AI214/20</f>
        <v>495000000</v>
      </c>
      <c r="E17" s="429" t="s">
        <v>238</v>
      </c>
      <c r="F17" s="553">
        <v>1</v>
      </c>
      <c r="G17" s="554" t="s">
        <v>1125</v>
      </c>
      <c r="H17" s="434">
        <f>IFERROR(VLOOKUP($G17,波及効果シート!$A$4:$Z$45,2,FALSE),0)</f>
        <v>8.847880364724782E-2</v>
      </c>
      <c r="I17" s="434">
        <f>IFERROR(VLOOKUP($G17,波及効果シート!$A$4:$Z$45,3,FALSE),0)</f>
        <v>2.2255942349392748E-2</v>
      </c>
      <c r="J17" s="434">
        <f>IFERROR(VLOOKUP($G17,波及効果シート!$A$4:$Z$45,4,FALSE),0)</f>
        <v>1.0713875418313399E-2</v>
      </c>
      <c r="K17" s="434">
        <f>IFERROR(VLOOKUP($G17,波及効果シート!$A$4:$Z$45,5,FALSE),0)</f>
        <v>5.5556325272973512E-3</v>
      </c>
      <c r="L17" s="434">
        <f>IFERROR(VLOOKUP($G17,波及効果シート!$A$4:$Z$45,6,FALSE),0)</f>
        <v>5.8246400068809323E-2</v>
      </c>
      <c r="M17" s="434">
        <f>IFERROR(VLOOKUP($G17,波及効果シート!$A$4:$Z$45,7,FALSE),0)</f>
        <v>4.4223366961432135E-2</v>
      </c>
      <c r="N17" s="434">
        <f>IFERROR(VLOOKUP($G17,波及効果シート!$A$4:$Z$45,8,FALSE),0)</f>
        <v>1.0957053149275047E-2</v>
      </c>
      <c r="O17" s="434">
        <f>IFERROR(VLOOKUP($G17,波及効果シート!$A$4:$Z$45,9,FALSE),0)</f>
        <v>4.110997606640663E-3</v>
      </c>
      <c r="P17" s="434">
        <v>0.2</v>
      </c>
      <c r="Q17" s="434">
        <v>0.15</v>
      </c>
      <c r="R17" s="582"/>
    </row>
    <row r="18" spans="1:18" x14ac:dyDescent="0.2">
      <c r="A18" s="417"/>
      <c r="B18" s="410"/>
      <c r="C18" s="410"/>
      <c r="D18" s="558"/>
      <c r="E18" s="414"/>
      <c r="F18" s="555">
        <f>インプット!$H$73</f>
        <v>0</v>
      </c>
      <c r="G18" s="554">
        <f>インプット!$I$73</f>
        <v>0</v>
      </c>
      <c r="H18" s="434">
        <f>IFERROR(VLOOKUP($G18,波及効果シート!$A$4:$Z$45,2,FALSE),0)</f>
        <v>0</v>
      </c>
      <c r="I18" s="434">
        <f>IFERROR(VLOOKUP($G18,波及効果シート!$A$4:$Z$45,3,FALSE),0)</f>
        <v>0</v>
      </c>
      <c r="J18" s="434">
        <f>IFERROR(VLOOKUP($G18,波及効果シート!$A$4:$Z$45,4,FALSE),0)</f>
        <v>0</v>
      </c>
      <c r="K18" s="434">
        <f>IFERROR(VLOOKUP($G18,波及効果シート!$A$4:$Z$45,5,FALSE),0)</f>
        <v>0</v>
      </c>
      <c r="L18" s="434">
        <f>IFERROR(VLOOKUP($G18,波及効果シート!$A$4:$Z$45,6,FALSE),0)</f>
        <v>0</v>
      </c>
      <c r="M18" s="434">
        <f>IFERROR(VLOOKUP($G18,波及効果シート!$A$4:$Z$45,7,FALSE),0)</f>
        <v>0</v>
      </c>
      <c r="N18" s="434">
        <f>IFERROR(VLOOKUP($G18,波及効果シート!$A$4:$Z$45,8,FALSE),0)</f>
        <v>0</v>
      </c>
      <c r="O18" s="434">
        <f>IFERROR(VLOOKUP($G18,波及効果シート!$A$4:$Z$45,9,FALSE),0)</f>
        <v>0</v>
      </c>
      <c r="P18" s="434">
        <v>0.2</v>
      </c>
      <c r="Q18" s="434">
        <v>0.15</v>
      </c>
      <c r="R18" s="582"/>
    </row>
    <row r="19" spans="1:18" x14ac:dyDescent="0.2">
      <c r="A19" s="417"/>
      <c r="B19" s="442"/>
      <c r="C19" s="410"/>
      <c r="D19" s="456"/>
      <c r="E19" s="410"/>
      <c r="F19" s="555">
        <f>インプット!$J$73</f>
        <v>0</v>
      </c>
      <c r="G19" s="554">
        <f>インプット!$K$73</f>
        <v>0</v>
      </c>
      <c r="H19" s="434">
        <f>IFERROR(VLOOKUP($G19,波及効果シート!$A$4:$Z$45,2,FALSE),0)</f>
        <v>0</v>
      </c>
      <c r="I19" s="434">
        <f>IFERROR(VLOOKUP($G19,波及効果シート!$A$4:$Z$45,3,FALSE),0)</f>
        <v>0</v>
      </c>
      <c r="J19" s="434">
        <f>IFERROR(VLOOKUP($G19,波及効果シート!$A$4:$Z$45,4,FALSE),0)</f>
        <v>0</v>
      </c>
      <c r="K19" s="434">
        <f>IFERROR(VLOOKUP($G19,波及効果シート!$A$4:$Z$45,5,FALSE),0)</f>
        <v>0</v>
      </c>
      <c r="L19" s="434">
        <f>IFERROR(VLOOKUP($G19,波及効果シート!$A$4:$Z$45,6,FALSE),0)</f>
        <v>0</v>
      </c>
      <c r="M19" s="434">
        <f>IFERROR(VLOOKUP($G19,波及効果シート!$A$4:$Z$45,7,FALSE),0)</f>
        <v>0</v>
      </c>
      <c r="N19" s="434">
        <f>IFERROR(VLOOKUP($G19,波及効果シート!$A$4:$Z$45,8,FALSE),0)</f>
        <v>0</v>
      </c>
      <c r="O19" s="434">
        <f>IFERROR(VLOOKUP($G19,波及効果シート!$A$4:$Z$45,9,FALSE),0)</f>
        <v>0</v>
      </c>
      <c r="P19" s="434">
        <v>0.2</v>
      </c>
      <c r="Q19" s="434">
        <v>0.15</v>
      </c>
      <c r="R19" s="582"/>
    </row>
    <row r="20" spans="1:18" x14ac:dyDescent="0.2">
      <c r="A20" s="417"/>
      <c r="B20" s="429"/>
      <c r="C20" s="429"/>
      <c r="D20" s="462"/>
      <c r="E20" s="429"/>
      <c r="F20" s="593">
        <f>1-SUM(F17:F19)</f>
        <v>0</v>
      </c>
      <c r="G20" s="594" t="s">
        <v>236</v>
      </c>
      <c r="H20" s="436"/>
      <c r="I20" s="436"/>
      <c r="J20" s="436"/>
      <c r="K20" s="436"/>
      <c r="L20" s="436"/>
      <c r="M20" s="436"/>
      <c r="N20" s="436"/>
      <c r="O20" s="436"/>
      <c r="P20" s="436"/>
      <c r="Q20" s="436"/>
      <c r="R20" s="582"/>
    </row>
    <row r="21" spans="1:18" x14ac:dyDescent="0.2">
      <c r="A21" s="417"/>
      <c r="B21" s="429" t="str">
        <f>インプット!B59</f>
        <v>ユーティリティー費用</v>
      </c>
      <c r="C21" s="429"/>
      <c r="D21" s="458">
        <f>インプット!E59</f>
        <v>84281810.798385695</v>
      </c>
      <c r="E21" s="429" t="s">
        <v>238</v>
      </c>
      <c r="F21" s="553">
        <f>インプット!$F$59</f>
        <v>0.25</v>
      </c>
      <c r="G21" s="554" t="str">
        <f>インプット!$G$59</f>
        <v>電気業</v>
      </c>
      <c r="H21" s="434">
        <f>IFERROR(VLOOKUP($G21,波及効果シート!$A$4:$Z$45,2,FALSE),0)</f>
        <v>2.9334037090480925E-2</v>
      </c>
      <c r="I21" s="434">
        <f>IFERROR(VLOOKUP($G21,波及効果シート!$A$4:$Z$45,3,FALSE),0)</f>
        <v>2.7192008105341177E-2</v>
      </c>
      <c r="J21" s="434">
        <f>IFERROR(VLOOKUP($G21,波及効果シート!$A$4:$Z$45,4,FALSE),0)</f>
        <v>6.1677437043752021E-3</v>
      </c>
      <c r="K21" s="434">
        <f>IFERROR(VLOOKUP($G21,波及効果シート!$A$4:$Z$45,5,FALSE),0)</f>
        <v>2.1458625752479011E-3</v>
      </c>
      <c r="L21" s="434">
        <f>IFERROR(VLOOKUP($G21,波及効果シート!$A$4:$Z$45,6,FALSE),0)</f>
        <v>0</v>
      </c>
      <c r="M21" s="434">
        <f>IFERROR(VLOOKUP($G21,波及効果シート!$A$4:$Z$45,7,FALSE),0)</f>
        <v>0</v>
      </c>
      <c r="N21" s="434">
        <f>IFERROR(VLOOKUP($G21,波及効果シート!$A$4:$Z$45,8,FALSE),0)</f>
        <v>0</v>
      </c>
      <c r="O21" s="434">
        <f>IFERROR(VLOOKUP($G21,波及効果シート!$A$4:$Z$45,9,FALSE),0)</f>
        <v>0</v>
      </c>
      <c r="P21" s="434">
        <v>0.2</v>
      </c>
      <c r="Q21" s="434">
        <v>0.15</v>
      </c>
      <c r="R21" s="582"/>
    </row>
    <row r="22" spans="1:18" x14ac:dyDescent="0.2">
      <c r="A22" s="417"/>
      <c r="B22" s="410"/>
      <c r="C22" s="410"/>
      <c r="D22" s="558"/>
      <c r="E22" s="410"/>
      <c r="F22" s="555">
        <f>インプット!$H$59</f>
        <v>0.25</v>
      </c>
      <c r="G22" s="554" t="str">
        <f>インプット!$I$59</f>
        <v>ガス・熱供給・水道業</v>
      </c>
      <c r="H22" s="434">
        <f>IFERROR(VLOOKUP($G22,波及効果シート!$A$4:$Z$45,2,FALSE),0)</f>
        <v>4.3686477468694557E-2</v>
      </c>
      <c r="I22" s="434">
        <f>IFERROR(VLOOKUP($G22,波及効果シート!$A$4:$Z$45,3,FALSE),0)</f>
        <v>4.2719094513739245E-2</v>
      </c>
      <c r="J22" s="434">
        <f>IFERROR(VLOOKUP($G22,波及効果シート!$A$4:$Z$45,4,FALSE),0)</f>
        <v>9.4789050670088595E-3</v>
      </c>
      <c r="K22" s="434">
        <f>IFERROR(VLOOKUP($G22,波及効果シート!$A$4:$Z$45,5,FALSE),0)</f>
        <v>3.2298805911062066E-3</v>
      </c>
      <c r="L22" s="434">
        <f>IFERROR(VLOOKUP($G22,波及効果シート!$A$4:$Z$45,6,FALSE),0)</f>
        <v>6.4387960049658147E-2</v>
      </c>
      <c r="M22" s="434">
        <f>IFERROR(VLOOKUP($G22,波及効果シート!$A$4:$Z$45,7,FALSE),0)</f>
        <v>5.2450384821748755E-2</v>
      </c>
      <c r="N22" s="434">
        <f>IFERROR(VLOOKUP($G22,波及効果シート!$A$4:$Z$45,8,FALSE),0)</f>
        <v>1.2582892008689818E-2</v>
      </c>
      <c r="O22" s="434">
        <f>IFERROR(VLOOKUP($G22,波及効果シート!$A$4:$Z$45,9,FALSE),0)</f>
        <v>4.5991427403660684E-3</v>
      </c>
      <c r="P22" s="434">
        <v>0.2</v>
      </c>
      <c r="Q22" s="434">
        <v>0.15</v>
      </c>
      <c r="R22" s="582"/>
    </row>
    <row r="23" spans="1:18" x14ac:dyDescent="0.2">
      <c r="A23" s="417"/>
      <c r="B23" s="442"/>
      <c r="C23" s="410"/>
      <c r="D23" s="456"/>
      <c r="E23" s="410"/>
      <c r="F23" s="555">
        <f>インプット!$J$59</f>
        <v>0</v>
      </c>
      <c r="G23" s="554">
        <f>インプット!$K$59</f>
        <v>0</v>
      </c>
      <c r="H23" s="434">
        <f>IFERROR(VLOOKUP($G23,波及効果シート!$A$4:$Z$45,2,FALSE),0)</f>
        <v>0</v>
      </c>
      <c r="I23" s="434">
        <f>IFERROR(VLOOKUP($G23,波及効果シート!$A$4:$Z$45,3,FALSE),0)</f>
        <v>0</v>
      </c>
      <c r="J23" s="434">
        <f>IFERROR(VLOOKUP($G23,波及効果シート!$A$4:$Z$45,4,FALSE),0)</f>
        <v>0</v>
      </c>
      <c r="K23" s="434">
        <f>IFERROR(VLOOKUP($G23,波及効果シート!$A$4:$Z$45,5,FALSE),0)</f>
        <v>0</v>
      </c>
      <c r="L23" s="434">
        <f>IFERROR(VLOOKUP($G23,波及効果シート!$A$4:$Z$45,6,FALSE),0)</f>
        <v>0</v>
      </c>
      <c r="M23" s="434">
        <f>IFERROR(VLOOKUP($G23,波及効果シート!$A$4:$Z$45,7,FALSE),0)</f>
        <v>0</v>
      </c>
      <c r="N23" s="434">
        <f>IFERROR(VLOOKUP($G23,波及効果シート!$A$4:$Z$45,8,FALSE),0)</f>
        <v>0</v>
      </c>
      <c r="O23" s="434">
        <f>IFERROR(VLOOKUP($G23,波及効果シート!$A$4:$Z$45,9,FALSE),0)</f>
        <v>0</v>
      </c>
      <c r="P23" s="434">
        <v>0.2</v>
      </c>
      <c r="Q23" s="434">
        <v>0.15</v>
      </c>
      <c r="R23" s="582"/>
    </row>
    <row r="24" spans="1:18" x14ac:dyDescent="0.2">
      <c r="A24" s="417"/>
      <c r="B24" s="429"/>
      <c r="C24" s="429"/>
      <c r="D24" s="462"/>
      <c r="E24" s="429"/>
      <c r="F24" s="593">
        <f>1-SUM(F21:F23)</f>
        <v>0.5</v>
      </c>
      <c r="G24" s="594" t="s">
        <v>236</v>
      </c>
      <c r="H24" s="436"/>
      <c r="I24" s="436"/>
      <c r="J24" s="436"/>
      <c r="K24" s="436"/>
      <c r="L24" s="436"/>
      <c r="M24" s="436"/>
      <c r="N24" s="436"/>
      <c r="O24" s="436"/>
      <c r="P24" s="436"/>
      <c r="Q24" s="436"/>
      <c r="R24" s="582"/>
    </row>
    <row r="25" spans="1:18" x14ac:dyDescent="0.2">
      <c r="A25" s="417"/>
      <c r="B25" s="429" t="str">
        <f>インプット!B60</f>
        <v>灰処理費用</v>
      </c>
      <c r="C25" s="429"/>
      <c r="D25" s="458">
        <f>インプット!E60</f>
        <v>60201293.427418359</v>
      </c>
      <c r="E25" s="429" t="s">
        <v>238</v>
      </c>
      <c r="F25" s="553">
        <f>インプット!$F$60</f>
        <v>0.5</v>
      </c>
      <c r="G25" s="554" t="str">
        <f>インプット!$G$60</f>
        <v>その他のサービス業</v>
      </c>
      <c r="H25" s="434">
        <f>IFERROR(VLOOKUP($G25,波及効果シート!$A$4:$Z$45,2,FALSE),0)</f>
        <v>0.20166052843343305</v>
      </c>
      <c r="I25" s="434">
        <f>IFERROR(VLOOKUP($G25,波及効果シート!$A$4:$Z$45,3,FALSE),0)</f>
        <v>4.612588765638799E-2</v>
      </c>
      <c r="J25" s="434">
        <f>IFERROR(VLOOKUP($G25,波及効果シート!$A$4:$Z$45,4,FALSE),0)</f>
        <v>2.3811774767967815E-2</v>
      </c>
      <c r="K25" s="434">
        <f>IFERROR(VLOOKUP($G25,波及効果シート!$A$4:$Z$45,5,FALSE),0)</f>
        <v>1.2591808597441049E-2</v>
      </c>
      <c r="L25" s="434">
        <f>IFERROR(VLOOKUP($G25,波及効果シート!$A$4:$Z$45,6,FALSE),0)</f>
        <v>7.5526612996935638E-2</v>
      </c>
      <c r="M25" s="434">
        <f>IFERROR(VLOOKUP($G25,波及効果シート!$A$4:$Z$45,7,FALSE),0)</f>
        <v>4.3493189243735693E-2</v>
      </c>
      <c r="N25" s="434">
        <f>IFERROR(VLOOKUP($G25,波及効果シート!$A$4:$Z$45,8,FALSE),0)</f>
        <v>1.2379281475763681E-2</v>
      </c>
      <c r="O25" s="434">
        <f>IFERROR(VLOOKUP($G25,波及効果シート!$A$4:$Z$45,9,FALSE),0)</f>
        <v>5.1181462993241979E-3</v>
      </c>
      <c r="P25" s="434">
        <v>0.2</v>
      </c>
      <c r="Q25" s="434">
        <v>0.15</v>
      </c>
      <c r="R25" s="582"/>
    </row>
    <row r="26" spans="1:18" x14ac:dyDescent="0.2">
      <c r="A26" s="417"/>
      <c r="B26" s="410"/>
      <c r="C26" s="410"/>
      <c r="D26" s="558"/>
      <c r="E26" s="410"/>
      <c r="F26" s="555">
        <f>インプット!$H$60</f>
        <v>0</v>
      </c>
      <c r="G26" s="554">
        <f>インプット!$I$60</f>
        <v>0</v>
      </c>
      <c r="H26" s="434">
        <f>IFERROR(VLOOKUP($G26,波及効果シート!$A$4:$Z$45,2,FALSE),0)</f>
        <v>0</v>
      </c>
      <c r="I26" s="434">
        <f>IFERROR(VLOOKUP($G26,波及効果シート!$A$4:$Z$45,3,FALSE),0)</f>
        <v>0</v>
      </c>
      <c r="J26" s="434">
        <f>IFERROR(VLOOKUP($G26,波及効果シート!$A$4:$Z$45,4,FALSE),0)</f>
        <v>0</v>
      </c>
      <c r="K26" s="434">
        <f>IFERROR(VLOOKUP($G26,波及効果シート!$A$4:$Z$45,5,FALSE),0)</f>
        <v>0</v>
      </c>
      <c r="L26" s="434">
        <f>IFERROR(VLOOKUP($G26,波及効果シート!$A$4:$Z$45,6,FALSE),0)</f>
        <v>0</v>
      </c>
      <c r="M26" s="434">
        <f>IFERROR(VLOOKUP($G26,波及効果シート!$A$4:$Z$45,7,FALSE),0)</f>
        <v>0</v>
      </c>
      <c r="N26" s="434">
        <f>IFERROR(VLOOKUP($G26,波及効果シート!$A$4:$Z$45,8,FALSE),0)</f>
        <v>0</v>
      </c>
      <c r="O26" s="434">
        <f>IFERROR(VLOOKUP($G26,波及効果シート!$A$4:$Z$45,9,FALSE),0)</f>
        <v>0</v>
      </c>
      <c r="P26" s="434">
        <v>0.2</v>
      </c>
      <c r="Q26" s="434">
        <v>0.15</v>
      </c>
      <c r="R26" s="582"/>
    </row>
    <row r="27" spans="1:18" x14ac:dyDescent="0.2">
      <c r="A27" s="417"/>
      <c r="B27" s="442"/>
      <c r="C27" s="410"/>
      <c r="D27" s="456"/>
      <c r="E27" s="410"/>
      <c r="F27" s="555">
        <f>インプット!$J$60</f>
        <v>0</v>
      </c>
      <c r="G27" s="554">
        <f>インプット!$K$60</f>
        <v>0</v>
      </c>
      <c r="H27" s="434">
        <f>IFERROR(VLOOKUP($G27,波及効果シート!$A$4:$Z$45,2,FALSE),0)</f>
        <v>0</v>
      </c>
      <c r="I27" s="434">
        <f>IFERROR(VLOOKUP($G27,波及効果シート!$A$4:$Z$45,3,FALSE),0)</f>
        <v>0</v>
      </c>
      <c r="J27" s="434">
        <f>IFERROR(VLOOKUP($G27,波及効果シート!$A$4:$Z$45,4,FALSE),0)</f>
        <v>0</v>
      </c>
      <c r="K27" s="434">
        <f>IFERROR(VLOOKUP($G27,波及効果シート!$A$4:$Z$45,5,FALSE),0)</f>
        <v>0</v>
      </c>
      <c r="L27" s="434">
        <f>IFERROR(VLOOKUP($G27,波及効果シート!$A$4:$Z$45,6,FALSE),0)</f>
        <v>0</v>
      </c>
      <c r="M27" s="434">
        <f>IFERROR(VLOOKUP($G27,波及効果シート!$A$4:$Z$45,7,FALSE),0)</f>
        <v>0</v>
      </c>
      <c r="N27" s="434">
        <f>IFERROR(VLOOKUP($G27,波及効果シート!$A$4:$Z$45,8,FALSE),0)</f>
        <v>0</v>
      </c>
      <c r="O27" s="434">
        <f>IFERROR(VLOOKUP($G27,波及効果シート!$A$4:$Z$45,9,FALSE),0)</f>
        <v>0</v>
      </c>
      <c r="P27" s="434">
        <v>0.2</v>
      </c>
      <c r="Q27" s="434">
        <v>0.15</v>
      </c>
      <c r="R27" s="582"/>
    </row>
    <row r="28" spans="1:18" x14ac:dyDescent="0.2">
      <c r="A28" s="417"/>
      <c r="B28" s="429"/>
      <c r="C28" s="429"/>
      <c r="D28" s="462"/>
      <c r="E28" s="429"/>
      <c r="F28" s="593">
        <f>1-SUM(F25:F27)</f>
        <v>0.5</v>
      </c>
      <c r="G28" s="594" t="s">
        <v>236</v>
      </c>
      <c r="H28" s="436"/>
      <c r="I28" s="436"/>
      <c r="J28" s="436"/>
      <c r="K28" s="436"/>
      <c r="L28" s="436"/>
      <c r="M28" s="436"/>
      <c r="N28" s="436"/>
      <c r="O28" s="436"/>
      <c r="P28" s="436"/>
      <c r="Q28" s="436"/>
      <c r="R28" s="582"/>
    </row>
    <row r="29" spans="1:18" x14ac:dyDescent="0.2">
      <c r="A29" s="417" t="s">
        <v>492</v>
      </c>
      <c r="B29" s="429" t="s">
        <v>367</v>
      </c>
      <c r="C29" s="429"/>
      <c r="D29" s="458">
        <f>インプット!E66</f>
        <v>72241552.11290203</v>
      </c>
      <c r="E29" s="429" t="s">
        <v>238</v>
      </c>
      <c r="F29" s="553">
        <f>インプット!F66</f>
        <v>1</v>
      </c>
      <c r="G29" s="556" t="s">
        <v>493</v>
      </c>
      <c r="H29" s="434">
        <f>IFERROR(VLOOKUP($G29,波及効果シート!$A$4:$Z$45,2,FALSE),0)</f>
        <v>0</v>
      </c>
      <c r="I29" s="434">
        <f>IFERROR(VLOOKUP($G29,波及効果シート!$A$4:$Z$45,3,FALSE),0)</f>
        <v>0</v>
      </c>
      <c r="J29" s="434">
        <f>IFERROR(VLOOKUP($G29,波及効果シート!$A$4:$Z$45,4,FALSE),0)</f>
        <v>0</v>
      </c>
      <c r="K29" s="434">
        <f>IFERROR(VLOOKUP($G29,波及効果シート!$A$4:$Z$45,5,FALSE),0)</f>
        <v>0</v>
      </c>
      <c r="L29" s="434">
        <f>IFERROR(VLOOKUP($G29,波及効果シート!$A$4:$Z$45,6,FALSE),0)</f>
        <v>0</v>
      </c>
      <c r="M29" s="434">
        <f>IFERROR(VLOOKUP($G29,波及効果シート!$A$4:$Z$45,7,FALSE),0)</f>
        <v>0</v>
      </c>
      <c r="N29" s="434">
        <f>IFERROR(VLOOKUP($G29,波及効果シート!$A$4:$Z$45,8,FALSE),0)</f>
        <v>0</v>
      </c>
      <c r="O29" s="434">
        <f>IFERROR(VLOOKUP($G29,波及効果シート!$A$4:$Z$45,9,FALSE),0)</f>
        <v>0</v>
      </c>
      <c r="P29" s="434">
        <v>0.2</v>
      </c>
      <c r="Q29" s="434">
        <v>0.15</v>
      </c>
      <c r="R29" s="582"/>
    </row>
    <row r="30" spans="1:18" x14ac:dyDescent="0.2">
      <c r="A30" s="417"/>
      <c r="B30" s="410"/>
      <c r="C30" s="410"/>
      <c r="D30" s="558"/>
      <c r="E30" s="410"/>
      <c r="F30" s="696"/>
      <c r="G30" s="697"/>
      <c r="H30" s="434">
        <f>IFERROR(VLOOKUP($G30,波及効果シート!$A$4:$Z$45,2,FALSE),0)</f>
        <v>0</v>
      </c>
      <c r="I30" s="434">
        <f>IFERROR(VLOOKUP($G30,波及効果シート!$A$4:$Z$45,3,FALSE),0)</f>
        <v>0</v>
      </c>
      <c r="J30" s="434">
        <f>IFERROR(VLOOKUP($G30,波及効果シート!$A$4:$Z$45,4,FALSE),0)</f>
        <v>0</v>
      </c>
      <c r="K30" s="434">
        <f>IFERROR(VLOOKUP($G30,波及効果シート!$A$4:$Z$45,5,FALSE),0)</f>
        <v>0</v>
      </c>
      <c r="L30" s="434">
        <f>IFERROR(VLOOKUP($G30,波及効果シート!$A$4:$Z$45,6,FALSE),0)</f>
        <v>0</v>
      </c>
      <c r="M30" s="434">
        <f>IFERROR(VLOOKUP($G30,波及効果シート!$A$4:$Z$45,7,FALSE),0)</f>
        <v>0</v>
      </c>
      <c r="N30" s="434">
        <f>IFERROR(VLOOKUP($G30,波及効果シート!$A$4:$Z$45,8,FALSE),0)</f>
        <v>0</v>
      </c>
      <c r="O30" s="434">
        <f>IFERROR(VLOOKUP($G30,波及効果シート!$A$4:$Z$45,9,FALSE),0)</f>
        <v>0</v>
      </c>
      <c r="P30" s="434">
        <v>0.2</v>
      </c>
      <c r="Q30" s="434">
        <v>0.15</v>
      </c>
      <c r="R30" s="582"/>
    </row>
    <row r="31" spans="1:18" x14ac:dyDescent="0.2">
      <c r="A31" s="417"/>
      <c r="B31" s="442"/>
      <c r="C31" s="410"/>
      <c r="D31" s="456"/>
      <c r="E31" s="410"/>
      <c r="F31" s="696"/>
      <c r="G31" s="697"/>
      <c r="H31" s="434">
        <f>IFERROR(VLOOKUP($G31,波及効果シート!$A$4:$Z$45,2,FALSE),0)</f>
        <v>0</v>
      </c>
      <c r="I31" s="434">
        <f>IFERROR(VLOOKUP($G31,波及効果シート!$A$4:$Z$45,3,FALSE),0)</f>
        <v>0</v>
      </c>
      <c r="J31" s="434">
        <f>IFERROR(VLOOKUP($G31,波及効果シート!$A$4:$Z$45,4,FALSE),0)</f>
        <v>0</v>
      </c>
      <c r="K31" s="434">
        <f>IFERROR(VLOOKUP($G31,波及効果シート!$A$4:$Z$45,5,FALSE),0)</f>
        <v>0</v>
      </c>
      <c r="L31" s="434">
        <f>IFERROR(VLOOKUP($G31,波及効果シート!$A$4:$Z$45,6,FALSE),0)</f>
        <v>0</v>
      </c>
      <c r="M31" s="434">
        <f>IFERROR(VLOOKUP($G31,波及効果シート!$A$4:$Z$45,7,FALSE),0)</f>
        <v>0</v>
      </c>
      <c r="N31" s="434">
        <f>IFERROR(VLOOKUP($G31,波及効果シート!$A$4:$Z$45,8,FALSE),0)</f>
        <v>0</v>
      </c>
      <c r="O31" s="434">
        <f>IFERROR(VLOOKUP($G31,波及効果シート!$A$4:$Z$45,9,FALSE),0)</f>
        <v>0</v>
      </c>
      <c r="P31" s="434">
        <v>0.2</v>
      </c>
      <c r="Q31" s="434">
        <v>0.15</v>
      </c>
      <c r="R31" s="582"/>
    </row>
    <row r="32" spans="1:18" x14ac:dyDescent="0.2">
      <c r="A32" s="417"/>
      <c r="B32" s="429"/>
      <c r="C32" s="429"/>
      <c r="D32" s="462"/>
      <c r="E32" s="429"/>
      <c r="F32" s="698"/>
      <c r="G32" s="699"/>
      <c r="H32" s="436"/>
      <c r="I32" s="436"/>
      <c r="J32" s="436"/>
      <c r="K32" s="436"/>
      <c r="L32" s="436"/>
      <c r="M32" s="436"/>
      <c r="N32" s="436"/>
      <c r="O32" s="436"/>
      <c r="P32" s="436"/>
      <c r="Q32" s="436"/>
      <c r="R32" s="582"/>
    </row>
    <row r="33" spans="1:18" x14ac:dyDescent="0.2">
      <c r="A33" s="417"/>
      <c r="B33" s="429" t="str">
        <f>インプット!B67</f>
        <v>メンテナンス費</v>
      </c>
      <c r="C33" s="429"/>
      <c r="D33" s="458">
        <f>インプット!E67</f>
        <v>258880890.86578479</v>
      </c>
      <c r="E33" s="429" t="s">
        <v>238</v>
      </c>
      <c r="F33" s="553">
        <f>インプット!$F$67</f>
        <v>0.5</v>
      </c>
      <c r="G33" s="554" t="str">
        <f>インプット!$G$67</f>
        <v>その他のサービス業</v>
      </c>
      <c r="H33" s="434">
        <f>IFERROR(VLOOKUP($G33,波及効果シート!$A$4:$Z$45,2,FALSE),0)</f>
        <v>0.20166052843343305</v>
      </c>
      <c r="I33" s="434">
        <f>IFERROR(VLOOKUP($G33,波及効果シート!$A$4:$Z$45,3,FALSE),0)</f>
        <v>4.612588765638799E-2</v>
      </c>
      <c r="J33" s="434">
        <f>IFERROR(VLOOKUP($G33,波及効果シート!$A$4:$Z$45,4,FALSE),0)</f>
        <v>2.3811774767967815E-2</v>
      </c>
      <c r="K33" s="434">
        <f>IFERROR(VLOOKUP($G33,波及効果シート!$A$4:$Z$45,5,FALSE),0)</f>
        <v>1.2591808597441049E-2</v>
      </c>
      <c r="L33" s="434">
        <f>IFERROR(VLOOKUP($G33,波及効果シート!$A$4:$Z$45,6,FALSE),0)</f>
        <v>7.5526612996935638E-2</v>
      </c>
      <c r="M33" s="434">
        <f>IFERROR(VLOOKUP($G33,波及効果シート!$A$4:$Z$45,7,FALSE),0)</f>
        <v>4.3493189243735693E-2</v>
      </c>
      <c r="N33" s="434">
        <f>IFERROR(VLOOKUP($G33,波及効果シート!$A$4:$Z$45,8,FALSE),0)</f>
        <v>1.2379281475763681E-2</v>
      </c>
      <c r="O33" s="434">
        <f>IFERROR(VLOOKUP($G33,波及効果シート!$A$4:$Z$45,9,FALSE),0)</f>
        <v>5.1181462993241979E-3</v>
      </c>
      <c r="P33" s="434">
        <v>0.2</v>
      </c>
      <c r="Q33" s="434">
        <v>0.15</v>
      </c>
      <c r="R33" s="582"/>
    </row>
    <row r="34" spans="1:18" x14ac:dyDescent="0.2">
      <c r="A34" s="417"/>
      <c r="B34" s="410"/>
      <c r="C34" s="410"/>
      <c r="D34" s="558"/>
      <c r="E34" s="410"/>
      <c r="F34" s="555">
        <f>インプット!$H$67</f>
        <v>0</v>
      </c>
      <c r="G34" s="554">
        <f>インプット!$I$67</f>
        <v>0</v>
      </c>
      <c r="H34" s="434">
        <f>IFERROR(VLOOKUP($G34,波及効果シート!$A$4:$Z$45,2,FALSE),0)</f>
        <v>0</v>
      </c>
      <c r="I34" s="434">
        <f>IFERROR(VLOOKUP($G34,波及効果シート!$A$4:$Z$45,3,FALSE),0)</f>
        <v>0</v>
      </c>
      <c r="J34" s="434">
        <f>IFERROR(VLOOKUP($G34,波及効果シート!$A$4:$Z$45,4,FALSE),0)</f>
        <v>0</v>
      </c>
      <c r="K34" s="434">
        <f>IFERROR(VLOOKUP($G34,波及効果シート!$A$4:$Z$45,5,FALSE),0)</f>
        <v>0</v>
      </c>
      <c r="L34" s="434">
        <f>IFERROR(VLOOKUP($G34,波及効果シート!$A$4:$Z$45,6,FALSE),0)</f>
        <v>0</v>
      </c>
      <c r="M34" s="434">
        <f>IFERROR(VLOOKUP($G34,波及効果シート!$A$4:$Z$45,7,FALSE),0)</f>
        <v>0</v>
      </c>
      <c r="N34" s="434">
        <f>IFERROR(VLOOKUP($G34,波及効果シート!$A$4:$Z$45,8,FALSE),0)</f>
        <v>0</v>
      </c>
      <c r="O34" s="434">
        <f>IFERROR(VLOOKUP($G34,波及効果シート!$A$4:$Z$45,9,FALSE),0)</f>
        <v>0</v>
      </c>
      <c r="P34" s="434">
        <v>0.2</v>
      </c>
      <c r="Q34" s="434">
        <v>0.15</v>
      </c>
      <c r="R34" s="582"/>
    </row>
    <row r="35" spans="1:18" x14ac:dyDescent="0.2">
      <c r="A35" s="417"/>
      <c r="B35" s="595"/>
      <c r="C35" s="410"/>
      <c r="D35" s="456"/>
      <c r="E35" s="410"/>
      <c r="F35" s="555">
        <f>インプット!$J$67</f>
        <v>0</v>
      </c>
      <c r="G35" s="554">
        <f>インプット!$K$67</f>
        <v>0</v>
      </c>
      <c r="H35" s="434">
        <f>IFERROR(VLOOKUP($G35,波及効果シート!$A$4:$Z$45,2,FALSE),0)</f>
        <v>0</v>
      </c>
      <c r="I35" s="434">
        <f>IFERROR(VLOOKUP($G35,波及効果シート!$A$4:$Z$45,3,FALSE),0)</f>
        <v>0</v>
      </c>
      <c r="J35" s="434">
        <f>IFERROR(VLOOKUP($G35,波及効果シート!$A$4:$Z$45,4,FALSE),0)</f>
        <v>0</v>
      </c>
      <c r="K35" s="434">
        <f>IFERROR(VLOOKUP($G35,波及効果シート!$A$4:$Z$45,5,FALSE),0)</f>
        <v>0</v>
      </c>
      <c r="L35" s="434">
        <f>IFERROR(VLOOKUP($G35,波及効果シート!$A$4:$Z$45,6,FALSE),0)</f>
        <v>0</v>
      </c>
      <c r="M35" s="434">
        <f>IFERROR(VLOOKUP($G35,波及効果シート!$A$4:$Z$45,7,FALSE),0)</f>
        <v>0</v>
      </c>
      <c r="N35" s="434">
        <f>IFERROR(VLOOKUP($G35,波及効果シート!$A$4:$Z$45,8,FALSE),0)</f>
        <v>0</v>
      </c>
      <c r="O35" s="434">
        <f>IFERROR(VLOOKUP($G35,波及効果シート!$A$4:$Z$45,9,FALSE),0)</f>
        <v>0</v>
      </c>
      <c r="P35" s="434">
        <v>0.2</v>
      </c>
      <c r="Q35" s="434">
        <v>0.15</v>
      </c>
      <c r="R35" s="582"/>
    </row>
    <row r="36" spans="1:18" x14ac:dyDescent="0.2">
      <c r="A36" s="417"/>
      <c r="B36" s="429"/>
      <c r="C36" s="429"/>
      <c r="D36" s="462"/>
      <c r="E36" s="429"/>
      <c r="F36" s="593">
        <f>1-SUM(F33:F35)</f>
        <v>0.5</v>
      </c>
      <c r="G36" s="594" t="s">
        <v>236</v>
      </c>
      <c r="H36" s="436"/>
      <c r="I36" s="436"/>
      <c r="J36" s="436"/>
      <c r="K36" s="436"/>
      <c r="L36" s="436"/>
      <c r="M36" s="436"/>
      <c r="N36" s="436"/>
      <c r="O36" s="436"/>
      <c r="P36" s="436"/>
      <c r="Q36" s="436"/>
      <c r="R36" s="582"/>
    </row>
    <row r="37" spans="1:18" x14ac:dyDescent="0.2">
      <c r="A37" s="417"/>
      <c r="B37" s="429" t="str">
        <f>インプット!B68</f>
        <v>一般管理費</v>
      </c>
      <c r="C37" s="429"/>
      <c r="D37" s="458">
        <f>インプット!E68</f>
        <v>24080517.37096734</v>
      </c>
      <c r="E37" s="429" t="s">
        <v>238</v>
      </c>
      <c r="F37" s="553">
        <f>インプット!$F$68</f>
        <v>0.16666666666666666</v>
      </c>
      <c r="G37" s="554" t="str">
        <f>インプット!$G$68</f>
        <v>情報通信業</v>
      </c>
      <c r="H37" s="434">
        <f>IFERROR(VLOOKUP($G37,波及効果シート!$A$4:$Z$45,2,FALSE),0)</f>
        <v>0.11377968834970313</v>
      </c>
      <c r="I37" s="434">
        <f>IFERROR(VLOOKUP($G37,波及効果シート!$A$4:$Z$45,3,FALSE),0)</f>
        <v>7.2004843609441427E-2</v>
      </c>
      <c r="J37" s="434">
        <f>IFERROR(VLOOKUP($G37,波及効果シート!$A$4:$Z$45,4,FALSE),0)</f>
        <v>1.9505065869069527E-2</v>
      </c>
      <c r="K37" s="434">
        <f>IFERROR(VLOOKUP($G37,波及効果シート!$A$4:$Z$45,5,FALSE),0)</f>
        <v>7.8098671521897181E-3</v>
      </c>
      <c r="L37" s="434">
        <f>IFERROR(VLOOKUP($G37,波及効果シート!$A$4:$Z$45,6,FALSE),0)</f>
        <v>0</v>
      </c>
      <c r="M37" s="434">
        <f>IFERROR(VLOOKUP($G37,波及効果シート!$A$4:$Z$45,7,FALSE),0)</f>
        <v>0</v>
      </c>
      <c r="N37" s="434">
        <f>IFERROR(VLOOKUP($G37,波及効果シート!$A$4:$Z$45,8,FALSE),0)</f>
        <v>0</v>
      </c>
      <c r="O37" s="434">
        <f>IFERROR(VLOOKUP($G37,波及効果シート!$A$4:$Z$45,9,FALSE),0)</f>
        <v>0</v>
      </c>
      <c r="P37" s="434">
        <v>0.2</v>
      </c>
      <c r="Q37" s="434">
        <v>0.15</v>
      </c>
      <c r="R37" s="582"/>
    </row>
    <row r="38" spans="1:18" x14ac:dyDescent="0.2">
      <c r="A38" s="417"/>
      <c r="B38" s="410"/>
      <c r="C38" s="410"/>
      <c r="D38" s="558"/>
      <c r="E38" s="410"/>
      <c r="F38" s="555">
        <f>インプット!$H$68</f>
        <v>0.16666666666666666</v>
      </c>
      <c r="G38" s="554" t="str">
        <f>インプット!$I$68</f>
        <v>損害保険業</v>
      </c>
      <c r="H38" s="434">
        <f>IFERROR(VLOOKUP($G38,波及効果シート!$A$4:$Z$45,2,FALSE),0)</f>
        <v>4.9150236897309768E-2</v>
      </c>
      <c r="I38" s="434">
        <f>IFERROR(VLOOKUP($G38,波及効果シート!$A$4:$Z$45,3,FALSE),0)</f>
        <v>5.3618517079342641E-2</v>
      </c>
      <c r="J38" s="434">
        <f>IFERROR(VLOOKUP($G38,波及効果シート!$A$4:$Z$45,4,FALSE),0)</f>
        <v>1.1397979652954235E-2</v>
      </c>
      <c r="K38" s="434">
        <f>IFERROR(VLOOKUP($G38,波及効果シート!$A$4:$Z$45,5,FALSE),0)</f>
        <v>3.7190800291901178E-3</v>
      </c>
      <c r="L38" s="434">
        <f>IFERROR(VLOOKUP($G38,波及効果シート!$A$4:$Z$45,6,FALSE),0)</f>
        <v>4.1839375741372815E-2</v>
      </c>
      <c r="M38" s="434">
        <f>IFERROR(VLOOKUP($G38,波及効果シート!$A$4:$Z$45,7,FALSE),0)</f>
        <v>4.9287993801380846E-2</v>
      </c>
      <c r="N38" s="434">
        <f>IFERROR(VLOOKUP($G38,波及効果シート!$A$4:$Z$45,8,FALSE),0)</f>
        <v>1.0183782788526033E-2</v>
      </c>
      <c r="O38" s="434">
        <f>IFERROR(VLOOKUP($G38,波及効果シート!$A$4:$Z$45,9,FALSE),0)</f>
        <v>3.2218034179981453E-3</v>
      </c>
      <c r="P38" s="434">
        <v>0.2</v>
      </c>
      <c r="Q38" s="434">
        <v>0.15</v>
      </c>
      <c r="R38" s="582"/>
    </row>
    <row r="39" spans="1:18" x14ac:dyDescent="0.2">
      <c r="A39" s="417"/>
      <c r="B39" s="595"/>
      <c r="C39" s="410"/>
      <c r="D39" s="456"/>
      <c r="E39" s="410"/>
      <c r="F39" s="555">
        <f>インプット!$J$68</f>
        <v>0.16666666666666666</v>
      </c>
      <c r="G39" s="554" t="str">
        <f>インプット!$K$68</f>
        <v>不動産業</v>
      </c>
      <c r="H39" s="434">
        <f>IFERROR(VLOOKUP($G39,波及効果シート!$A$4:$Z$45,2,FALSE),0)</f>
        <v>7.9167875839825722E-2</v>
      </c>
      <c r="I39" s="434">
        <f>IFERROR(VLOOKUP($G39,波及効果シート!$A$4:$Z$45,3,FALSE),0)</f>
        <v>9.6499375705720467E-2</v>
      </c>
      <c r="J39" s="434">
        <f>IFERROR(VLOOKUP($G39,波及効果シート!$A$4:$Z$45,4,FALSE),0)</f>
        <v>1.9696991961051687E-2</v>
      </c>
      <c r="K39" s="434">
        <f>IFERROR(VLOOKUP($G39,波及効果シート!$A$4:$Z$45,5,FALSE),0)</f>
        <v>6.1459157879250855E-3</v>
      </c>
      <c r="L39" s="434">
        <f>IFERROR(VLOOKUP($G39,波及効果シート!$A$4:$Z$45,6,FALSE),0)</f>
        <v>6.0185340312548186E-2</v>
      </c>
      <c r="M39" s="434">
        <f>IFERROR(VLOOKUP($G39,波及効果シート!$A$4:$Z$45,7,FALSE),0)</f>
        <v>3.7214410751098125E-2</v>
      </c>
      <c r="N39" s="434">
        <f>IFERROR(VLOOKUP($G39,波及効果シート!$A$4:$Z$45,8,FALSE),0)</f>
        <v>1.0202151488705905E-2</v>
      </c>
      <c r="O39" s="434">
        <f>IFERROR(VLOOKUP($G39,波及効果シート!$A$4:$Z$45,9,FALSE),0)</f>
        <v>4.117735923069671E-3</v>
      </c>
      <c r="P39" s="434">
        <v>0.2</v>
      </c>
      <c r="Q39" s="434">
        <v>0.15</v>
      </c>
      <c r="R39" s="582"/>
    </row>
    <row r="40" spans="1:18" x14ac:dyDescent="0.2">
      <c r="A40" s="417"/>
      <c r="B40" s="429"/>
      <c r="C40" s="429"/>
      <c r="D40" s="462"/>
      <c r="E40" s="429"/>
      <c r="F40" s="593">
        <f>1-SUM(F37:F39)</f>
        <v>0.5</v>
      </c>
      <c r="G40" s="594" t="s">
        <v>236</v>
      </c>
      <c r="H40" s="436"/>
      <c r="I40" s="436"/>
      <c r="J40" s="436"/>
      <c r="K40" s="436"/>
      <c r="L40" s="436"/>
      <c r="M40" s="436"/>
      <c r="N40" s="436"/>
      <c r="O40" s="436"/>
      <c r="P40" s="436"/>
      <c r="Q40" s="436"/>
      <c r="R40" s="582"/>
    </row>
    <row r="41" spans="1:18" x14ac:dyDescent="0.2">
      <c r="A41" s="418" t="s">
        <v>206</v>
      </c>
      <c r="B41" s="429" t="s">
        <v>207</v>
      </c>
      <c r="C41" s="429"/>
      <c r="D41" s="559" t="s">
        <v>267</v>
      </c>
      <c r="E41" s="429" t="s">
        <v>238</v>
      </c>
      <c r="F41" s="553">
        <f>IFERROR(入門編_計算シート!L61/(入門編_計算シート!L61+入門編_計算シート!L64),0)</f>
        <v>0</v>
      </c>
      <c r="G41" s="554" t="s">
        <v>866</v>
      </c>
      <c r="H41" s="434">
        <f>IFERROR(VLOOKUP($G41,波及効果シート!$A$4:$Z$45,2,FALSE),0)</f>
        <v>0.10067253448714489</v>
      </c>
      <c r="I41" s="434">
        <f>IFERROR(VLOOKUP($G41,波及効果シート!$A$4:$Z$45,3,FALSE),0)</f>
        <v>0.14928294292181132</v>
      </c>
      <c r="J41" s="434">
        <f>IFERROR(VLOOKUP($G41,波及効果シート!$A$4:$Z$45,4,FALSE),0)</f>
        <v>2.855518845328571E-2</v>
      </c>
      <c r="K41" s="434">
        <f>IFERROR(VLOOKUP($G41,波及効果シート!$A$4:$Z$45,5,FALSE),0)</f>
        <v>8.2229884774487685E-3</v>
      </c>
      <c r="L41" s="434">
        <f>IFERROR(VLOOKUP($G41,波及効果シート!$A$4:$Z$45,6,FALSE),0)</f>
        <v>1.4252051374319556E-2</v>
      </c>
      <c r="M41" s="434">
        <f>IFERROR(VLOOKUP($G41,波及効果シート!$A$4:$Z$45,7,FALSE),0)</f>
        <v>1.7059018446566522E-2</v>
      </c>
      <c r="N41" s="434">
        <f>IFERROR(VLOOKUP($G41,波及効果シート!$A$4:$Z$45,8,FALSE),0)</f>
        <v>3.5045797445338628E-3</v>
      </c>
      <c r="O41" s="434">
        <f>IFERROR(VLOOKUP($G41,波及効果シート!$A$4:$Z$45,9,FALSE),0)</f>
        <v>1.101603767296744E-3</v>
      </c>
      <c r="P41" s="434">
        <v>0.2</v>
      </c>
      <c r="Q41" s="434">
        <v>0.15</v>
      </c>
      <c r="R41" s="582"/>
    </row>
    <row r="42" spans="1:18" x14ac:dyDescent="0.2">
      <c r="A42" s="418"/>
      <c r="B42" s="410"/>
      <c r="C42" s="410"/>
      <c r="D42" s="459"/>
      <c r="E42" s="410"/>
      <c r="F42" s="555">
        <f>インプット!$H$73</f>
        <v>0</v>
      </c>
      <c r="G42" s="554">
        <f>インプット!$I$73</f>
        <v>0</v>
      </c>
      <c r="H42" s="434">
        <f>IFERROR(VLOOKUP($G42,波及効果シート!$A$4:$Z$45,2,FALSE),0)</f>
        <v>0</v>
      </c>
      <c r="I42" s="434">
        <f>IFERROR(VLOOKUP($G42,波及効果シート!$A$4:$Z$45,3,FALSE),0)</f>
        <v>0</v>
      </c>
      <c r="J42" s="434">
        <f>IFERROR(VLOOKUP($G42,波及効果シート!$A$4:$Z$45,4,FALSE),0)</f>
        <v>0</v>
      </c>
      <c r="K42" s="434">
        <f>IFERROR(VLOOKUP($G42,波及効果シート!$A$4:$Z$45,5,FALSE),0)</f>
        <v>0</v>
      </c>
      <c r="L42" s="434">
        <f>IFERROR(VLOOKUP($G42,波及効果シート!$A$4:$Z$45,6,FALSE),0)</f>
        <v>0</v>
      </c>
      <c r="M42" s="434">
        <f>IFERROR(VLOOKUP($G42,波及効果シート!$A$4:$Z$45,7,FALSE),0)</f>
        <v>0</v>
      </c>
      <c r="N42" s="434">
        <f>IFERROR(VLOOKUP($G42,波及効果シート!$A$4:$Z$45,8,FALSE),0)</f>
        <v>0</v>
      </c>
      <c r="O42" s="434">
        <f>IFERROR(VLOOKUP($G42,波及効果シート!$A$4:$Z$45,9,FALSE),0)</f>
        <v>0</v>
      </c>
      <c r="P42" s="434">
        <v>0.2</v>
      </c>
      <c r="Q42" s="434">
        <v>0.15</v>
      </c>
      <c r="R42" s="582"/>
    </row>
    <row r="43" spans="1:18" x14ac:dyDescent="0.2">
      <c r="A43" s="418"/>
      <c r="B43" s="442"/>
      <c r="C43" s="410"/>
      <c r="D43" s="456"/>
      <c r="E43" s="410"/>
      <c r="F43" s="555">
        <f>インプット!$J$73</f>
        <v>0</v>
      </c>
      <c r="G43" s="554">
        <f>インプット!$K$73</f>
        <v>0</v>
      </c>
      <c r="H43" s="434">
        <f>IFERROR(VLOOKUP($G43,波及効果シート!$A$4:$Z$45,2,FALSE),0)</f>
        <v>0</v>
      </c>
      <c r="I43" s="434">
        <f>IFERROR(VLOOKUP($G43,波及効果シート!$A$4:$Z$45,3,FALSE),0)</f>
        <v>0</v>
      </c>
      <c r="J43" s="434">
        <f>IFERROR(VLOOKUP($G43,波及効果シート!$A$4:$Z$45,4,FALSE),0)</f>
        <v>0</v>
      </c>
      <c r="K43" s="434">
        <f>IFERROR(VLOOKUP($G43,波及効果シート!$A$4:$Z$45,5,FALSE),0)</f>
        <v>0</v>
      </c>
      <c r="L43" s="434">
        <f>IFERROR(VLOOKUP($G43,波及効果シート!$A$4:$Z$45,6,FALSE),0)</f>
        <v>0</v>
      </c>
      <c r="M43" s="434">
        <f>IFERROR(VLOOKUP($G43,波及効果シート!$A$4:$Z$45,7,FALSE),0)</f>
        <v>0</v>
      </c>
      <c r="N43" s="434">
        <f>IFERROR(VLOOKUP($G43,波及効果シート!$A$4:$Z$45,8,FALSE),0)</f>
        <v>0</v>
      </c>
      <c r="O43" s="434">
        <f>IFERROR(VLOOKUP($G43,波及効果シート!$A$4:$Z$45,9,FALSE),0)</f>
        <v>0</v>
      </c>
      <c r="P43" s="434">
        <v>0.2</v>
      </c>
      <c r="Q43" s="434">
        <v>0.15</v>
      </c>
      <c r="R43" s="582"/>
    </row>
    <row r="44" spans="1:18" x14ac:dyDescent="0.2">
      <c r="A44" s="418"/>
      <c r="B44" s="429"/>
      <c r="C44" s="429"/>
      <c r="D44" s="462"/>
      <c r="E44" s="429"/>
      <c r="F44" s="593">
        <f>1-SUM(F41:F43)</f>
        <v>1</v>
      </c>
      <c r="G44" s="594" t="s">
        <v>236</v>
      </c>
      <c r="H44" s="436"/>
      <c r="I44" s="436"/>
      <c r="J44" s="436"/>
      <c r="K44" s="436"/>
      <c r="L44" s="436"/>
      <c r="M44" s="436"/>
      <c r="N44" s="436"/>
      <c r="O44" s="436"/>
      <c r="P44" s="436"/>
      <c r="Q44" s="436"/>
      <c r="R44" s="582"/>
    </row>
    <row r="45" spans="1:18" x14ac:dyDescent="0.2">
      <c r="A45" s="418"/>
      <c r="B45" s="429" t="s">
        <v>47</v>
      </c>
      <c r="C45" s="429"/>
      <c r="D45" s="513" t="s">
        <v>267</v>
      </c>
      <c r="E45" s="429"/>
      <c r="F45" s="429"/>
      <c r="G45" s="429"/>
      <c r="H45" s="437">
        <f>IFERROR(HLOOKUP($G45,#REF!,2,FALSE),0)</f>
        <v>0</v>
      </c>
      <c r="I45" s="437">
        <f>IFERROR(HLOOKUP($G45,#REF!,3,FALSE),0)</f>
        <v>0</v>
      </c>
      <c r="J45" s="437">
        <f>IFERROR(HLOOKUP($G45,#REF!,4,FALSE),0)</f>
        <v>0</v>
      </c>
      <c r="K45" s="437">
        <f>IFERROR(HLOOKUP($G45,#REF!,5,FALSE),0)</f>
        <v>0</v>
      </c>
      <c r="L45" s="437">
        <f>IFERROR(HLOOKUP($G45,#REF!,6,FALSE),0)</f>
        <v>0</v>
      </c>
      <c r="M45" s="437">
        <f>IFERROR(HLOOKUP($G45,#REF!,7,FALSE),0)</f>
        <v>0</v>
      </c>
      <c r="N45" s="437">
        <f>IFERROR(HLOOKUP($G45,#REF!,8,FALSE),0)</f>
        <v>0</v>
      </c>
      <c r="O45" s="437">
        <f>IFERROR(HLOOKUP($G45,#REF!,9,FALSE),0)</f>
        <v>0</v>
      </c>
      <c r="P45" s="434">
        <v>0.2</v>
      </c>
      <c r="Q45" s="434">
        <v>0.15</v>
      </c>
      <c r="R45" s="582"/>
    </row>
    <row r="46" spans="1:18" x14ac:dyDescent="0.2">
      <c r="A46" s="418"/>
      <c r="B46" s="410"/>
      <c r="C46" s="410"/>
      <c r="D46" s="459"/>
      <c r="E46" s="410"/>
      <c r="F46" s="410"/>
      <c r="G46" s="410"/>
      <c r="H46" s="435">
        <f>IFERROR(HLOOKUP($G46,#REF!,2,FALSE),0)</f>
        <v>0</v>
      </c>
      <c r="I46" s="435">
        <f>IFERROR(HLOOKUP($G46,#REF!,3,FALSE),0)</f>
        <v>0</v>
      </c>
      <c r="J46" s="435">
        <f>IFERROR(HLOOKUP($G46,#REF!,4,FALSE),0)</f>
        <v>0</v>
      </c>
      <c r="K46" s="435">
        <f>IFERROR(HLOOKUP($G46,#REF!,5,FALSE),0)</f>
        <v>0</v>
      </c>
      <c r="L46" s="435">
        <f>IFERROR(HLOOKUP($G46,#REF!,6,FALSE),0)</f>
        <v>0</v>
      </c>
      <c r="M46" s="435">
        <f>IFERROR(HLOOKUP($G46,#REF!,7,FALSE),0)</f>
        <v>0</v>
      </c>
      <c r="N46" s="435">
        <f>IFERROR(HLOOKUP($G46,#REF!,8,FALSE),0)</f>
        <v>0</v>
      </c>
      <c r="O46" s="435">
        <f>IFERROR(HLOOKUP($G46,#REF!,9,FALSE),0)</f>
        <v>0</v>
      </c>
      <c r="P46" s="434">
        <v>0.2</v>
      </c>
      <c r="Q46" s="434">
        <v>0.15</v>
      </c>
      <c r="R46" s="582"/>
    </row>
    <row r="47" spans="1:18" x14ac:dyDescent="0.2">
      <c r="A47" s="418"/>
      <c r="B47" s="442"/>
      <c r="C47" s="410"/>
      <c r="D47" s="456"/>
      <c r="E47" s="410"/>
      <c r="F47" s="410"/>
      <c r="G47" s="410"/>
      <c r="H47" s="435">
        <f>IFERROR(HLOOKUP($G47,#REF!,2,FALSE),0)</f>
        <v>0</v>
      </c>
      <c r="I47" s="435">
        <f>IFERROR(HLOOKUP($G47,#REF!,3,FALSE),0)</f>
        <v>0</v>
      </c>
      <c r="J47" s="435">
        <f>IFERROR(HLOOKUP($G47,#REF!,4,FALSE),0)</f>
        <v>0</v>
      </c>
      <c r="K47" s="435">
        <f>IFERROR(HLOOKUP($G47,#REF!,5,FALSE),0)</f>
        <v>0</v>
      </c>
      <c r="L47" s="435">
        <f>IFERROR(HLOOKUP($G47,#REF!,6,FALSE),0)</f>
        <v>0</v>
      </c>
      <c r="M47" s="435">
        <f>IFERROR(HLOOKUP($G47,#REF!,7,FALSE),0)</f>
        <v>0</v>
      </c>
      <c r="N47" s="435">
        <f>IFERROR(HLOOKUP($G47,#REF!,8,FALSE),0)</f>
        <v>0</v>
      </c>
      <c r="O47" s="435">
        <f>IFERROR(HLOOKUP($G47,#REF!,9,FALSE),0)</f>
        <v>0</v>
      </c>
      <c r="P47" s="434">
        <v>0.2</v>
      </c>
      <c r="Q47" s="434">
        <v>0.15</v>
      </c>
      <c r="R47" s="582"/>
    </row>
    <row r="48" spans="1:18" x14ac:dyDescent="0.2">
      <c r="A48" s="418"/>
      <c r="B48" s="429"/>
      <c r="C48" s="429"/>
      <c r="D48" s="462"/>
      <c r="E48" s="429"/>
      <c r="F48" s="429"/>
      <c r="G48" s="429"/>
      <c r="H48" s="436"/>
      <c r="I48" s="436"/>
      <c r="J48" s="436"/>
      <c r="K48" s="436"/>
      <c r="L48" s="436"/>
      <c r="M48" s="436"/>
      <c r="N48" s="436"/>
      <c r="O48" s="436"/>
      <c r="P48" s="436"/>
      <c r="Q48" s="436"/>
      <c r="R48" s="582"/>
    </row>
    <row r="49" spans="18:24" x14ac:dyDescent="0.2">
      <c r="R49" s="581"/>
      <c r="S49" s="420"/>
    </row>
    <row r="50" spans="18:24" x14ac:dyDescent="0.2">
      <c r="R50" s="581"/>
    </row>
    <row r="51" spans="18:24" ht="12" x14ac:dyDescent="0.2">
      <c r="R51" s="581"/>
      <c r="X51" s="421"/>
    </row>
    <row r="52" spans="18:24" x14ac:dyDescent="0.2">
      <c r="R52" s="581"/>
    </row>
    <row r="53" spans="18:24" x14ac:dyDescent="0.2">
      <c r="R53" s="581"/>
    </row>
    <row r="54" spans="18:24" x14ac:dyDescent="0.2">
      <c r="R54" s="581"/>
    </row>
    <row r="55" spans="18:24" x14ac:dyDescent="0.2">
      <c r="R55" s="581"/>
    </row>
    <row r="56" spans="18:24" x14ac:dyDescent="0.2">
      <c r="R56" s="581"/>
    </row>
    <row r="57" spans="18:24" x14ac:dyDescent="0.2">
      <c r="R57" s="581"/>
    </row>
    <row r="58" spans="18:24" x14ac:dyDescent="0.2">
      <c r="R58" s="581"/>
    </row>
    <row r="59" spans="18:24" x14ac:dyDescent="0.2">
      <c r="R59" s="581"/>
    </row>
    <row r="60" spans="18:24" x14ac:dyDescent="0.2">
      <c r="R60" s="581"/>
    </row>
    <row r="61" spans="18:24" x14ac:dyDescent="0.2">
      <c r="R61" s="581"/>
    </row>
    <row r="62" spans="18:24" x14ac:dyDescent="0.2">
      <c r="R62" s="581"/>
    </row>
    <row r="63" spans="18:24" x14ac:dyDescent="0.2">
      <c r="R63" s="581"/>
    </row>
    <row r="64" spans="18:24" x14ac:dyDescent="0.2">
      <c r="R64" s="581"/>
    </row>
    <row r="65" spans="18:18" x14ac:dyDescent="0.2">
      <c r="R65" s="581"/>
    </row>
    <row r="66" spans="18:18" x14ac:dyDescent="0.2">
      <c r="R66" s="581"/>
    </row>
    <row r="67" spans="18:18" x14ac:dyDescent="0.2">
      <c r="R67" s="581"/>
    </row>
    <row r="68" spans="18:18" x14ac:dyDescent="0.2">
      <c r="R68" s="581"/>
    </row>
    <row r="69" spans="18:18" x14ac:dyDescent="0.2">
      <c r="R69" s="581"/>
    </row>
    <row r="70" spans="18:18" x14ac:dyDescent="0.2">
      <c r="R70" s="581"/>
    </row>
    <row r="71" spans="18:18" x14ac:dyDescent="0.2">
      <c r="R71" s="581"/>
    </row>
    <row r="72" spans="18:18" x14ac:dyDescent="0.2">
      <c r="R72" s="581"/>
    </row>
    <row r="73" spans="18:18" x14ac:dyDescent="0.2">
      <c r="R73" s="581"/>
    </row>
    <row r="74" spans="18:18" x14ac:dyDescent="0.2">
      <c r="R74" s="581"/>
    </row>
    <row r="75" spans="18:18" x14ac:dyDescent="0.2">
      <c r="R75" s="581"/>
    </row>
    <row r="76" spans="18:18" x14ac:dyDescent="0.2">
      <c r="R76" s="581"/>
    </row>
    <row r="77" spans="18:18" x14ac:dyDescent="0.2">
      <c r="R77" s="581"/>
    </row>
    <row r="78" spans="18:18" x14ac:dyDescent="0.2">
      <c r="R78" s="581"/>
    </row>
  </sheetData>
  <dataConsolidate/>
  <mergeCells count="3">
    <mergeCell ref="H3:K3"/>
    <mergeCell ref="L3:O3"/>
    <mergeCell ref="P3:Q3"/>
  </mergeCells>
  <phoneticPr fontId="4"/>
  <dataValidations disablePrompts="1" count="1">
    <dataValidation type="list" allowBlank="1" showInputMessage="1" showErrorMessage="1" sqref="G5:G6">
      <formula1>S$5:S$14</formula1>
    </dataValidation>
  </dataValidations>
  <pageMargins left="0.7" right="0.7" top="0.75" bottom="0.75" header="0.3" footer="0.3"/>
  <pageSetup paperSize="8" scale="50" fitToHeight="0" orientation="portrait" horizontalDpi="1200" verticalDpi="1200" r:id="rId1"/>
  <colBreaks count="1" manualBreakCount="1">
    <brk id="1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はじめに</vt:lpstr>
      <vt:lpstr>本ツールの使い方</vt:lpstr>
      <vt:lpstr>入門編_計算シート</vt:lpstr>
      <vt:lpstr>（詳細設定）地域内経済効果の按分比率</vt:lpstr>
      <vt:lpstr>更新情報</vt:lpstr>
      <vt:lpstr>インプット</vt:lpstr>
      <vt:lpstr>入門シート換算</vt:lpstr>
      <vt:lpstr>地域経済性計算シート</vt:lpstr>
      <vt:lpstr>地域経済性分析・初期条件</vt:lpstr>
      <vt:lpstr>計算シート</vt:lpstr>
      <vt:lpstr>波及効果シート</vt:lpstr>
      <vt:lpstr>インプット!Print_Area</vt:lpstr>
      <vt:lpstr>地域経済性分析・初期条件!Print_Area</vt:lpstr>
      <vt:lpstr>入門編_計算シート!Print_Area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境澤亮祐</cp:lastModifiedBy>
  <cp:lastPrinted>2021-08-19T08:59:39Z</cp:lastPrinted>
  <dcterms:created xsi:type="dcterms:W3CDTF">2017-09-11T10:04:41Z</dcterms:created>
  <dcterms:modified xsi:type="dcterms:W3CDTF">2022-03-07T07:20:07Z</dcterms:modified>
</cp:coreProperties>
</file>